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Microsoft-Excel-Essential\"/>
    </mc:Choice>
  </mc:AlternateContent>
  <xr:revisionPtr revIDLastSave="0" documentId="13_ncr:1_{A1C9F163-D497-452D-A055-B1621AA8AFAF}" xr6:coauthVersionLast="47" xr6:coauthVersionMax="47" xr10:uidLastSave="{00000000-0000-0000-0000-000000000000}"/>
  <bookViews>
    <workbookView xWindow="-120" yWindow="-120" windowWidth="20730" windowHeight="11310" firstSheet="4" activeTab="14" xr2:uid="{00000000-000D-0000-FFFF-FFFF00000000}"/>
  </bookViews>
  <sheets>
    <sheet name="Lat-1" sheetId="6" r:id="rId1"/>
    <sheet name="Lat-2" sheetId="5" r:id="rId2"/>
    <sheet name="Lat-3" sheetId="4" r:id="rId3"/>
    <sheet name="Lat-4" sheetId="10" r:id="rId4"/>
    <sheet name="Lat-5" sheetId="11" r:id="rId5"/>
    <sheet name="Lat-6" sheetId="12" r:id="rId6"/>
    <sheet name="Lat-7" sheetId="13" r:id="rId7"/>
    <sheet name="Lat-8" sheetId="14" r:id="rId8"/>
    <sheet name="Lat-9" sheetId="15" r:id="rId9"/>
    <sheet name="Lat-10" sheetId="16" r:id="rId10"/>
    <sheet name="Lat-11" sheetId="17" r:id="rId11"/>
    <sheet name="Lat-12" sheetId="18" r:id="rId12"/>
    <sheet name="Lat-13" sheetId="19" r:id="rId13"/>
    <sheet name="Lat-14" sheetId="20" r:id="rId14"/>
    <sheet name="Lat-15" sheetId="21" r:id="rId15"/>
  </sheets>
  <calcPr calcId="191029"/>
</workbook>
</file>

<file path=xl/calcChain.xml><?xml version="1.0" encoding="utf-8"?>
<calcChain xmlns="http://schemas.openxmlformats.org/spreadsheetml/2006/main">
  <c r="L2" i="21" l="1"/>
  <c r="H3" i="21"/>
  <c r="M3" i="21" s="1"/>
  <c r="E2" i="21"/>
  <c r="T12" i="6"/>
  <c r="S12" i="6"/>
  <c r="R12" i="6"/>
  <c r="O12" i="6"/>
  <c r="O13" i="6"/>
  <c r="L13" i="21"/>
  <c r="J13" i="21"/>
  <c r="K13" i="21" s="1"/>
  <c r="H13" i="21"/>
  <c r="F13" i="21"/>
  <c r="I13" i="21" s="1"/>
  <c r="E13" i="21"/>
  <c r="L12" i="21"/>
  <c r="J12" i="21"/>
  <c r="K12" i="21" s="1"/>
  <c r="H12" i="21"/>
  <c r="F12" i="21"/>
  <c r="I12" i="21" s="1"/>
  <c r="E12" i="21"/>
  <c r="L11" i="21"/>
  <c r="J11" i="21"/>
  <c r="K11" i="21" s="1"/>
  <c r="H11" i="21"/>
  <c r="M11" i="21" s="1"/>
  <c r="F11" i="21"/>
  <c r="I11" i="21" s="1"/>
  <c r="E11" i="21"/>
  <c r="L10" i="21"/>
  <c r="K10" i="21"/>
  <c r="J10" i="21"/>
  <c r="H10" i="21"/>
  <c r="F10" i="21"/>
  <c r="I10" i="21" s="1"/>
  <c r="E10" i="21"/>
  <c r="L9" i="21"/>
  <c r="J9" i="21"/>
  <c r="K9" i="21" s="1"/>
  <c r="H9" i="21"/>
  <c r="F9" i="21"/>
  <c r="I9" i="21" s="1"/>
  <c r="E9" i="21"/>
  <c r="L8" i="21"/>
  <c r="J8" i="21"/>
  <c r="K8" i="21" s="1"/>
  <c r="H8" i="21"/>
  <c r="F8" i="21"/>
  <c r="I8" i="21" s="1"/>
  <c r="E8" i="21"/>
  <c r="L7" i="21"/>
  <c r="J7" i="21"/>
  <c r="K7" i="21" s="1"/>
  <c r="H7" i="21"/>
  <c r="M7" i="21" s="1"/>
  <c r="F7" i="21"/>
  <c r="I7" i="21" s="1"/>
  <c r="E7" i="21"/>
  <c r="L6" i="21"/>
  <c r="K6" i="21"/>
  <c r="J6" i="21"/>
  <c r="H6" i="21"/>
  <c r="F6" i="21"/>
  <c r="I6" i="21" s="1"/>
  <c r="E6" i="21"/>
  <c r="L5" i="21"/>
  <c r="J5" i="21"/>
  <c r="K5" i="21" s="1"/>
  <c r="H5" i="21"/>
  <c r="F5" i="21"/>
  <c r="I5" i="21" s="1"/>
  <c r="E5" i="21"/>
  <c r="L4" i="21"/>
  <c r="J4" i="21"/>
  <c r="K4" i="21" s="1"/>
  <c r="H4" i="21"/>
  <c r="F4" i="21"/>
  <c r="I4" i="21" s="1"/>
  <c r="E4" i="21"/>
  <c r="L3" i="21"/>
  <c r="J3" i="21"/>
  <c r="K3" i="21" s="1"/>
  <c r="F3" i="21"/>
  <c r="I3" i="21" s="1"/>
  <c r="E3" i="21"/>
  <c r="K2" i="21"/>
  <c r="J2" i="21"/>
  <c r="H2" i="21"/>
  <c r="F2" i="21"/>
  <c r="I2" i="21" s="1"/>
  <c r="M4" i="21" l="1"/>
  <c r="M8" i="21"/>
  <c r="P8" i="21" s="1"/>
  <c r="M12" i="21"/>
  <c r="M2" i="21"/>
  <c r="P2" i="21" s="1"/>
  <c r="M6" i="21"/>
  <c r="M10" i="21"/>
  <c r="P10" i="21" s="1"/>
  <c r="O3" i="21"/>
  <c r="P3" i="21"/>
  <c r="N3" i="21"/>
  <c r="P4" i="21"/>
  <c r="N4" i="21"/>
  <c r="O4" i="21"/>
  <c r="O7" i="21"/>
  <c r="P7" i="21"/>
  <c r="N7" i="21"/>
  <c r="R7" i="21" s="1"/>
  <c r="S7" i="21" s="1"/>
  <c r="N8" i="21"/>
  <c r="O11" i="21"/>
  <c r="P11" i="21"/>
  <c r="N11" i="21"/>
  <c r="R11" i="21" s="1"/>
  <c r="S11" i="21" s="1"/>
  <c r="P12" i="21"/>
  <c r="N12" i="21"/>
  <c r="O12" i="21"/>
  <c r="M5" i="21"/>
  <c r="P6" i="21"/>
  <c r="N6" i="21"/>
  <c r="R6" i="21" s="1"/>
  <c r="S6" i="21" s="1"/>
  <c r="O6" i="21"/>
  <c r="M9" i="21"/>
  <c r="N10" i="21"/>
  <c r="M13" i="21"/>
  <c r="N2" i="21" l="1"/>
  <c r="R3" i="21"/>
  <c r="S3" i="21" s="1"/>
  <c r="O10" i="21"/>
  <c r="O8" i="21"/>
  <c r="R8" i="21" s="1"/>
  <c r="S8" i="21" s="1"/>
  <c r="O2" i="21"/>
  <c r="O9" i="21"/>
  <c r="P9" i="21"/>
  <c r="N9" i="21"/>
  <c r="R9" i="21" s="1"/>
  <c r="S9" i="21" s="1"/>
  <c r="P13" i="21"/>
  <c r="N13" i="21"/>
  <c r="O13" i="21"/>
  <c r="R10" i="21"/>
  <c r="S10" i="21" s="1"/>
  <c r="O5" i="21"/>
  <c r="P5" i="21"/>
  <c r="N5" i="21"/>
  <c r="R12" i="21"/>
  <c r="S12" i="21" s="1"/>
  <c r="R4" i="21"/>
  <c r="S4" i="21" s="1"/>
  <c r="R2" i="21"/>
  <c r="S2" i="21" s="1"/>
  <c r="R5" i="21" l="1"/>
  <c r="S5" i="21" s="1"/>
  <c r="R13" i="21"/>
  <c r="S13" i="21" s="1"/>
  <c r="H19" i="20" l="1"/>
  <c r="G19" i="20"/>
  <c r="F19" i="20"/>
  <c r="I19" i="20" s="1"/>
  <c r="J19" i="20" s="1"/>
  <c r="K19" i="20" s="1"/>
  <c r="D19" i="20"/>
  <c r="C19" i="20"/>
  <c r="H18" i="20"/>
  <c r="G18" i="20"/>
  <c r="F18" i="20"/>
  <c r="D18" i="20"/>
  <c r="C18" i="20"/>
  <c r="H17" i="20"/>
  <c r="G17" i="20"/>
  <c r="F17" i="20"/>
  <c r="I17" i="20" s="1"/>
  <c r="J17" i="20" s="1"/>
  <c r="K17" i="20" s="1"/>
  <c r="D17" i="20"/>
  <c r="C17" i="20"/>
  <c r="H16" i="20"/>
  <c r="G16" i="20"/>
  <c r="F16" i="20"/>
  <c r="D16" i="20"/>
  <c r="C16" i="20"/>
  <c r="H15" i="20"/>
  <c r="G15" i="20"/>
  <c r="F15" i="20"/>
  <c r="I15" i="20" s="1"/>
  <c r="J15" i="20" s="1"/>
  <c r="K15" i="20" s="1"/>
  <c r="D15" i="20"/>
  <c r="C15" i="20"/>
  <c r="H14" i="20"/>
  <c r="G14" i="20"/>
  <c r="F14" i="20"/>
  <c r="D14" i="20"/>
  <c r="C14" i="20"/>
  <c r="H13" i="20"/>
  <c r="G13" i="20"/>
  <c r="F13" i="20"/>
  <c r="I13" i="20" s="1"/>
  <c r="J13" i="20" s="1"/>
  <c r="K13" i="20" s="1"/>
  <c r="D13" i="20"/>
  <c r="C13" i="20"/>
  <c r="H12" i="20"/>
  <c r="G12" i="20"/>
  <c r="F12" i="20"/>
  <c r="D12" i="20"/>
  <c r="C12" i="20"/>
  <c r="H11" i="20"/>
  <c r="G11" i="20"/>
  <c r="F11" i="20"/>
  <c r="I11" i="20" s="1"/>
  <c r="J11" i="20" s="1"/>
  <c r="K11" i="20" s="1"/>
  <c r="D11" i="20"/>
  <c r="C11" i="20"/>
  <c r="H10" i="20"/>
  <c r="G10" i="20"/>
  <c r="F10" i="20"/>
  <c r="D10" i="20"/>
  <c r="C10" i="20"/>
  <c r="H9" i="20"/>
  <c r="G9" i="20"/>
  <c r="F9" i="20"/>
  <c r="I9" i="20" s="1"/>
  <c r="J9" i="20" s="1"/>
  <c r="K9" i="20" s="1"/>
  <c r="D9" i="20"/>
  <c r="C9" i="20"/>
  <c r="H8" i="20"/>
  <c r="G8" i="20"/>
  <c r="F8" i="20"/>
  <c r="D8" i="20"/>
  <c r="C8" i="20"/>
  <c r="H7" i="20"/>
  <c r="G7" i="20"/>
  <c r="F7" i="20"/>
  <c r="I7" i="20" s="1"/>
  <c r="J7" i="20" s="1"/>
  <c r="K7" i="20" s="1"/>
  <c r="D7" i="20"/>
  <c r="C7" i="20"/>
  <c r="H6" i="20"/>
  <c r="G6" i="20"/>
  <c r="F6" i="20"/>
  <c r="D6" i="20"/>
  <c r="C6" i="20"/>
  <c r="H5" i="20"/>
  <c r="G5" i="20"/>
  <c r="F5" i="20"/>
  <c r="I5" i="20" s="1"/>
  <c r="J5" i="20" s="1"/>
  <c r="K5" i="20" s="1"/>
  <c r="D5" i="20"/>
  <c r="C5" i="20"/>
  <c r="I6" i="20" l="1"/>
  <c r="J6" i="20" s="1"/>
  <c r="K6" i="20" s="1"/>
  <c r="I8" i="20"/>
  <c r="J8" i="20" s="1"/>
  <c r="K8" i="20" s="1"/>
  <c r="I10" i="20"/>
  <c r="J10" i="20" s="1"/>
  <c r="K10" i="20" s="1"/>
  <c r="I12" i="20"/>
  <c r="J12" i="20" s="1"/>
  <c r="K12" i="20" s="1"/>
  <c r="I14" i="20"/>
  <c r="J14" i="20" s="1"/>
  <c r="K14" i="20" s="1"/>
  <c r="I16" i="20"/>
  <c r="J16" i="20" s="1"/>
  <c r="K16" i="20" s="1"/>
  <c r="I18" i="20"/>
  <c r="J18" i="20" s="1"/>
  <c r="K18" i="20" s="1"/>
  <c r="H18" i="15"/>
  <c r="H19" i="15"/>
  <c r="H20" i="15"/>
  <c r="H21" i="15"/>
  <c r="H22" i="15"/>
  <c r="H23" i="15"/>
  <c r="H24" i="15"/>
  <c r="H25" i="15"/>
  <c r="H26" i="15"/>
  <c r="H27" i="15"/>
  <c r="H28" i="15"/>
  <c r="H17" i="15"/>
  <c r="G18" i="15"/>
  <c r="I18" i="15" s="1"/>
  <c r="G19" i="15"/>
  <c r="I19" i="15" s="1"/>
  <c r="G20" i="15"/>
  <c r="I20" i="15" s="1"/>
  <c r="G21" i="15"/>
  <c r="I21" i="15" s="1"/>
  <c r="G22" i="15"/>
  <c r="I22" i="15" s="1"/>
  <c r="G23" i="15"/>
  <c r="I23" i="15" s="1"/>
  <c r="G24" i="15"/>
  <c r="I24" i="15" s="1"/>
  <c r="G25" i="15"/>
  <c r="I25" i="15" s="1"/>
  <c r="G26" i="15"/>
  <c r="I26" i="15" s="1"/>
  <c r="G27" i="15"/>
  <c r="I27" i="15" s="1"/>
  <c r="G28" i="15"/>
  <c r="I28" i="15" s="1"/>
  <c r="G17" i="15"/>
  <c r="I17" i="15" s="1"/>
  <c r="J15" i="19" l="1"/>
  <c r="I15" i="19"/>
  <c r="G15" i="19"/>
  <c r="F15" i="19"/>
  <c r="E15" i="19"/>
  <c r="J14" i="19"/>
  <c r="K14" i="19" s="1"/>
  <c r="I14" i="19"/>
  <c r="G14" i="19"/>
  <c r="F14" i="19"/>
  <c r="E14" i="19"/>
  <c r="K13" i="19"/>
  <c r="J13" i="19"/>
  <c r="I13" i="19"/>
  <c r="G13" i="19"/>
  <c r="F13" i="19"/>
  <c r="E13" i="19"/>
  <c r="J12" i="19"/>
  <c r="K12" i="19" s="1"/>
  <c r="I12" i="19"/>
  <c r="G12" i="19"/>
  <c r="F12" i="19"/>
  <c r="E12" i="19"/>
  <c r="J11" i="19"/>
  <c r="L11" i="19" s="1"/>
  <c r="I11" i="19"/>
  <c r="G11" i="19"/>
  <c r="F11" i="19"/>
  <c r="E11" i="19"/>
  <c r="J10" i="19"/>
  <c r="K10" i="19" s="1"/>
  <c r="I10" i="19"/>
  <c r="G10" i="19"/>
  <c r="F10" i="19"/>
  <c r="E10" i="19"/>
  <c r="K9" i="19"/>
  <c r="J9" i="19"/>
  <c r="I9" i="19"/>
  <c r="G9" i="19"/>
  <c r="F9" i="19"/>
  <c r="E9" i="19"/>
  <c r="J8" i="19"/>
  <c r="K8" i="19" s="1"/>
  <c r="I8" i="19"/>
  <c r="G8" i="19"/>
  <c r="F8" i="19"/>
  <c r="E8" i="19"/>
  <c r="J7" i="19"/>
  <c r="L7" i="19" s="1"/>
  <c r="I7" i="19"/>
  <c r="G7" i="19"/>
  <c r="F7" i="19"/>
  <c r="E7" i="19"/>
  <c r="J6" i="19"/>
  <c r="K6" i="19" s="1"/>
  <c r="I6" i="19"/>
  <c r="G6" i="19"/>
  <c r="F6" i="19"/>
  <c r="E6" i="19"/>
  <c r="K5" i="19"/>
  <c r="J5" i="19"/>
  <c r="I5" i="19"/>
  <c r="G5" i="19"/>
  <c r="F5" i="19"/>
  <c r="E5" i="19"/>
  <c r="J4" i="19"/>
  <c r="K4" i="19" s="1"/>
  <c r="I4" i="19"/>
  <c r="G4" i="19"/>
  <c r="F4" i="19"/>
  <c r="E4" i="19"/>
  <c r="J3" i="19"/>
  <c r="L3" i="19" s="1"/>
  <c r="I3" i="19"/>
  <c r="G3" i="19"/>
  <c r="F3" i="19"/>
  <c r="E3" i="19"/>
  <c r="L15" i="19" l="1"/>
  <c r="K3" i="19"/>
  <c r="L5" i="19"/>
  <c r="K7" i="19"/>
  <c r="L9" i="19"/>
  <c r="K11" i="19"/>
  <c r="L13" i="19"/>
  <c r="K15" i="19"/>
  <c r="M3" i="19"/>
  <c r="N3" i="19" s="1"/>
  <c r="M7" i="19"/>
  <c r="N7" i="19" s="1"/>
  <c r="M11" i="19"/>
  <c r="N11" i="19" s="1"/>
  <c r="M15" i="19"/>
  <c r="N15" i="19" s="1"/>
  <c r="M5" i="19"/>
  <c r="N5" i="19" s="1"/>
  <c r="M9" i="19"/>
  <c r="N9" i="19" s="1"/>
  <c r="M13" i="19"/>
  <c r="N13" i="19" s="1"/>
  <c r="L4" i="19"/>
  <c r="L6" i="19"/>
  <c r="L8" i="19"/>
  <c r="L10" i="19"/>
  <c r="L12" i="19"/>
  <c r="L14" i="19"/>
  <c r="D23" i="18"/>
  <c r="E23" i="18" s="1"/>
  <c r="G23" i="18" s="1"/>
  <c r="J22" i="18"/>
  <c r="E22" i="18"/>
  <c r="G22" i="18" s="1"/>
  <c r="D22" i="18"/>
  <c r="J21" i="18"/>
  <c r="D21" i="18"/>
  <c r="E21" i="18" s="1"/>
  <c r="G21" i="18" s="1"/>
  <c r="E20" i="18"/>
  <c r="G20" i="18" s="1"/>
  <c r="D20" i="18"/>
  <c r="J19" i="18"/>
  <c r="D19" i="18"/>
  <c r="E19" i="18" s="1"/>
  <c r="G19" i="18" s="1"/>
  <c r="E18" i="18"/>
  <c r="G18" i="18" s="1"/>
  <c r="D18" i="18"/>
  <c r="D17" i="18"/>
  <c r="E17" i="18" s="1"/>
  <c r="G17" i="18" s="1"/>
  <c r="D16" i="18"/>
  <c r="E16" i="18" s="1"/>
  <c r="G16" i="18" s="1"/>
  <c r="D15" i="18"/>
  <c r="E15" i="18" s="1"/>
  <c r="G15" i="18" s="1"/>
  <c r="J14" i="18"/>
  <c r="D14" i="18"/>
  <c r="E14" i="18" s="1"/>
  <c r="G14" i="18" s="1"/>
  <c r="J13" i="18"/>
  <c r="D13" i="18"/>
  <c r="E13" i="18" s="1"/>
  <c r="G13" i="18" s="1"/>
  <c r="J12" i="18"/>
  <c r="E12" i="18"/>
  <c r="G12" i="18" s="1"/>
  <c r="D12" i="18"/>
  <c r="D11" i="18"/>
  <c r="E11" i="18" s="1"/>
  <c r="G11" i="18" s="1"/>
  <c r="J10" i="18"/>
  <c r="E10" i="18"/>
  <c r="G10" i="18" s="1"/>
  <c r="D10" i="18"/>
  <c r="D9" i="18"/>
  <c r="E9" i="18" s="1"/>
  <c r="G9" i="18" s="1"/>
  <c r="C19" i="17"/>
  <c r="D19" i="17" s="1"/>
  <c r="F19" i="17" s="1"/>
  <c r="G19" i="17" s="1"/>
  <c r="C18" i="17"/>
  <c r="D18" i="17" s="1"/>
  <c r="F18" i="17" s="1"/>
  <c r="G18" i="17" s="1"/>
  <c r="C17" i="17"/>
  <c r="D17" i="17" s="1"/>
  <c r="F17" i="17" s="1"/>
  <c r="G17" i="17" s="1"/>
  <c r="C16" i="17"/>
  <c r="D16" i="17" s="1"/>
  <c r="F16" i="17" s="1"/>
  <c r="G16" i="17" s="1"/>
  <c r="C15" i="17"/>
  <c r="D15" i="17" s="1"/>
  <c r="F15" i="17" s="1"/>
  <c r="G15" i="17" s="1"/>
  <c r="C14" i="17"/>
  <c r="D14" i="17" s="1"/>
  <c r="F14" i="17" s="1"/>
  <c r="G14" i="17" s="1"/>
  <c r="C13" i="17"/>
  <c r="D13" i="17" s="1"/>
  <c r="F13" i="17" s="1"/>
  <c r="G13" i="17" s="1"/>
  <c r="C12" i="17"/>
  <c r="D12" i="17" s="1"/>
  <c r="F12" i="17" s="1"/>
  <c r="G12" i="17" s="1"/>
  <c r="C11" i="17"/>
  <c r="D11" i="17" s="1"/>
  <c r="F11" i="17" s="1"/>
  <c r="G11" i="17" s="1"/>
  <c r="C10" i="17"/>
  <c r="D10" i="17" s="1"/>
  <c r="F10" i="17" s="1"/>
  <c r="G10" i="17" s="1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M14" i="19" l="1"/>
  <c r="N14" i="19" s="1"/>
  <c r="M10" i="19"/>
  <c r="N10" i="19" s="1"/>
  <c r="M6" i="19"/>
  <c r="N6" i="19" s="1"/>
  <c r="M12" i="19"/>
  <c r="N12" i="19" s="1"/>
  <c r="M8" i="19"/>
  <c r="N8" i="19" s="1"/>
  <c r="M4" i="19"/>
  <c r="N4" i="19" s="1"/>
  <c r="K14" i="18"/>
  <c r="L14" i="18"/>
  <c r="L15" i="18"/>
  <c r="J15" i="18"/>
  <c r="K15" i="18"/>
  <c r="M15" i="18" s="1"/>
  <c r="K16" i="18"/>
  <c r="L16" i="18"/>
  <c r="M16" i="18" s="1"/>
  <c r="J16" i="18"/>
  <c r="L19" i="18"/>
  <c r="M19" i="18" s="1"/>
  <c r="K19" i="18"/>
  <c r="L21" i="18"/>
  <c r="K21" i="18"/>
  <c r="G24" i="18"/>
  <c r="L9" i="18"/>
  <c r="J9" i="18"/>
  <c r="K9" i="18"/>
  <c r="K10" i="18"/>
  <c r="L10" i="18"/>
  <c r="M10" i="18" s="1"/>
  <c r="L11" i="18"/>
  <c r="J11" i="18"/>
  <c r="M11" i="18" s="1"/>
  <c r="K11" i="18"/>
  <c r="K12" i="18"/>
  <c r="L12" i="18"/>
  <c r="M12" i="18" s="1"/>
  <c r="L13" i="18"/>
  <c r="M13" i="18"/>
  <c r="K13" i="18"/>
  <c r="L17" i="18"/>
  <c r="J17" i="18"/>
  <c r="M17" i="18"/>
  <c r="K17" i="18"/>
  <c r="K18" i="18"/>
  <c r="L18" i="18"/>
  <c r="J18" i="18"/>
  <c r="K20" i="18"/>
  <c r="L20" i="18"/>
  <c r="M20" i="18" s="1"/>
  <c r="J20" i="18"/>
  <c r="K22" i="18"/>
  <c r="L22" i="18"/>
  <c r="L23" i="18"/>
  <c r="J23" i="18"/>
  <c r="K23" i="18"/>
  <c r="M9" i="14"/>
  <c r="M10" i="14"/>
  <c r="M11" i="14"/>
  <c r="M12" i="14"/>
  <c r="M13" i="14"/>
  <c r="M14" i="14"/>
  <c r="M15" i="14"/>
  <c r="M16" i="14"/>
  <c r="M17" i="14"/>
  <c r="M8" i="14"/>
  <c r="L9" i="14"/>
  <c r="L10" i="14"/>
  <c r="L11" i="14"/>
  <c r="L12" i="14"/>
  <c r="L13" i="14"/>
  <c r="L14" i="14"/>
  <c r="L15" i="14"/>
  <c r="L16" i="14"/>
  <c r="L17" i="14"/>
  <c r="L8" i="14"/>
  <c r="K9" i="14"/>
  <c r="K10" i="14"/>
  <c r="K11" i="14"/>
  <c r="K12" i="14"/>
  <c r="K13" i="14"/>
  <c r="K14" i="14"/>
  <c r="K15" i="14"/>
  <c r="K16" i="14"/>
  <c r="K17" i="14"/>
  <c r="K8" i="14"/>
  <c r="J9" i="14"/>
  <c r="N9" i="14" s="1"/>
  <c r="O9" i="14" s="1"/>
  <c r="J10" i="14"/>
  <c r="N10" i="14" s="1"/>
  <c r="O10" i="14" s="1"/>
  <c r="J11" i="14"/>
  <c r="N11" i="14" s="1"/>
  <c r="O11" i="14" s="1"/>
  <c r="J12" i="14"/>
  <c r="N12" i="14" s="1"/>
  <c r="O12" i="14" s="1"/>
  <c r="J13" i="14"/>
  <c r="N13" i="14" s="1"/>
  <c r="O13" i="14" s="1"/>
  <c r="J14" i="14"/>
  <c r="N14" i="14" s="1"/>
  <c r="O14" i="14" s="1"/>
  <c r="J15" i="14"/>
  <c r="N15" i="14" s="1"/>
  <c r="O15" i="14" s="1"/>
  <c r="J16" i="14"/>
  <c r="N16" i="14" s="1"/>
  <c r="O16" i="14" s="1"/>
  <c r="J17" i="14"/>
  <c r="N17" i="14" s="1"/>
  <c r="O17" i="14" s="1"/>
  <c r="J8" i="14"/>
  <c r="N8" i="14" s="1"/>
  <c r="O8" i="14" s="1"/>
  <c r="O19" i="14" l="1"/>
  <c r="O18" i="14"/>
  <c r="M23" i="18"/>
  <c r="M22" i="18"/>
  <c r="M18" i="18"/>
  <c r="M21" i="18"/>
  <c r="M14" i="18"/>
  <c r="K24" i="18"/>
  <c r="J24" i="18"/>
  <c r="M9" i="18"/>
  <c r="L24" i="18"/>
  <c r="M24" i="18" l="1"/>
  <c r="I5" i="12" l="1"/>
  <c r="I6" i="12"/>
  <c r="I7" i="12"/>
  <c r="I8" i="12"/>
  <c r="I9" i="12"/>
  <c r="I10" i="12"/>
  <c r="I11" i="12"/>
  <c r="I12" i="12"/>
  <c r="I13" i="12"/>
  <c r="I4" i="12"/>
  <c r="E5" i="12"/>
  <c r="E6" i="12"/>
  <c r="N6" i="12" s="1"/>
  <c r="E7" i="12"/>
  <c r="N7" i="12" s="1"/>
  <c r="E8" i="12"/>
  <c r="E9" i="12"/>
  <c r="E10" i="12"/>
  <c r="N10" i="12" s="1"/>
  <c r="E11" i="12"/>
  <c r="N11" i="12" s="1"/>
  <c r="E12" i="12"/>
  <c r="N12" i="12" s="1"/>
  <c r="E13" i="12"/>
  <c r="E4" i="12"/>
  <c r="N4" i="12" s="1"/>
  <c r="C64" i="13"/>
  <c r="C63" i="13"/>
  <c r="C62" i="13"/>
  <c r="C61" i="13"/>
  <c r="C60" i="13"/>
  <c r="C59" i="13"/>
  <c r="E14" i="13" s="1"/>
  <c r="F14" i="13" s="1"/>
  <c r="C58" i="13"/>
  <c r="C57" i="13"/>
  <c r="C56" i="13"/>
  <c r="G46" i="13"/>
  <c r="F46" i="13"/>
  <c r="E46" i="13"/>
  <c r="D46" i="13"/>
  <c r="I14" i="13"/>
  <c r="N14" i="13" s="1"/>
  <c r="I13" i="13"/>
  <c r="N13" i="13" s="1"/>
  <c r="F13" i="13"/>
  <c r="J13" i="13" s="1"/>
  <c r="E13" i="13"/>
  <c r="L12" i="13"/>
  <c r="I12" i="13"/>
  <c r="N12" i="13" s="1"/>
  <c r="E12" i="13"/>
  <c r="F12" i="13" s="1"/>
  <c r="J12" i="13" s="1"/>
  <c r="I11" i="13"/>
  <c r="E11" i="13"/>
  <c r="F11" i="13" s="1"/>
  <c r="J11" i="13" s="1"/>
  <c r="I10" i="13"/>
  <c r="N10" i="13" s="1"/>
  <c r="E10" i="13"/>
  <c r="F10" i="13" s="1"/>
  <c r="J10" i="13" s="1"/>
  <c r="I9" i="13"/>
  <c r="N9" i="13" s="1"/>
  <c r="E9" i="13"/>
  <c r="F9" i="13" s="1"/>
  <c r="J9" i="13" s="1"/>
  <c r="I8" i="13"/>
  <c r="E8" i="13"/>
  <c r="F8" i="13" s="1"/>
  <c r="J8" i="13" s="1"/>
  <c r="I7" i="13"/>
  <c r="N7" i="13" s="1"/>
  <c r="E7" i="13"/>
  <c r="F7" i="13" s="1"/>
  <c r="J7" i="13" s="1"/>
  <c r="I6" i="13"/>
  <c r="N6" i="13" s="1"/>
  <c r="E6" i="13"/>
  <c r="F6" i="13" s="1"/>
  <c r="J6" i="13" s="1"/>
  <c r="A6" i="13"/>
  <c r="A7" i="13" s="1"/>
  <c r="A8" i="13" s="1"/>
  <c r="A9" i="13" s="1"/>
  <c r="A10" i="13" s="1"/>
  <c r="A11" i="13" s="1"/>
  <c r="A12" i="13" s="1"/>
  <c r="A13" i="13" s="1"/>
  <c r="A14" i="13" s="1"/>
  <c r="I5" i="13"/>
  <c r="E5" i="13"/>
  <c r="F5" i="13" s="1"/>
  <c r="J14" i="13" l="1"/>
  <c r="N8" i="12"/>
  <c r="F4" i="12"/>
  <c r="J4" i="12" s="1"/>
  <c r="K4" i="12" s="1"/>
  <c r="F12" i="12"/>
  <c r="J12" i="12" s="1"/>
  <c r="K12" i="12" s="1"/>
  <c r="F10" i="12"/>
  <c r="J10" i="12" s="1"/>
  <c r="K10" i="12" s="1"/>
  <c r="F8" i="12"/>
  <c r="J8" i="12" s="1"/>
  <c r="K8" i="12" s="1"/>
  <c r="F6" i="12"/>
  <c r="J6" i="12" s="1"/>
  <c r="K6" i="12" s="1"/>
  <c r="L12" i="12"/>
  <c r="O12" i="12" s="1"/>
  <c r="P12" i="12" s="1"/>
  <c r="L10" i="12"/>
  <c r="O10" i="12" s="1"/>
  <c r="P10" i="12" s="1"/>
  <c r="L8" i="12"/>
  <c r="M4" i="12"/>
  <c r="M12" i="12"/>
  <c r="M10" i="12"/>
  <c r="M8" i="12"/>
  <c r="M6" i="12"/>
  <c r="J5" i="13"/>
  <c r="F13" i="12"/>
  <c r="J13" i="12" s="1"/>
  <c r="K13" i="12" s="1"/>
  <c r="F11" i="12"/>
  <c r="J11" i="12" s="1"/>
  <c r="K11" i="12" s="1"/>
  <c r="F9" i="12"/>
  <c r="J9" i="12" s="1"/>
  <c r="K9" i="12" s="1"/>
  <c r="F7" i="12"/>
  <c r="J7" i="12" s="1"/>
  <c r="K7" i="12" s="1"/>
  <c r="F5" i="12"/>
  <c r="J5" i="12" s="1"/>
  <c r="K5" i="12" s="1"/>
  <c r="L11" i="12"/>
  <c r="O11" i="12" s="1"/>
  <c r="P11" i="12" s="1"/>
  <c r="L7" i="12"/>
  <c r="O7" i="12" s="1"/>
  <c r="P7" i="12" s="1"/>
  <c r="M13" i="12"/>
  <c r="M11" i="12"/>
  <c r="M9" i="12"/>
  <c r="M7" i="12"/>
  <c r="M5" i="12"/>
  <c r="M8" i="13"/>
  <c r="N8" i="13" s="1"/>
  <c r="M12" i="13"/>
  <c r="K5" i="13"/>
  <c r="M5" i="13" s="1"/>
  <c r="N5" i="13" s="1"/>
  <c r="K6" i="13"/>
  <c r="M6" i="13" s="1"/>
  <c r="K7" i="13"/>
  <c r="M7" i="13" s="1"/>
  <c r="K8" i="13"/>
  <c r="K9" i="13"/>
  <c r="M9" i="13" s="1"/>
  <c r="K10" i="13"/>
  <c r="M10" i="13" s="1"/>
  <c r="K11" i="13"/>
  <c r="M11" i="13" s="1"/>
  <c r="N11" i="13" s="1"/>
  <c r="K12" i="13"/>
  <c r="K13" i="13"/>
  <c r="M13" i="13" s="1"/>
  <c r="K14" i="13"/>
  <c r="M14" i="13" s="1"/>
  <c r="N9" i="12" l="1"/>
  <c r="O8" i="12"/>
  <c r="P8" i="12" s="1"/>
  <c r="L5" i="12"/>
  <c r="L9" i="12"/>
  <c r="O9" i="12" s="1"/>
  <c r="P9" i="12" s="1"/>
  <c r="L13" i="12"/>
  <c r="N5" i="12"/>
  <c r="N13" i="12"/>
  <c r="L6" i="12"/>
  <c r="O6" i="12" s="1"/>
  <c r="P6" i="12" s="1"/>
  <c r="L4" i="12"/>
  <c r="O4" i="12" s="1"/>
  <c r="P4" i="12" s="1"/>
  <c r="O13" i="13"/>
  <c r="P13" i="13" s="1"/>
  <c r="O11" i="13"/>
  <c r="P11" i="13"/>
  <c r="O9" i="13"/>
  <c r="P9" i="13" s="1"/>
  <c r="O7" i="13"/>
  <c r="P7" i="13" s="1"/>
  <c r="O5" i="13"/>
  <c r="P5" i="13"/>
  <c r="O14" i="13"/>
  <c r="P14" i="13" s="1"/>
  <c r="O12" i="13"/>
  <c r="P12" i="13" s="1"/>
  <c r="O10" i="13"/>
  <c r="P10" i="13"/>
  <c r="O8" i="13"/>
  <c r="P8" i="13"/>
  <c r="O6" i="13"/>
  <c r="P6" i="13"/>
  <c r="O13" i="12" l="1"/>
  <c r="P13" i="12" s="1"/>
  <c r="O5" i="12"/>
  <c r="P5" i="12" s="1"/>
  <c r="P15" i="12" s="1"/>
  <c r="P18" i="13"/>
  <c r="P16" i="13"/>
  <c r="P19" i="13"/>
  <c r="P17" i="13"/>
  <c r="P15" i="13"/>
  <c r="P17" i="12" l="1"/>
  <c r="P16" i="12"/>
  <c r="P18" i="12"/>
  <c r="P14" i="12"/>
  <c r="M15" i="11"/>
  <c r="L15" i="11"/>
  <c r="K15" i="11"/>
  <c r="J15" i="11"/>
  <c r="G15" i="11"/>
  <c r="H15" i="11" s="1"/>
  <c r="N15" i="11" s="1"/>
  <c r="O15" i="11" s="1"/>
  <c r="F15" i="11"/>
  <c r="M14" i="11"/>
  <c r="L14" i="11"/>
  <c r="K14" i="11"/>
  <c r="J14" i="11"/>
  <c r="G14" i="11"/>
  <c r="H14" i="11" s="1"/>
  <c r="N14" i="11" s="1"/>
  <c r="F14" i="11"/>
  <c r="M13" i="11"/>
  <c r="L13" i="11"/>
  <c r="K13" i="11"/>
  <c r="J13" i="11"/>
  <c r="H13" i="11"/>
  <c r="N13" i="11" s="1"/>
  <c r="O13" i="11" s="1"/>
  <c r="G13" i="11"/>
  <c r="F13" i="11"/>
  <c r="M12" i="11"/>
  <c r="L12" i="11"/>
  <c r="K12" i="11"/>
  <c r="J12" i="11"/>
  <c r="G12" i="11"/>
  <c r="H12" i="11" s="1"/>
  <c r="F12" i="11"/>
  <c r="M11" i="11"/>
  <c r="L11" i="11"/>
  <c r="K11" i="11"/>
  <c r="J11" i="11"/>
  <c r="G11" i="11"/>
  <c r="H11" i="11" s="1"/>
  <c r="N11" i="11" s="1"/>
  <c r="O11" i="11" s="1"/>
  <c r="F11" i="11"/>
  <c r="M10" i="11"/>
  <c r="L10" i="11"/>
  <c r="K10" i="11"/>
  <c r="J10" i="11"/>
  <c r="G10" i="11"/>
  <c r="H10" i="11" s="1"/>
  <c r="N10" i="11" s="1"/>
  <c r="F10" i="11"/>
  <c r="M9" i="11"/>
  <c r="L9" i="11"/>
  <c r="K9" i="11"/>
  <c r="J9" i="11"/>
  <c r="H9" i="11"/>
  <c r="N9" i="11" s="1"/>
  <c r="O9" i="11" s="1"/>
  <c r="G9" i="11"/>
  <c r="F9" i="11"/>
  <c r="M8" i="11"/>
  <c r="L8" i="11"/>
  <c r="K8" i="11"/>
  <c r="J8" i="11"/>
  <c r="G8" i="11"/>
  <c r="H8" i="11" s="1"/>
  <c r="F8" i="11"/>
  <c r="M7" i="11"/>
  <c r="L7" i="11"/>
  <c r="K7" i="11"/>
  <c r="J7" i="11"/>
  <c r="G7" i="11"/>
  <c r="H7" i="11" s="1"/>
  <c r="N7" i="11" s="1"/>
  <c r="O7" i="11" s="1"/>
  <c r="F7" i="11"/>
  <c r="M6" i="11"/>
  <c r="L6" i="11"/>
  <c r="K6" i="11"/>
  <c r="J6" i="11"/>
  <c r="G6" i="11"/>
  <c r="H6" i="11" s="1"/>
  <c r="N6" i="11" s="1"/>
  <c r="F6" i="11"/>
  <c r="M5" i="11"/>
  <c r="L5" i="11"/>
  <c r="K5" i="11"/>
  <c r="J5" i="11"/>
  <c r="H5" i="11"/>
  <c r="N5" i="11" s="1"/>
  <c r="O5" i="11" s="1"/>
  <c r="G5" i="11"/>
  <c r="F5" i="11"/>
  <c r="M4" i="11"/>
  <c r="L4" i="11"/>
  <c r="K4" i="11"/>
  <c r="J4" i="11"/>
  <c r="G4" i="11"/>
  <c r="H4" i="11" s="1"/>
  <c r="F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M3" i="11"/>
  <c r="L3" i="11"/>
  <c r="K3" i="11"/>
  <c r="J3" i="11"/>
  <c r="H3" i="11"/>
  <c r="N3" i="11" s="1"/>
  <c r="O3" i="11" s="1"/>
  <c r="G3" i="11"/>
  <c r="F3" i="11"/>
  <c r="N4" i="11" l="1"/>
  <c r="N8" i="11"/>
  <c r="N12" i="11"/>
  <c r="P3" i="11"/>
  <c r="P5" i="11"/>
  <c r="O6" i="11"/>
  <c r="P6" i="11" s="1"/>
  <c r="P9" i="11"/>
  <c r="O10" i="11"/>
  <c r="P10" i="11" s="1"/>
  <c r="P13" i="11"/>
  <c r="O14" i="11"/>
  <c r="P14" i="11" s="1"/>
  <c r="O4" i="11"/>
  <c r="P4" i="11" s="1"/>
  <c r="P7" i="11"/>
  <c r="O8" i="11"/>
  <c r="P8" i="11" s="1"/>
  <c r="P11" i="11"/>
  <c r="O12" i="11"/>
  <c r="P12" i="11"/>
  <c r="P15" i="11"/>
  <c r="F13" i="10" l="1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1" i="10"/>
  <c r="H21" i="10" s="1"/>
  <c r="F12" i="10"/>
  <c r="H12" i="10" s="1"/>
  <c r="E13" i="10"/>
  <c r="E14" i="10"/>
  <c r="E15" i="10"/>
  <c r="E16" i="10"/>
  <c r="E17" i="10"/>
  <c r="E18" i="10"/>
  <c r="E19" i="10"/>
  <c r="E20" i="10"/>
  <c r="E21" i="10"/>
  <c r="E12" i="10"/>
  <c r="D13" i="10"/>
  <c r="D14" i="10"/>
  <c r="D15" i="10"/>
  <c r="D16" i="10"/>
  <c r="D17" i="10"/>
  <c r="D18" i="10"/>
  <c r="D19" i="10"/>
  <c r="D20" i="10"/>
  <c r="D21" i="10"/>
  <c r="D12" i="10"/>
  <c r="H7" i="4"/>
  <c r="K7" i="4" s="1"/>
  <c r="H8" i="4"/>
  <c r="H9" i="4"/>
  <c r="K9" i="4" s="1"/>
  <c r="H10" i="4"/>
  <c r="H11" i="4"/>
  <c r="K11" i="4" s="1"/>
  <c r="H12" i="4"/>
  <c r="H13" i="4"/>
  <c r="K13" i="4" s="1"/>
  <c r="H14" i="4"/>
  <c r="K14" i="4" s="1"/>
  <c r="H6" i="4"/>
  <c r="E7" i="4"/>
  <c r="I7" i="4" s="1"/>
  <c r="E8" i="4"/>
  <c r="I8" i="4" s="1"/>
  <c r="E9" i="4"/>
  <c r="I9" i="4" s="1"/>
  <c r="E10" i="4"/>
  <c r="I10" i="4" s="1"/>
  <c r="E11" i="4"/>
  <c r="I11" i="4" s="1"/>
  <c r="E12" i="4"/>
  <c r="I12" i="4" s="1"/>
  <c r="E13" i="4"/>
  <c r="I13" i="4" s="1"/>
  <c r="E14" i="4"/>
  <c r="I14" i="4" s="1"/>
  <c r="E6" i="4"/>
  <c r="I6" i="4" s="1"/>
  <c r="D7" i="4"/>
  <c r="D8" i="4"/>
  <c r="D9" i="4"/>
  <c r="D10" i="4"/>
  <c r="D11" i="4"/>
  <c r="D12" i="4"/>
  <c r="D13" i="4"/>
  <c r="D14" i="4"/>
  <c r="D6" i="4"/>
  <c r="J8" i="5"/>
  <c r="J9" i="5"/>
  <c r="J10" i="5"/>
  <c r="J11" i="5"/>
  <c r="J12" i="5"/>
  <c r="J13" i="5"/>
  <c r="J14" i="5"/>
  <c r="J15" i="5"/>
  <c r="J16" i="5"/>
  <c r="J7" i="5"/>
  <c r="G8" i="5"/>
  <c r="I8" i="5" s="1"/>
  <c r="K8" i="5" s="1"/>
  <c r="G9" i="5"/>
  <c r="I9" i="5" s="1"/>
  <c r="K9" i="5" s="1"/>
  <c r="G10" i="5"/>
  <c r="I10" i="5" s="1"/>
  <c r="K10" i="5" s="1"/>
  <c r="G11" i="5"/>
  <c r="I11" i="5" s="1"/>
  <c r="K11" i="5" s="1"/>
  <c r="G12" i="5"/>
  <c r="I12" i="5" s="1"/>
  <c r="K12" i="5" s="1"/>
  <c r="G13" i="5"/>
  <c r="I13" i="5" s="1"/>
  <c r="K13" i="5" s="1"/>
  <c r="G14" i="5"/>
  <c r="I14" i="5" s="1"/>
  <c r="K14" i="5" s="1"/>
  <c r="G15" i="5"/>
  <c r="I15" i="5" s="1"/>
  <c r="K15" i="5" s="1"/>
  <c r="G16" i="5"/>
  <c r="I16" i="5" s="1"/>
  <c r="K16" i="5" s="1"/>
  <c r="G7" i="5"/>
  <c r="I7" i="5" s="1"/>
  <c r="K7" i="5" s="1"/>
  <c r="K17" i="5" s="1"/>
  <c r="D8" i="5"/>
  <c r="D9" i="5"/>
  <c r="D10" i="5"/>
  <c r="D11" i="5"/>
  <c r="D12" i="5"/>
  <c r="D13" i="5"/>
  <c r="D14" i="5"/>
  <c r="D15" i="5"/>
  <c r="D16" i="5"/>
  <c r="D7" i="5"/>
  <c r="L16" i="5" l="1"/>
  <c r="L14" i="5"/>
  <c r="L12" i="5"/>
  <c r="L10" i="5"/>
  <c r="L8" i="5"/>
  <c r="J6" i="4"/>
  <c r="L6" i="4" s="1"/>
  <c r="J13" i="4"/>
  <c r="L13" i="4" s="1"/>
  <c r="J11" i="4"/>
  <c r="L11" i="4" s="1"/>
  <c r="J9" i="4"/>
  <c r="L9" i="4" s="1"/>
  <c r="J7" i="4"/>
  <c r="L7" i="4" s="1"/>
  <c r="K12" i="4"/>
  <c r="K10" i="4"/>
  <c r="K8" i="4"/>
  <c r="J12" i="10"/>
  <c r="I12" i="10"/>
  <c r="J20" i="10"/>
  <c r="I20" i="10"/>
  <c r="J18" i="10"/>
  <c r="I18" i="10"/>
  <c r="J16" i="10"/>
  <c r="I16" i="10"/>
  <c r="J14" i="10"/>
  <c r="I14" i="10"/>
  <c r="L7" i="5"/>
  <c r="L15" i="5"/>
  <c r="L13" i="5"/>
  <c r="L11" i="5"/>
  <c r="L9" i="5"/>
  <c r="J14" i="4"/>
  <c r="L14" i="4" s="1"/>
  <c r="J12" i="4"/>
  <c r="L12" i="4" s="1"/>
  <c r="J10" i="4"/>
  <c r="L10" i="4" s="1"/>
  <c r="J8" i="4"/>
  <c r="L8" i="4" s="1"/>
  <c r="K6" i="4"/>
  <c r="J21" i="10"/>
  <c r="I21" i="10"/>
  <c r="J19" i="10"/>
  <c r="I19" i="10"/>
  <c r="J17" i="10"/>
  <c r="I17" i="10"/>
  <c r="J15" i="10"/>
  <c r="I15" i="10"/>
  <c r="J13" i="10"/>
  <c r="I13" i="10"/>
  <c r="R28" i="6"/>
  <c r="Q13" i="6"/>
  <c r="Q14" i="6"/>
  <c r="Q15" i="6"/>
  <c r="Q16" i="6"/>
  <c r="Q17" i="6"/>
  <c r="Q18" i="6"/>
  <c r="Q19" i="6"/>
  <c r="Q20" i="6"/>
  <c r="Q21" i="6"/>
  <c r="Q22" i="6"/>
  <c r="Q23" i="6"/>
  <c r="Q12" i="6"/>
  <c r="P12" i="6"/>
  <c r="P13" i="6"/>
  <c r="P14" i="6"/>
  <c r="P15" i="6"/>
  <c r="P16" i="6"/>
  <c r="P17" i="6"/>
  <c r="P18" i="6"/>
  <c r="P19" i="6"/>
  <c r="P20" i="6"/>
  <c r="P21" i="6"/>
  <c r="P22" i="6"/>
  <c r="P23" i="6"/>
  <c r="R13" i="6"/>
  <c r="O14" i="6"/>
  <c r="R14" i="6" s="1"/>
  <c r="O15" i="6"/>
  <c r="R15" i="6" s="1"/>
  <c r="O16" i="6"/>
  <c r="R16" i="6" s="1"/>
  <c r="O17" i="6"/>
  <c r="R17" i="6" s="1"/>
  <c r="O18" i="6"/>
  <c r="R18" i="6" s="1"/>
  <c r="O19" i="6"/>
  <c r="R19" i="6" s="1"/>
  <c r="O20" i="6"/>
  <c r="R20" i="6" s="1"/>
  <c r="O21" i="6"/>
  <c r="R21" i="6" s="1"/>
  <c r="O22" i="6"/>
  <c r="R22" i="6" s="1"/>
  <c r="O23" i="6"/>
  <c r="R23" i="6" s="1"/>
  <c r="N13" i="6"/>
  <c r="N14" i="6"/>
  <c r="N15" i="6"/>
  <c r="N16" i="6"/>
  <c r="N17" i="6"/>
  <c r="N18" i="6"/>
  <c r="N19" i="6"/>
  <c r="N20" i="6"/>
  <c r="N21" i="6"/>
  <c r="N22" i="6"/>
  <c r="N23" i="6"/>
  <c r="N12" i="6"/>
  <c r="S23" i="6" l="1"/>
  <c r="T23" i="6" s="1"/>
  <c r="S22" i="6"/>
  <c r="T22" i="6"/>
  <c r="S20" i="6"/>
  <c r="T20" i="6" s="1"/>
  <c r="S18" i="6"/>
  <c r="T18" i="6" s="1"/>
  <c r="S16" i="6"/>
  <c r="T16" i="6" s="1"/>
  <c r="S14" i="6"/>
  <c r="T14" i="6" s="1"/>
  <c r="T21" i="6"/>
  <c r="S21" i="6"/>
  <c r="T19" i="6"/>
  <c r="S19" i="6"/>
  <c r="T17" i="6"/>
  <c r="S17" i="6"/>
  <c r="T15" i="6"/>
  <c r="S15" i="6"/>
  <c r="S13" i="6"/>
  <c r="T13" i="6" s="1"/>
  <c r="R27" i="6"/>
  <c r="R24" i="6"/>
  <c r="R26" i="6"/>
  <c r="L13" i="10"/>
  <c r="L15" i="10"/>
  <c r="L17" i="10"/>
  <c r="L19" i="10"/>
  <c r="L21" i="10"/>
  <c r="L14" i="10"/>
  <c r="L16" i="10"/>
  <c r="L18" i="10"/>
  <c r="L20" i="10"/>
  <c r="L12" i="10"/>
  <c r="R25" i="6"/>
  <c r="L17" i="5"/>
  <c r="J14" i="6"/>
  <c r="J15" i="6" s="1"/>
  <c r="J16" i="6" s="1"/>
  <c r="J17" i="6" s="1"/>
  <c r="J18" i="6" s="1"/>
  <c r="J19" i="6" s="1"/>
  <c r="J20" i="6" s="1"/>
  <c r="J21" i="6" s="1"/>
  <c r="J22" i="6" s="1"/>
  <c r="J23" i="6" s="1"/>
  <c r="M12" i="10" l="1"/>
  <c r="N12" i="10" s="1"/>
  <c r="M18" i="10"/>
  <c r="N18" i="10" s="1"/>
  <c r="M14" i="10"/>
  <c r="N14" i="10" s="1"/>
  <c r="M19" i="10"/>
  <c r="N19" i="10" s="1"/>
  <c r="M15" i="10"/>
  <c r="N15" i="10" s="1"/>
  <c r="S26" i="6"/>
  <c r="S24" i="6"/>
  <c r="S27" i="6"/>
  <c r="S25" i="6"/>
  <c r="T27" i="6"/>
  <c r="T25" i="6"/>
  <c r="T26" i="6"/>
  <c r="T24" i="6"/>
  <c r="M20" i="10"/>
  <c r="N20" i="10" s="1"/>
  <c r="M16" i="10"/>
  <c r="N16" i="10" s="1"/>
  <c r="M21" i="10"/>
  <c r="N21" i="10" s="1"/>
  <c r="M17" i="10"/>
  <c r="N17" i="10" s="1"/>
  <c r="M13" i="10"/>
  <c r="N13" i="10" s="1"/>
  <c r="N22" i="10" l="1"/>
  <c r="N23" i="10"/>
  <c r="N2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smk</author>
  </authors>
  <commentList>
    <comment ref="I28" authorId="0" shapeId="0" xr:uid="{00000000-0006-0000-0100-000001000000}">
      <text>
        <r>
          <rPr>
            <b/>
            <sz val="8"/>
            <color indexed="81"/>
            <rFont val="Tahoma"/>
          </rPr>
          <t>smk:</t>
        </r>
        <r>
          <rPr>
            <sz val="8"/>
            <color indexed="81"/>
            <rFont val="Tahoma"/>
          </rPr>
          <t xml:space="preserve">
ADA SESUATU
</t>
        </r>
      </text>
    </comment>
    <comment ref="I33" authorId="0" shapeId="0" xr:uid="{00000000-0006-0000-0100-000002000000}">
      <text>
        <r>
          <rPr>
            <b/>
            <sz val="8"/>
            <color indexed="81"/>
            <rFont val="Tahoma"/>
          </rPr>
          <t>smk:</t>
        </r>
        <r>
          <rPr>
            <sz val="8"/>
            <color indexed="81"/>
            <rFont val="Tahoma"/>
          </rPr>
          <t xml:space="preserve">
ADA SESUATU
</t>
        </r>
      </text>
    </comment>
    <comment ref="I34" authorId="0" shapeId="0" xr:uid="{00000000-0006-0000-0100-000003000000}">
      <text>
        <r>
          <rPr>
            <b/>
            <sz val="8"/>
            <color indexed="81"/>
            <rFont val="Tahoma"/>
          </rPr>
          <t>smk:</t>
        </r>
        <r>
          <rPr>
            <sz val="8"/>
            <color indexed="81"/>
            <rFont val="Tahoma"/>
          </rPr>
          <t xml:space="preserve">
Ada Sesuatu
</t>
        </r>
      </text>
    </comment>
  </commentList>
</comments>
</file>

<file path=xl/sharedStrings.xml><?xml version="1.0" encoding="utf-8"?>
<sst xmlns="http://schemas.openxmlformats.org/spreadsheetml/2006/main" count="1063" uniqueCount="803">
  <si>
    <t>Laporan  Keuangan Penginapan</t>
  </si>
  <si>
    <t>Hotel Internasional</t>
  </si>
  <si>
    <t>Kode Kamar</t>
  </si>
  <si>
    <t>Nama Tamu</t>
  </si>
  <si>
    <t>Kelas Kamar</t>
  </si>
  <si>
    <t>Tarif/hari (Rp)</t>
  </si>
  <si>
    <t>Tanggal Datang</t>
  </si>
  <si>
    <t>Tanggal Pergi</t>
  </si>
  <si>
    <t>Lama Nginap</t>
  </si>
  <si>
    <t>Tagihan</t>
  </si>
  <si>
    <t>Pajak</t>
  </si>
  <si>
    <t>Potongan</t>
  </si>
  <si>
    <t>Total bayar</t>
  </si>
  <si>
    <t>EKO-2</t>
  </si>
  <si>
    <t>LUX-1</t>
  </si>
  <si>
    <t>LUX-2</t>
  </si>
  <si>
    <t>EXC-1</t>
  </si>
  <si>
    <t>EKO-1</t>
  </si>
  <si>
    <t>EXC-2</t>
  </si>
  <si>
    <t>Wagiman</t>
  </si>
  <si>
    <t>Supardi</t>
  </si>
  <si>
    <t>Nursalim</t>
  </si>
  <si>
    <t>Dodot</t>
  </si>
  <si>
    <t>Didit</t>
  </si>
  <si>
    <t>Tami</t>
  </si>
  <si>
    <t>Tarmizin</t>
  </si>
  <si>
    <t>Darindi</t>
  </si>
  <si>
    <t>Ivan</t>
  </si>
  <si>
    <t>Tabel Data</t>
  </si>
  <si>
    <t>EKO</t>
  </si>
  <si>
    <t>LUX</t>
  </si>
  <si>
    <t>Tarif/hari Singgle</t>
  </si>
  <si>
    <t>Tarif/hari Daouble</t>
  </si>
  <si>
    <t>Ekonomi</t>
  </si>
  <si>
    <t>Eksekutif</t>
  </si>
  <si>
    <t>Mewah</t>
  </si>
  <si>
    <t>EXC</t>
  </si>
  <si>
    <t>Ketengan Kode Kamar</t>
  </si>
  <si>
    <t>digit 1 s/d 3 menyatakan kelas kamar</t>
  </si>
  <si>
    <t>digit 5 menyatakan singgle atau double. Jika digit ke-5 = 1, maka jenis kamar = singgle, jika digit 5 = 2 maka jenis kamar = Double</t>
  </si>
  <si>
    <t>Data yang dicari</t>
  </si>
  <si>
    <t>Total bayar : cari sendiri ya ….</t>
  </si>
  <si>
    <r>
      <t>Kelas kamar</t>
    </r>
    <r>
      <rPr>
        <sz val="10"/>
        <rFont val="Arial"/>
      </rPr>
      <t xml:space="preserve"> : di peroleh berdasarkan Tabel Data</t>
    </r>
  </si>
  <si>
    <r>
      <t>Tarif/hari</t>
    </r>
    <r>
      <rPr>
        <sz val="10"/>
        <rFont val="Arial"/>
      </rPr>
      <t xml:space="preserve"> : diperoleh berdasarkan Tabel Data, dengan klasifikasi singgle dan double</t>
    </r>
  </si>
  <si>
    <r>
      <t>Lama menginap</t>
    </r>
    <r>
      <rPr>
        <sz val="10"/>
        <rFont val="Arial"/>
        <family val="2"/>
      </rPr>
      <t xml:space="preserve"> :selisih antara tanggal pergi dan tanggal datang (dibelakang hasil perhitungan tambahkan string "hari")</t>
    </r>
  </si>
  <si>
    <r>
      <t>Tagihan</t>
    </r>
    <r>
      <rPr>
        <sz val="10"/>
        <rFont val="Arial"/>
      </rPr>
      <t xml:space="preserve"> : tarif /hari x lama menginap</t>
    </r>
  </si>
  <si>
    <r>
      <t>Pajak</t>
    </r>
    <r>
      <rPr>
        <sz val="10"/>
        <rFont val="Arial"/>
      </rPr>
      <t xml:space="preserve"> : jika jenis kamar = sinngle maka pajak = 5 % dari tagihan, jika jenis kamar = double maka pajak 10 % dari tagihan</t>
    </r>
  </si>
  <si>
    <r>
      <t>Potongan</t>
    </r>
    <r>
      <rPr>
        <sz val="10"/>
        <rFont val="Arial"/>
      </rPr>
      <t xml:space="preserve"> : Bila lama menginap lebih dari 10 hari maka potongan 5% dari tagihan , jika lama menginap lebih besar atau sama dengan 6 hari maka potongan 3 % dari tagihan, selain itu maka tidak memperoleh potongan.</t>
    </r>
  </si>
  <si>
    <t>No</t>
  </si>
  <si>
    <t>B</t>
  </si>
  <si>
    <t>*</t>
  </si>
  <si>
    <t>Total</t>
  </si>
  <si>
    <t>LEMBAGA PENDIDIKAN KOMPUTER "SEMOGA MAJU TERUS"</t>
  </si>
  <si>
    <t>LAPORAN PENDAFTARAN SISWA</t>
  </si>
  <si>
    <t>BULAN : Januari 2007</t>
  </si>
  <si>
    <t>NO URUT</t>
  </si>
  <si>
    <t>NOMOR SISWA</t>
  </si>
  <si>
    <t>NAMA SISWA</t>
  </si>
  <si>
    <t>KODE STATUS</t>
  </si>
  <si>
    <t>PEKERJAAN</t>
  </si>
  <si>
    <t>NAMA KELAS</t>
  </si>
  <si>
    <t>HARI BELAJAR</t>
  </si>
  <si>
    <t>WAKTU BELAJAR</t>
  </si>
  <si>
    <t xml:space="preserve">BIAYA </t>
  </si>
  <si>
    <t>DISCOUNT</t>
  </si>
  <si>
    <t>BIAYA BERSIH</t>
  </si>
  <si>
    <t>P-101-SK</t>
  </si>
  <si>
    <t>Dewiana</t>
  </si>
  <si>
    <t>A</t>
  </si>
  <si>
    <t>S-103-SJ</t>
  </si>
  <si>
    <t>Handayani</t>
  </si>
  <si>
    <t>M-102-RS</t>
  </si>
  <si>
    <t>Ariani</t>
  </si>
  <si>
    <t>C</t>
  </si>
  <si>
    <t>S-104-SJ</t>
  </si>
  <si>
    <t>Bayu</t>
  </si>
  <si>
    <t>Chris</t>
  </si>
  <si>
    <t>Lusia</t>
  </si>
  <si>
    <t>P-103-SK</t>
  </si>
  <si>
    <t>Rita</t>
  </si>
  <si>
    <t>Carolina</t>
  </si>
  <si>
    <t>M-103-RS</t>
  </si>
  <si>
    <t>Sylvia</t>
  </si>
  <si>
    <t>M-102-SJ</t>
  </si>
  <si>
    <t>Martina</t>
  </si>
  <si>
    <t>Agung</t>
  </si>
  <si>
    <t>S-101-RS</t>
  </si>
  <si>
    <t>Iwan</t>
  </si>
  <si>
    <t>TOTAL</t>
  </si>
  <si>
    <t>RATA - RATA</t>
  </si>
  <si>
    <t>MAXIMUM</t>
  </si>
  <si>
    <t>MINIMUM</t>
  </si>
  <si>
    <t>TABEL VLOOKUP</t>
  </si>
  <si>
    <t>TABEL HLOOKUP</t>
  </si>
  <si>
    <t>KODE KELAS</t>
  </si>
  <si>
    <t>BIAYA</t>
  </si>
  <si>
    <t>101</t>
  </si>
  <si>
    <t>102</t>
  </si>
  <si>
    <t>103</t>
  </si>
  <si>
    <t>104</t>
  </si>
  <si>
    <t>Windows' 95</t>
  </si>
  <si>
    <t>Ms. Word'97</t>
  </si>
  <si>
    <t>Ms. Excel' 97</t>
  </si>
  <si>
    <t>Ms. Access' 97</t>
  </si>
  <si>
    <t>KETENTUAN SOAL :</t>
  </si>
  <si>
    <r>
      <t xml:space="preserve">Kolom </t>
    </r>
    <r>
      <rPr>
        <b/>
        <sz val="8"/>
        <rFont val="Arial"/>
        <charset val="1"/>
      </rPr>
      <t>PEKERJAAN</t>
    </r>
    <r>
      <rPr>
        <sz val="8"/>
        <rFont val="Arial"/>
        <charset val="1"/>
      </rPr>
      <t xml:space="preserve"> diisi dengan menggunakan fingsi </t>
    </r>
    <r>
      <rPr>
        <b/>
        <sz val="8"/>
        <rFont val="Arial"/>
        <charset val="1"/>
      </rPr>
      <t>IF</t>
    </r>
    <r>
      <rPr>
        <sz val="8"/>
        <rFont val="Arial"/>
        <charset val="1"/>
      </rPr>
      <t xml:space="preserve"> dengan Ketentuan :</t>
    </r>
  </si>
  <si>
    <r>
      <t>- Jika Kode Status=</t>
    </r>
    <r>
      <rPr>
        <b/>
        <sz val="8"/>
        <rFont val="Arial"/>
        <charset val="1"/>
      </rPr>
      <t>"A"</t>
    </r>
    <r>
      <rPr>
        <sz val="8"/>
        <rFont val="Arial"/>
        <charset val="1"/>
      </rPr>
      <t>, maka Pekerjaan =</t>
    </r>
    <r>
      <rPr>
        <b/>
        <sz val="8"/>
        <rFont val="Arial"/>
        <charset val="1"/>
      </rPr>
      <t>"Karyawan"</t>
    </r>
  </si>
  <si>
    <r>
      <t>- Jika Kode Status=</t>
    </r>
    <r>
      <rPr>
        <b/>
        <sz val="8"/>
        <rFont val="Arial"/>
        <charset val="1"/>
      </rPr>
      <t>"B"</t>
    </r>
    <r>
      <rPr>
        <sz val="8"/>
        <rFont val="Arial"/>
        <charset val="1"/>
      </rPr>
      <t>, maka Pekerjaan =</t>
    </r>
    <r>
      <rPr>
        <b/>
        <sz val="8"/>
        <rFont val="Arial"/>
        <charset val="1"/>
      </rPr>
      <t>"Mahasiswa"</t>
    </r>
  </si>
  <si>
    <r>
      <t>- Jika Kode Status=</t>
    </r>
    <r>
      <rPr>
        <b/>
        <sz val="8"/>
        <rFont val="Arial"/>
        <charset val="1"/>
      </rPr>
      <t>"C"</t>
    </r>
    <r>
      <rPr>
        <sz val="8"/>
        <rFont val="Arial"/>
        <charset val="1"/>
      </rPr>
      <t>, maka Pekerjaan =</t>
    </r>
    <r>
      <rPr>
        <b/>
        <sz val="8"/>
        <rFont val="Arial"/>
        <charset val="1"/>
      </rPr>
      <t>"Pelajar"</t>
    </r>
  </si>
  <si>
    <r>
      <t xml:space="preserve">Kolom </t>
    </r>
    <r>
      <rPr>
        <b/>
        <sz val="8"/>
        <rFont val="Arial"/>
        <charset val="1"/>
      </rPr>
      <t xml:space="preserve">NAMA KELAS </t>
    </r>
    <r>
      <rPr>
        <sz val="8"/>
        <rFont val="Arial"/>
        <charset val="1"/>
      </rPr>
      <t xml:space="preserve">Diisi dengan menggunakan tabel </t>
    </r>
    <r>
      <rPr>
        <b/>
        <sz val="8"/>
        <rFont val="Arial"/>
        <charset val="1"/>
      </rPr>
      <t xml:space="preserve">Vlookup </t>
    </r>
    <r>
      <rPr>
        <sz val="8"/>
        <rFont val="Arial"/>
        <charset val="1"/>
      </rPr>
      <t xml:space="preserve">dan fungsi </t>
    </r>
    <r>
      <rPr>
        <b/>
        <sz val="8"/>
        <rFont val="Arial"/>
        <charset val="1"/>
      </rPr>
      <t xml:space="preserve">Label </t>
    </r>
    <r>
      <rPr>
        <sz val="8"/>
        <rFont val="Arial"/>
        <charset val="1"/>
      </rPr>
      <t xml:space="preserve">dengan </t>
    </r>
    <r>
      <rPr>
        <b/>
        <sz val="8"/>
        <rFont val="Arial"/>
        <charset val="1"/>
      </rPr>
      <t xml:space="preserve">NOMOR SISWA </t>
    </r>
    <r>
      <rPr>
        <sz val="8"/>
        <rFont val="Arial"/>
        <charset val="1"/>
      </rPr>
      <t>Sebagai kunci.</t>
    </r>
  </si>
  <si>
    <r>
      <t>- Jika NOMOR SISWA =</t>
    </r>
    <r>
      <rPr>
        <b/>
        <sz val="8"/>
        <rFont val="Arial"/>
        <charset val="1"/>
      </rPr>
      <t>"P"</t>
    </r>
    <r>
      <rPr>
        <sz val="8"/>
        <rFont val="Arial"/>
        <charset val="1"/>
      </rPr>
      <t>, maka Waktu Belajar =</t>
    </r>
    <r>
      <rPr>
        <b/>
        <sz val="8"/>
        <rFont val="Arial"/>
        <charset val="1"/>
      </rPr>
      <t>"Pagi"</t>
    </r>
  </si>
  <si>
    <r>
      <t>- Jika NOMOR SISWA =</t>
    </r>
    <r>
      <rPr>
        <b/>
        <sz val="8"/>
        <rFont val="Arial"/>
        <charset val="1"/>
      </rPr>
      <t>"S"</t>
    </r>
    <r>
      <rPr>
        <sz val="8"/>
        <rFont val="Arial"/>
        <charset val="1"/>
      </rPr>
      <t>, maka Waktu Belajar =</t>
    </r>
    <r>
      <rPr>
        <b/>
        <sz val="8"/>
        <rFont val="Arial"/>
        <charset val="1"/>
      </rPr>
      <t>"Siang"</t>
    </r>
  </si>
  <si>
    <r>
      <t>- Jika NOMOR SISWA =</t>
    </r>
    <r>
      <rPr>
        <b/>
        <sz val="8"/>
        <rFont val="Arial"/>
        <charset val="1"/>
      </rPr>
      <t>"M"</t>
    </r>
    <r>
      <rPr>
        <sz val="8"/>
        <rFont val="Arial"/>
        <charset val="1"/>
      </rPr>
      <t>, maka Waktu Belajar =</t>
    </r>
    <r>
      <rPr>
        <b/>
        <sz val="8"/>
        <rFont val="Arial"/>
        <charset val="1"/>
      </rPr>
      <t>"Malam"</t>
    </r>
  </si>
  <si>
    <r>
      <t xml:space="preserve">Kolom </t>
    </r>
    <r>
      <rPr>
        <b/>
        <sz val="8"/>
        <rFont val="Arial"/>
        <charset val="1"/>
      </rPr>
      <t>HARI BELAJAR</t>
    </r>
    <r>
      <rPr>
        <sz val="8"/>
        <rFont val="Arial"/>
        <charset val="1"/>
      </rPr>
      <t xml:space="preserve"> diisi dengan menggunakan fungsi IF dan fugsi Label berdasarkan </t>
    </r>
    <r>
      <rPr>
        <b/>
        <sz val="8"/>
        <rFont val="Arial"/>
        <charset val="1"/>
      </rPr>
      <t>NOMOR SISWA</t>
    </r>
  </si>
  <si>
    <r>
      <t xml:space="preserve">- Jika Nomor Siswa = </t>
    </r>
    <r>
      <rPr>
        <b/>
        <sz val="8"/>
        <rFont val="Arial"/>
        <charset val="1"/>
      </rPr>
      <t>"SK"</t>
    </r>
    <r>
      <rPr>
        <sz val="8"/>
        <rFont val="Arial"/>
        <charset val="1"/>
      </rPr>
      <t xml:space="preserve"> maka Hari Belajar = </t>
    </r>
    <r>
      <rPr>
        <b/>
        <sz val="8"/>
        <rFont val="Arial"/>
        <charset val="1"/>
      </rPr>
      <t>"Sen-Kam"</t>
    </r>
  </si>
  <si>
    <r>
      <t xml:space="preserve">- Jika Nomor Siswa = </t>
    </r>
    <r>
      <rPr>
        <b/>
        <sz val="8"/>
        <rFont val="Arial"/>
        <charset val="1"/>
      </rPr>
      <t>"SJ"</t>
    </r>
    <r>
      <rPr>
        <sz val="8"/>
        <rFont val="Arial"/>
        <charset val="1"/>
      </rPr>
      <t xml:space="preserve"> maka Hari Belajar = </t>
    </r>
    <r>
      <rPr>
        <b/>
        <sz val="8"/>
        <rFont val="Arial"/>
        <charset val="1"/>
      </rPr>
      <t>"Sel-Jum"</t>
    </r>
  </si>
  <si>
    <r>
      <t xml:space="preserve">- Jika Nomor Siswa = </t>
    </r>
    <r>
      <rPr>
        <b/>
        <sz val="8"/>
        <rFont val="Arial"/>
        <charset val="1"/>
      </rPr>
      <t>"RS"</t>
    </r>
    <r>
      <rPr>
        <sz val="8"/>
        <rFont val="Arial"/>
        <charset val="1"/>
      </rPr>
      <t xml:space="preserve"> maka Hari Belajar = </t>
    </r>
    <r>
      <rPr>
        <b/>
        <sz val="8"/>
        <rFont val="Arial"/>
        <charset val="1"/>
      </rPr>
      <t>"Rab-Sab"</t>
    </r>
  </si>
  <si>
    <r>
      <t xml:space="preserve">Kolom Biaya diisi dengan menggunakan Tabel Vlookup dan Fungsi Label dengan </t>
    </r>
    <r>
      <rPr>
        <b/>
        <sz val="8"/>
        <rFont val="Arial"/>
        <charset val="1"/>
      </rPr>
      <t>NOMOR SISWA</t>
    </r>
    <r>
      <rPr>
        <sz val="8"/>
        <rFont val="Arial"/>
        <charset val="1"/>
      </rPr>
      <t xml:space="preserve"> Sebagai Kunci</t>
    </r>
  </si>
  <si>
    <r>
      <t xml:space="preserve">Kolom </t>
    </r>
    <r>
      <rPr>
        <b/>
        <sz val="8"/>
        <rFont val="Arial"/>
        <charset val="1"/>
      </rPr>
      <t>DISCOUNT</t>
    </r>
    <r>
      <rPr>
        <sz val="8"/>
        <rFont val="Arial"/>
        <charset val="1"/>
      </rPr>
      <t xml:space="preserve"> Diisi dengan menggunakan tabel Hlookup dan fungsi label dengan </t>
    </r>
    <r>
      <rPr>
        <b/>
        <sz val="8"/>
        <rFont val="Arial"/>
        <charset val="1"/>
      </rPr>
      <t>NOMOR SISWA</t>
    </r>
    <r>
      <rPr>
        <sz val="8"/>
        <rFont val="Arial"/>
        <charset val="1"/>
      </rPr>
      <t xml:space="preserve"> Sebagai Kunci, Kemudian</t>
    </r>
    <r>
      <rPr>
        <b/>
        <sz val="8"/>
        <rFont val="Arial"/>
        <charset val="1"/>
      </rPr>
      <t xml:space="preserve"> kalika</t>
    </r>
    <r>
      <rPr>
        <sz val="8"/>
        <rFont val="Arial"/>
        <charset val="1"/>
      </rPr>
      <t>n dengan Biaya</t>
    </r>
  </si>
  <si>
    <t>Biaya Bersih = Biaya - Discount</t>
  </si>
  <si>
    <r>
      <t xml:space="preserve">Simpan Pekerjaan Anda pada disket anda masing-masing dengan nama </t>
    </r>
    <r>
      <rPr>
        <b/>
        <sz val="8"/>
        <rFont val="Arial"/>
        <family val="2"/>
      </rPr>
      <t>Materi tambahan</t>
    </r>
    <r>
      <rPr>
        <sz val="8"/>
        <rFont val="Arial"/>
        <charset val="1"/>
      </rPr>
      <t xml:space="preserve"> </t>
    </r>
  </si>
  <si>
    <t>CAKUNG RENTAL DISC</t>
  </si>
  <si>
    <t>CIMAHI</t>
  </si>
  <si>
    <t>Nama</t>
  </si>
  <si>
    <t>Kode CD</t>
  </si>
  <si>
    <t>Jenis &amp; Stock CD</t>
  </si>
  <si>
    <t>Judul Disc</t>
  </si>
  <si>
    <t>Tanggal Pinjam</t>
  </si>
  <si>
    <t>Harus Kembali</t>
  </si>
  <si>
    <t>Tanggal Kembali</t>
  </si>
  <si>
    <t>Lewat Batas (Hari)</t>
  </si>
  <si>
    <t>Harga Sewa</t>
  </si>
  <si>
    <t>Denda</t>
  </si>
  <si>
    <t>Total Bayar</t>
  </si>
  <si>
    <t>Paul</t>
  </si>
  <si>
    <t>ID-1</t>
  </si>
  <si>
    <t>Kembar Siam</t>
  </si>
  <si>
    <t>Lei Wulan</t>
  </si>
  <si>
    <t>BR-1</t>
  </si>
  <si>
    <t>Master of Universe</t>
  </si>
  <si>
    <t>Ogre</t>
  </si>
  <si>
    <t>MD-1</t>
  </si>
  <si>
    <t>Cincailah</t>
  </si>
  <si>
    <t>Yosimithu</t>
  </si>
  <si>
    <t>MD-2</t>
  </si>
  <si>
    <t>Capai-Teing</t>
  </si>
  <si>
    <t>Burt Lie</t>
  </si>
  <si>
    <t>BR-2</t>
  </si>
  <si>
    <t>Wind Devil</t>
  </si>
  <si>
    <t>Heinachi</t>
  </si>
  <si>
    <t>The Deep</t>
  </si>
  <si>
    <t>Xiau Yu</t>
  </si>
  <si>
    <t>ID-2</t>
  </si>
  <si>
    <t>Dendam Membara</t>
  </si>
  <si>
    <t>Bryan Curly</t>
  </si>
  <si>
    <t>King of Jungle</t>
  </si>
  <si>
    <t>Jacob</t>
  </si>
  <si>
    <t>Kwetiau</t>
  </si>
  <si>
    <t>Ant tie</t>
  </si>
  <si>
    <t>Mr. He-women</t>
  </si>
  <si>
    <t>Stock</t>
  </si>
  <si>
    <t>Jenis CD</t>
  </si>
  <si>
    <t>Lama</t>
  </si>
  <si>
    <t>Baru</t>
  </si>
  <si>
    <t>BR</t>
  </si>
  <si>
    <t>Barat</t>
  </si>
  <si>
    <t>ID</t>
  </si>
  <si>
    <t>Indonesia</t>
  </si>
  <si>
    <t>MD</t>
  </si>
  <si>
    <t>Mandarin</t>
  </si>
  <si>
    <t>Data Yang Dicari</t>
  </si>
  <si>
    <t>Jenis CD : Diambil dari Tabel Data</t>
  </si>
  <si>
    <t>Stock CD : Jika Kode ="1" maka stock "Baru"; Jika kode="2" maka Stock "Lama"</t>
  </si>
  <si>
    <t>'=VLOOKUP(LEFT(C6;2);$B$20:$C$22;2;0)&amp;"-"&amp;IF(RIGHT(C6;1)="1";"Baru";"Lama")</t>
  </si>
  <si>
    <t>Jika Stock Baru, maka harus kembali = 2 hari setelah Tanggal Pinjam</t>
  </si>
  <si>
    <t>Jika Stock Baru, maka harus kembali = 3 hari setelah Tanggal Pinjam</t>
  </si>
  <si>
    <r>
      <t>Lewat Batas</t>
    </r>
    <r>
      <rPr>
        <sz val="10"/>
        <rFont val="Arial"/>
      </rPr>
      <t xml:space="preserve"> : Selisih antara Tanggal Kembali dan Harus Kembali</t>
    </r>
  </si>
  <si>
    <r>
      <t>Harga Sewa</t>
    </r>
    <r>
      <rPr>
        <sz val="10"/>
        <rFont val="Arial"/>
      </rPr>
      <t xml:space="preserve"> : Diambil dari Tabel data berdasarkan Jenis CD dan Stock</t>
    </r>
  </si>
  <si>
    <t>=VLOOKUP(LEFT(C6;2);$B$20:$E$22;IF(RIGHT(C6;1)="1";4;3))</t>
  </si>
  <si>
    <r>
      <t xml:space="preserve">Denda </t>
    </r>
    <r>
      <rPr>
        <sz val="10"/>
        <rFont val="Arial"/>
      </rPr>
      <t>: Untuk 2 hari pertama dari kelebihan hari dikenai denda 5000, selebihnya 2000 perhari</t>
    </r>
  </si>
  <si>
    <t>=IF(I6&lt;=2;5000;5000+(I6-2)*2000)</t>
  </si>
  <si>
    <r>
      <t>Total Bayar</t>
    </r>
    <r>
      <rPr>
        <sz val="10"/>
        <rFont val="Arial"/>
      </rPr>
      <t xml:space="preserve"> : Harga Sewa + Denda</t>
    </r>
  </si>
  <si>
    <r>
      <t>Total</t>
    </r>
    <r>
      <rPr>
        <sz val="10"/>
        <rFont val="Arial"/>
      </rPr>
      <t xml:space="preserve"> = Jumlah Keseluruhan Harga Sewa, Denda dan total Bayar</t>
    </r>
  </si>
  <si>
    <t>Eksekutif - Singgle</t>
  </si>
  <si>
    <t>6 hari</t>
  </si>
  <si>
    <t>RUMAH SAKIT " AMAN SENTOSA"</t>
  </si>
  <si>
    <t>Jl. Semangat Merdeka No.1</t>
  </si>
  <si>
    <t>Nama Pasien</t>
  </si>
  <si>
    <t>Kode kamar</t>
  </si>
  <si>
    <t>jenis kamar</t>
  </si>
  <si>
    <t>Jenis -kategori penyakit</t>
  </si>
  <si>
    <t>tanggal masuk</t>
  </si>
  <si>
    <t>tanggal keluar</t>
  </si>
  <si>
    <t>lama menginap</t>
  </si>
  <si>
    <t>Biaya inap</t>
  </si>
  <si>
    <t>tarif dokter</t>
  </si>
  <si>
    <t>biaya obat obatan</t>
  </si>
  <si>
    <t>biaya total</t>
  </si>
  <si>
    <t>pajak 10%</t>
  </si>
  <si>
    <t>tagihan</t>
  </si>
  <si>
    <t>Retno</t>
  </si>
  <si>
    <t>A-05/08/02-1B</t>
  </si>
  <si>
    <t>Kelas I</t>
  </si>
  <si>
    <t>Internis Berat</t>
  </si>
  <si>
    <t>Ranti</t>
  </si>
  <si>
    <t>B-08/05/02-1R</t>
  </si>
  <si>
    <t>Yuli</t>
  </si>
  <si>
    <t>C-08/06/02-2R</t>
  </si>
  <si>
    <t>Andani</t>
  </si>
  <si>
    <t>D-08/06/02-3B</t>
  </si>
  <si>
    <t>Bambang</t>
  </si>
  <si>
    <t>A-08/07/02-3R</t>
  </si>
  <si>
    <t>Djoko</t>
  </si>
  <si>
    <t>D-08/07/02-2B</t>
  </si>
  <si>
    <t>Susanto</t>
  </si>
  <si>
    <t>C-08/08/02-1B</t>
  </si>
  <si>
    <t>Dwi Okta</t>
  </si>
  <si>
    <t>D-08/08/02-2R</t>
  </si>
  <si>
    <t>Tuti Yan</t>
  </si>
  <si>
    <t>B-08/09/02-3R</t>
  </si>
  <si>
    <t>Lie Ican</t>
  </si>
  <si>
    <t>D-08/10/02-1B</t>
  </si>
  <si>
    <t>Jumlah Tagihan</t>
  </si>
  <si>
    <t>Pajak 10 %</t>
  </si>
  <si>
    <t>Penghasilan Bersih</t>
  </si>
  <si>
    <t>Tabel Kamar</t>
  </si>
  <si>
    <t>Jenis kamar</t>
  </si>
  <si>
    <t>Tarif kamar/hari</t>
  </si>
  <si>
    <t>Tarif dokter</t>
  </si>
  <si>
    <t>Tabel Jenis Penyakit</t>
  </si>
  <si>
    <t>Berat</t>
  </si>
  <si>
    <t>Ringan</t>
  </si>
  <si>
    <t>Kode penyakit</t>
  </si>
  <si>
    <t>1</t>
  </si>
  <si>
    <t>2</t>
  </si>
  <si>
    <t>3</t>
  </si>
  <si>
    <t>Jenis penyakit</t>
  </si>
  <si>
    <t>Internis</t>
  </si>
  <si>
    <t>Saraf</t>
  </si>
  <si>
    <t>Jantung</t>
  </si>
  <si>
    <t>Kelas II</t>
  </si>
  <si>
    <t>Kelas III</t>
  </si>
  <si>
    <t>D</t>
  </si>
  <si>
    <t>VIP</t>
  </si>
  <si>
    <t>Keterangan Kode Pasien</t>
  </si>
  <si>
    <t>*   Digit pertama adalah Kode Kamar</t>
  </si>
  <si>
    <t>*   Digit ke 3 s/d 10 adalah Kode Tanggal Masuk</t>
  </si>
  <si>
    <t>*   Digit ke 12 adalah Kode Jenis Penyakit</t>
  </si>
  <si>
    <t>*   Digit terakhir (ke 13) adalah Kode Ringan atau Beratnya Penyakit</t>
  </si>
  <si>
    <t>Data Masukan :</t>
  </si>
  <si>
    <t>Nama Pasien, Kode Kamar, Tanggal Keluar dan Biaya Obat-obatan</t>
  </si>
  <si>
    <t>Data yang dicari  :</t>
  </si>
  <si>
    <r>
      <t xml:space="preserve">*   </t>
    </r>
    <r>
      <rPr>
        <b/>
        <sz val="10"/>
        <rFont val="Arial"/>
        <family val="2"/>
      </rPr>
      <t>Jenis kamar</t>
    </r>
    <r>
      <rPr>
        <sz val="10"/>
        <rFont val="Arial"/>
      </rPr>
      <t xml:space="preserve"> : diperoleh dari Tabel Kamar berdasarkan Kode Kamar.</t>
    </r>
  </si>
  <si>
    <r>
      <t xml:space="preserve">*   </t>
    </r>
    <r>
      <rPr>
        <b/>
        <sz val="10"/>
        <rFont val="Arial"/>
        <family val="2"/>
      </rPr>
      <t>Jenis - Kategori Penyakit</t>
    </r>
    <r>
      <rPr>
        <sz val="10"/>
        <rFont val="Arial"/>
      </rPr>
      <t xml:space="preserve"> :</t>
    </r>
  </si>
  <si>
    <r>
      <t xml:space="preserve">  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Jenis Penyakit </t>
    </r>
    <r>
      <rPr>
        <sz val="10"/>
        <rFont val="Arial"/>
      </rPr>
      <t xml:space="preserve"> : diperoleh dari Tabel Jenis Penyakit berdasarkan Kode Jenis Penyakit.</t>
    </r>
  </si>
  <si>
    <t xml:space="preserve">    Kategori Penyakit  : Bila digit terakhir = B, maka kategori = Berat</t>
  </si>
  <si>
    <t xml:space="preserve">    Bila digit terakhir = R, maka kategori = Ringan</t>
  </si>
  <si>
    <r>
      <t xml:space="preserve">*   </t>
    </r>
    <r>
      <rPr>
        <b/>
        <sz val="10"/>
        <rFont val="Arial"/>
        <family val="2"/>
      </rPr>
      <t xml:space="preserve">Tanggal Masuk </t>
    </r>
    <r>
      <rPr>
        <sz val="10"/>
        <rFont val="Arial"/>
      </rPr>
      <t>: diambil dari Kode Tanggal Masuk. Gunakan fungsi DATEVALUE</t>
    </r>
  </si>
  <si>
    <t xml:space="preserve">    untuk mengkonversi data karakter menjadi data tanggal</t>
  </si>
  <si>
    <r>
      <t xml:space="preserve">*  </t>
    </r>
    <r>
      <rPr>
        <b/>
        <sz val="10"/>
        <rFont val="Arial"/>
        <family val="2"/>
      </rPr>
      <t xml:space="preserve"> Lama Inap</t>
    </r>
    <r>
      <rPr>
        <sz val="10"/>
        <rFont val="Arial"/>
      </rPr>
      <t xml:space="preserve"> : Tanggal Keluar - Tanggal Masuk</t>
    </r>
  </si>
  <si>
    <r>
      <t xml:space="preserve">*   </t>
    </r>
    <r>
      <rPr>
        <b/>
        <sz val="10"/>
        <rFont val="Arial"/>
        <family val="2"/>
      </rPr>
      <t>Biaya Inap</t>
    </r>
    <r>
      <rPr>
        <sz val="10"/>
        <rFont val="Arial"/>
      </rPr>
      <t xml:space="preserve"> : Tarif Kamar /hari x Lama Inap.</t>
    </r>
  </si>
  <si>
    <t xml:space="preserve">    Tarif Kamar/hari diperoleh dari Tabel Kamar berdasarkan Jenis Kamarnya.</t>
  </si>
  <si>
    <r>
      <t xml:space="preserve">*  </t>
    </r>
    <r>
      <rPr>
        <b/>
        <sz val="10"/>
        <rFont val="Arial"/>
        <family val="2"/>
      </rPr>
      <t xml:space="preserve"> Tarif Dokter </t>
    </r>
    <r>
      <rPr>
        <sz val="10"/>
        <rFont val="Arial"/>
      </rPr>
      <t xml:space="preserve"> : diperoleh dari Tabel Kamar, berdasarkan Jenis Kamar dan ringan atau beratnya penyakit.</t>
    </r>
  </si>
  <si>
    <r>
      <t xml:space="preserve">*   </t>
    </r>
    <r>
      <rPr>
        <b/>
        <sz val="10"/>
        <rFont val="Arial"/>
        <family val="2"/>
      </rPr>
      <t xml:space="preserve">Biaya Total </t>
    </r>
    <r>
      <rPr>
        <sz val="10"/>
        <rFont val="Arial"/>
      </rPr>
      <t xml:space="preserve"> : Biaya Inap + Tarif Dokter + Biaya Obat-obatan.</t>
    </r>
  </si>
  <si>
    <r>
      <t xml:space="preserve">*  </t>
    </r>
    <r>
      <rPr>
        <b/>
        <sz val="10"/>
        <rFont val="Arial"/>
        <family val="2"/>
      </rPr>
      <t xml:space="preserve"> Pajak 10 %</t>
    </r>
    <r>
      <rPr>
        <sz val="10"/>
        <rFont val="Arial"/>
      </rPr>
      <t xml:space="preserve">  : 10 % x Biaya Total.</t>
    </r>
  </si>
  <si>
    <r>
      <t xml:space="preserve">*   </t>
    </r>
    <r>
      <rPr>
        <b/>
        <sz val="10"/>
        <rFont val="Arial"/>
        <family val="2"/>
      </rPr>
      <t>Tagihan</t>
    </r>
    <r>
      <rPr>
        <sz val="10"/>
        <rFont val="Arial"/>
      </rPr>
      <t xml:space="preserve">  : Biaya Total + Pajak 10 %</t>
    </r>
  </si>
  <si>
    <r>
      <t xml:space="preserve">*   </t>
    </r>
    <r>
      <rPr>
        <b/>
        <sz val="10"/>
        <rFont val="Arial"/>
        <family val="2"/>
      </rPr>
      <t xml:space="preserve">Jumlah Tagihan </t>
    </r>
    <r>
      <rPr>
        <sz val="10"/>
        <rFont val="Arial"/>
      </rPr>
      <t xml:space="preserve"> : Penjumlahan semua nilai Tagihan </t>
    </r>
  </si>
  <si>
    <r>
      <t xml:space="preserve">*   </t>
    </r>
    <r>
      <rPr>
        <b/>
        <sz val="10"/>
        <rFont val="Arial"/>
        <family val="2"/>
      </rPr>
      <t>Pajak 10 %</t>
    </r>
    <r>
      <rPr>
        <sz val="10"/>
        <rFont val="Arial"/>
      </rPr>
      <t xml:space="preserve">  : 10 % x Jumlah Tagihan.</t>
    </r>
  </si>
  <si>
    <r>
      <t xml:space="preserve">*   </t>
    </r>
    <r>
      <rPr>
        <b/>
        <sz val="10"/>
        <rFont val="Arial"/>
        <family val="2"/>
      </rPr>
      <t>Penghasilan Bersih</t>
    </r>
    <r>
      <rPr>
        <sz val="10"/>
        <rFont val="Arial"/>
      </rPr>
      <t xml:space="preserve"> ( Penghasilan bersih yang diterima rumah sakit setelah dipotong pajak 10 % )  : Jumlah Tagihan - Pajak 10 %.</t>
    </r>
  </si>
  <si>
    <r>
      <t xml:space="preserve">Kolom </t>
    </r>
    <r>
      <rPr>
        <b/>
        <sz val="8"/>
        <rFont val="Arial"/>
        <family val="2"/>
      </rPr>
      <t>WAKTU BELAJAR</t>
    </r>
    <r>
      <rPr>
        <sz val="8"/>
        <rFont val="Arial"/>
        <charset val="1"/>
      </rPr>
      <t xml:space="preserve"> diisi dengan menggunakan fungsi IF dan fungsilabel berdasarkan NOMOR SISWA : </t>
    </r>
  </si>
  <si>
    <t>LAPORAN PENYEWAAN HOTEL "YOSHO"</t>
  </si>
  <si>
    <t>No.</t>
  </si>
  <si>
    <t>KODE BOOKING</t>
  </si>
  <si>
    <t>NAMA TAMU</t>
  </si>
  <si>
    <t>TANGGAL CHECK IN</t>
  </si>
  <si>
    <t>TANGGAL CHECK OUT</t>
  </si>
  <si>
    <t>JENIS KAMAR</t>
  </si>
  <si>
    <t>LUAS KAMAR</t>
  </si>
  <si>
    <t>MAKSIMAL TAMU</t>
  </si>
  <si>
    <t>JUMLAH TAMU</t>
  </si>
  <si>
    <t>LAMA MENGINAP</t>
  </si>
  <si>
    <t>TARIF KAMAR</t>
  </si>
  <si>
    <t>PESAN MELALUI</t>
  </si>
  <si>
    <t>BREAKFAST</t>
  </si>
  <si>
    <t>JUMLAH BIAYA KAMAR</t>
  </si>
  <si>
    <t>PAJAK</t>
  </si>
  <si>
    <t>TOTAL BAYAR</t>
  </si>
  <si>
    <t>DBL-02-AGD1-01</t>
  </si>
  <si>
    <t>Febriana. H</t>
  </si>
  <si>
    <t>4 Orang</t>
  </si>
  <si>
    <t>SGL-01-HTL3-00</t>
  </si>
  <si>
    <t>Aditya Koeswo</t>
  </si>
  <si>
    <t>1 Orang</t>
  </si>
  <si>
    <t>TWN-02-TVR2-01</t>
  </si>
  <si>
    <t>David Salim</t>
  </si>
  <si>
    <t>3 Orang</t>
  </si>
  <si>
    <t>PRS-04-HTL3-02</t>
  </si>
  <si>
    <t>Susanto Darwin</t>
  </si>
  <si>
    <t>6 Orang</t>
  </si>
  <si>
    <t>DBL-02-TVR2-01</t>
  </si>
  <si>
    <t>Hartono Darmin</t>
  </si>
  <si>
    <t>SGL-01-PGP2-00</t>
  </si>
  <si>
    <t>Debby Ferly</t>
  </si>
  <si>
    <t>STD-01-AGD1-02</t>
  </si>
  <si>
    <t>Livia Sari</t>
  </si>
  <si>
    <t>2 Orang</t>
  </si>
  <si>
    <t>TWN-02-PGP2-01</t>
  </si>
  <si>
    <t>Natalia Lim</t>
  </si>
  <si>
    <t>SPR-02-HTL3-01</t>
  </si>
  <si>
    <t>Suryawati Liauw</t>
  </si>
  <si>
    <t>SGL-01-TVR2-00</t>
  </si>
  <si>
    <t>Muljani Soedarjo</t>
  </si>
  <si>
    <t>SUT-03-AGD1-01</t>
  </si>
  <si>
    <t>Ferdinand Karo</t>
  </si>
  <si>
    <t>5 Orang</t>
  </si>
  <si>
    <t>PRS-04-PGP2-02</t>
  </si>
  <si>
    <t>Nirmala Ani</t>
  </si>
  <si>
    <t>DLX-02-HTL3-01</t>
  </si>
  <si>
    <t>Hendrokusumo</t>
  </si>
  <si>
    <t>TABEL DATA 1</t>
  </si>
  <si>
    <t>KODE KAMAR</t>
  </si>
  <si>
    <t>SGL-01</t>
  </si>
  <si>
    <t>SINGLE ROOM</t>
  </si>
  <si>
    <t>16 m2</t>
  </si>
  <si>
    <t>DBL-02</t>
  </si>
  <si>
    <t>DOUBLE ROOM</t>
  </si>
  <si>
    <t>25 m2</t>
  </si>
  <si>
    <t>TWN-02</t>
  </si>
  <si>
    <t>TWIN ROOM</t>
  </si>
  <si>
    <t>22 m2</t>
  </si>
  <si>
    <t>STD-01</t>
  </si>
  <si>
    <t>STANDART ROOM</t>
  </si>
  <si>
    <t>18 m2</t>
  </si>
  <si>
    <t>SPR-02</t>
  </si>
  <si>
    <t>SUPERIOR ROOM</t>
  </si>
  <si>
    <t>26 m2</t>
  </si>
  <si>
    <t>DLX-02</t>
  </si>
  <si>
    <t>DELUXE ROOM</t>
  </si>
  <si>
    <t>28 m2</t>
  </si>
  <si>
    <t>SUT-03</t>
  </si>
  <si>
    <t>SUITE ROOM</t>
  </si>
  <si>
    <t>30 m2</t>
  </si>
  <si>
    <t>PRS-04</t>
  </si>
  <si>
    <t>PRESIDENT ROOM</t>
  </si>
  <si>
    <t>32 m2</t>
  </si>
  <si>
    <t>TABEL DATA 2</t>
  </si>
  <si>
    <t>KODE PESAN</t>
  </si>
  <si>
    <t>HTL3</t>
  </si>
  <si>
    <t>AGD1</t>
  </si>
  <si>
    <t>TVR2</t>
  </si>
  <si>
    <t>PGP2</t>
  </si>
  <si>
    <t>CARA PESAN</t>
  </si>
  <si>
    <t>HOTEL</t>
  </si>
  <si>
    <t>AGODA</t>
  </si>
  <si>
    <t>TRAVELOKA</t>
  </si>
  <si>
    <t>PEGI-PEGI</t>
  </si>
  <si>
    <t>NOMOR</t>
  </si>
  <si>
    <t>NAMA</t>
  </si>
  <si>
    <t>JENIS</t>
  </si>
  <si>
    <t>TARIF</t>
  </si>
  <si>
    <t>TANGGAL</t>
  </si>
  <si>
    <t>LAMA</t>
  </si>
  <si>
    <t>PPN21%</t>
  </si>
  <si>
    <t>JUMLAH</t>
  </si>
  <si>
    <t>URUT</t>
  </si>
  <si>
    <t>TAMU</t>
  </si>
  <si>
    <t>KAMAR</t>
  </si>
  <si>
    <t>CHECK IN</t>
  </si>
  <si>
    <t>CHECH OUT</t>
  </si>
  <si>
    <t>INAP</t>
  </si>
  <si>
    <t>BAYAR</t>
  </si>
  <si>
    <t>ASNAWI</t>
  </si>
  <si>
    <t>BOBI</t>
  </si>
  <si>
    <t>KRISNA MUKTI</t>
  </si>
  <si>
    <t>HARUN</t>
  </si>
  <si>
    <t>RUSMID</t>
  </si>
  <si>
    <t>SUKIMN</t>
  </si>
  <si>
    <t>DASKIM</t>
  </si>
  <si>
    <t>TARWINI</t>
  </si>
  <si>
    <t>KULUP WIJAYA</t>
  </si>
  <si>
    <t>SANI</t>
  </si>
  <si>
    <t>TERTINGGI</t>
  </si>
  <si>
    <t>SOAL</t>
  </si>
  <si>
    <t>TERENDAH</t>
  </si>
  <si>
    <t>Isi Kolom jenis Kamar BersadarKan Kolom Nomor kamar. Jika 1 Karakkter dari Kiri ='1' Maka ='STANDAR', Jika '2' Maka = "SUPPERIOR", Jika '3' Maka ="DELUXE"</t>
  </si>
  <si>
    <t>RATA-RATA</t>
  </si>
  <si>
    <t>Isi Kolom TARIF BersadarKan Kolom JENIS KAMAR. Jika JENISKAMAR ='STANDAR' maka TARIF=275000, Jika JENISKAMAR="SUPPERIOR" Maka TARIF= 300000, SELAIN itu 350000</t>
  </si>
  <si>
    <t>JUMLAH DATA</t>
  </si>
  <si>
    <t>Isi Kolom LAMA INAP = ( TANGGAL CHECKOUT - TANGGAL CHECK IN)</t>
  </si>
  <si>
    <t>Isi Kolom BIAYA KAMAR = (LAMA INAP * TARIF)</t>
  </si>
  <si>
    <t>Isi Kolom PPN21% = (BIAYA KAMAR * 21%)</t>
  </si>
  <si>
    <t>Isi Kolom DISCOUNT 5% BersadarKan Kolom JENIS KAMAR. Jika JENISKAMAR ='STANDAR' atau"SUPPERIOR" Maka DISCOUNT5%=(BIAYA KAMAR * 5%), SELAIN itu 0</t>
  </si>
  <si>
    <t>Isi Kolom DISCOUNT 10% BersadarKan Kolom JENIS KAMAR dan LAMA INAP. Jika JENISKAMAR ='STANDAR' dan LAMA INAP &gt;2, Maka DISCOUNT10%=(BIAYA KAMAR * 10%), SELAIN itu 0</t>
  </si>
  <si>
    <t>Isi Kolom DISCOUNT 2,5% BersadarKan Kolom JENIS KAMAR dan LAMA INAP. Jika JENISKAMAR ='STANDAR' atau JENISKAMAR ='SUPPERIOR' dan LAMA INAP &gt;2, Maka DISCOUNT2,5%=(BIAYA KAMAR * 2,5%), SELAIN itu 0</t>
  </si>
  <si>
    <t>Isi Kolom JUMLAH  DISCOUNT = (DISCOUNT 5% + DISCOUNT 10% + DISCOUNT 2,5%)</t>
  </si>
  <si>
    <t>Isi Kolom JUMLAH  BAYAR = (BIAYA KAMAR + PPN - JUMLAH  DISCOUNT)</t>
  </si>
  <si>
    <t>NO</t>
  </si>
  <si>
    <t>NO KAMAR</t>
  </si>
  <si>
    <t>TOTAL TARIF</t>
  </si>
  <si>
    <t>LOUNDRY</t>
  </si>
  <si>
    <t>MAKAN</t>
  </si>
  <si>
    <t>TOTAL BRUTO</t>
  </si>
  <si>
    <t>TOTAL NETTO</t>
  </si>
  <si>
    <t>CHECK OUT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</si>
  <si>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</si>
  <si>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</si>
  <si>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</si>
  <si>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</si>
  <si>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</si>
  <si>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</si>
  <si>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</si>
  <si>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</si>
  <si>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</si>
  <si>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</si>
  <si>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</si>
  <si>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</si>
  <si>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</si>
  <si>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</si>
  <si>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</si>
  <si>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</si>
  <si>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Rusmid</t>
  </si>
  <si>
    <t>Mahfud Latief</t>
  </si>
  <si>
    <t>Adi Kurniadi</t>
  </si>
  <si>
    <t>Jojo Teja Sukmana</t>
  </si>
  <si>
    <t>Obay</t>
  </si>
  <si>
    <t>Raka Atmaja</t>
  </si>
  <si>
    <t>Damar Atmaja</t>
  </si>
  <si>
    <t>Renny</t>
  </si>
  <si>
    <t>Kursinah</t>
  </si>
  <si>
    <t>Jaja Turja</t>
  </si>
  <si>
    <t>Jumlah Penghasilan [q]</t>
  </si>
  <si>
    <t>Total Netto Tertinggi [r]</t>
  </si>
  <si>
    <t>Total Netto Terendah [s]</t>
  </si>
  <si>
    <t>Total Netto Rata-Rata [t]</t>
  </si>
  <si>
    <t>Jumlah Data [u]</t>
  </si>
  <si>
    <t>Ketentuan :</t>
  </si>
  <si>
    <t>1. Jenis Kamar (e) diperolah berdasarkan data no kamar yang bersumber dari tabel 2.</t>
  </si>
  <si>
    <t>2. Tarif $(f) diperolah berdasarkan jenis kamar yang bersumber dari tabel 1.</t>
  </si>
  <si>
    <t>3. Lama menginap (i) diperoleh dari perkalian antara tarif dengan lama menginap</t>
  </si>
  <si>
    <t>4. Total tarif (j) diperoleh dari perkalian antara tarif dengan lama menginap</t>
  </si>
  <si>
    <t>5. Loundry (k) dihitung dari jumlah tamu dikalikan dengan biaya loundry sebesar $ 5 dan lama menginap</t>
  </si>
  <si>
    <t>6. Total bruto (m) diperoleh penjumlahan antara tarif, loundry dan makanan</t>
  </si>
  <si>
    <t>7. Discount (n) sebesar 10% dari total bruto diberikan kepada tamu yang menginap lebih dari 5 hari</t>
  </si>
  <si>
    <t>8. Pajak (o) dikenakan sebesar 21% dari Total Bruto</t>
  </si>
  <si>
    <t>9. Total neto (p) diperoleh dari pengurangan antara total bruto dengan discount, kemudian ditambah pajak</t>
  </si>
  <si>
    <t>10. Jumlah penghasilan (q) merupakan penjumlahan dari seluruh netto</t>
  </si>
  <si>
    <t>11. Total netto tertinggi (r) merupakan nilai tertinggi diantara seluruh nilai total netto</t>
  </si>
  <si>
    <t>12. Total netto terendah (s) merupakan nilai terendah dari seluruh nilai netto</t>
  </si>
  <si>
    <t>13. Total netto rata-rata (t) merupakan nilai rata-rata seluruh nilai total netto</t>
  </si>
  <si>
    <t>14. Jumlah data (u) merupakan jumlah baris data yang terdapat dalam tabel diatas.</t>
  </si>
  <si>
    <t>Tabel 1:</t>
  </si>
  <si>
    <t>JENIS/TYPE KAMAR HOTEL SANTA FE</t>
  </si>
  <si>
    <t>DLX</t>
  </si>
  <si>
    <t>CRS</t>
  </si>
  <si>
    <t>EXS</t>
  </si>
  <si>
    <t>PRS</t>
  </si>
  <si>
    <t>DELUXE</t>
  </si>
  <si>
    <t>CORNER SUITE</t>
  </si>
  <si>
    <t>EXECUTIVE SUITE</t>
  </si>
  <si>
    <t>PRESEDENTIAL SUITE</t>
  </si>
  <si>
    <t>USD</t>
  </si>
  <si>
    <t>Rp.</t>
  </si>
  <si>
    <t>Petunjuk :</t>
  </si>
  <si>
    <t>Kolom Tarif Rp. (d) Pada Tabel 1 diperoleh dari konversi mata uang dolar (USD) dengan kurs yang ditentukan sebesar Rp. 8.950 perdolar</t>
  </si>
  <si>
    <t>TABEL 2</t>
  </si>
  <si>
    <t>DAFTAR KAMAR HOTEL SANTA FE</t>
  </si>
  <si>
    <t>Kolom Jenis Kamar (c) pada tabel 2 diperoleh berdasarkan kode kamar yang bersumber pada Tabel 1</t>
  </si>
  <si>
    <t>DAFTAR GAJI PEGAWAI</t>
  </si>
  <si>
    <t>PPN</t>
  </si>
  <si>
    <t>ANAK</t>
  </si>
  <si>
    <t>NIP</t>
  </si>
  <si>
    <t>NAMA PEGAWAI</t>
  </si>
  <si>
    <t>TMT</t>
  </si>
  <si>
    <t>GOLONGAN</t>
  </si>
  <si>
    <t>KELAMIN</t>
  </si>
  <si>
    <t>STATUS</t>
  </si>
  <si>
    <t>JUMLAH ANAK</t>
  </si>
  <si>
    <t>TUNJANGAN</t>
  </si>
  <si>
    <t>GAJI POKOK</t>
  </si>
  <si>
    <t>GAJI KOTOR</t>
  </si>
  <si>
    <t>GAJI BERSIH</t>
  </si>
  <si>
    <t>ISTRI</t>
  </si>
  <si>
    <t>JABATAN</t>
  </si>
  <si>
    <t>RAKA ATMAJA</t>
  </si>
  <si>
    <t>3B</t>
  </si>
  <si>
    <t>L</t>
  </si>
  <si>
    <t>BK</t>
  </si>
  <si>
    <t>DAMAR ATMAJA</t>
  </si>
  <si>
    <t>3A</t>
  </si>
  <si>
    <t>KW</t>
  </si>
  <si>
    <t>MURADI</t>
  </si>
  <si>
    <t>3C</t>
  </si>
  <si>
    <t>SELINA</t>
  </si>
  <si>
    <t>P</t>
  </si>
  <si>
    <t>ROSARIA</t>
  </si>
  <si>
    <t>PONIMAN</t>
  </si>
  <si>
    <t>JEJE TRISNAWATI</t>
  </si>
  <si>
    <t>SUKANDAR</t>
  </si>
  <si>
    <t>TARSINAH</t>
  </si>
  <si>
    <t>TOTAL &gt; 1 JT</t>
  </si>
  <si>
    <t>TABEL TMT 2005</t>
  </si>
  <si>
    <t>TABEL TMT 2006</t>
  </si>
  <si>
    <t>Isi Kolom kolom TUNJANGAN ANAK dengan ketentuan KELAMIN="L" DAN STATUS="KW" DAN JUMLAH ANAK &gt;=1 maka TUNJANGAN ANAK = ( JUMLAH ANAK * TUNJANGAN ANAK)</t>
  </si>
  <si>
    <t>JAWAB</t>
  </si>
  <si>
    <t>=IF(AND(G8="L";H8="KW";I8&gt;=1);I8*$O$4;0)</t>
  </si>
  <si>
    <t>Isi Kolom kolom TUNJANGAN ISTRI  dengan ketentuan KELAMIN="L" DAN STATUS="KW" maka TUNJANGAN ISTRI = 300000)</t>
  </si>
  <si>
    <t>=IF(AND(G8="L";H8="KW");300000;0)</t>
  </si>
  <si>
    <t>Isi Kolom kolom TUNJANGAN JABATAN  dengan ketentuan jika TMT =2005 Maka Data Diambil Dari Tabel Bantu TMT 2005, selain itu dari tabel TMT2006</t>
  </si>
  <si>
    <t>=IF(E8=2005;(VLOOKUP(F8;$B$25:$D$27;3;0));(VLOOKUP(F8;$B$33:$C$35;2;0)))</t>
  </si>
  <si>
    <t>Isi Kolom kolom GAJI KOTOR = (ANAK + ISTRI + JABATAN)</t>
  </si>
  <si>
    <t>=SUM(J8:M8)</t>
  </si>
  <si>
    <t>Isi Kolom kolom GAJI BERSIH = (GAJI KOTOR - PPN * GAJI KOTOR)</t>
  </si>
  <si>
    <t>=N8-$O$3*N8</t>
  </si>
  <si>
    <t>DAFTAR PENGELUARAN UANG MINGGUAN</t>
  </si>
  <si>
    <t>PT. SUMBER MAKMUR</t>
  </si>
  <si>
    <t>Uang Makan/hari</t>
  </si>
  <si>
    <t>Uang Lembur/hari</t>
  </si>
  <si>
    <t>Jml Hari</t>
  </si>
  <si>
    <t>Jml Jam</t>
  </si>
  <si>
    <t>Uang</t>
  </si>
  <si>
    <t>Uang Lembur</t>
  </si>
  <si>
    <t>Total Uang</t>
  </si>
  <si>
    <t>Uang makan adalah Uang makan/hari dikali Jml Hari kerja</t>
  </si>
  <si>
    <t>Pegawai</t>
  </si>
  <si>
    <t>Kerja</t>
  </si>
  <si>
    <t>Lembur</t>
  </si>
  <si>
    <t>Makan</t>
  </si>
  <si>
    <t>Mingguan</t>
  </si>
  <si>
    <t>Uang Lembur adalah Uang Lembur/hari dikali Jml Jam Lembur</t>
  </si>
  <si>
    <t>Dadi Mulyadi</t>
  </si>
  <si>
    <t>Dedi Muntadi</t>
  </si>
  <si>
    <t>Harjono</t>
  </si>
  <si>
    <t>Indarto</t>
  </si>
  <si>
    <t>Indarti</t>
  </si>
  <si>
    <t>Adiawati</t>
  </si>
  <si>
    <t>aditiawanto</t>
  </si>
  <si>
    <t>Dewi Luwi</t>
  </si>
  <si>
    <t>Dewa Lewi</t>
  </si>
  <si>
    <t xml:space="preserve">Entin </t>
  </si>
  <si>
    <t>Sophia</t>
  </si>
  <si>
    <t>Endang</t>
  </si>
  <si>
    <t>Kode DK</t>
  </si>
  <si>
    <t>Asal</t>
  </si>
  <si>
    <t>Kode</t>
  </si>
  <si>
    <t>Kendaraan</t>
  </si>
  <si>
    <t>Daerah</t>
  </si>
  <si>
    <t>Gunakanlah Fungsi Label dan Fungsi IF</t>
  </si>
  <si>
    <t>DK.456.UK</t>
  </si>
  <si>
    <t>DK.568.JJ</t>
  </si>
  <si>
    <t>AB.852.JK</t>
  </si>
  <si>
    <t>AD.464.DU</t>
  </si>
  <si>
    <t>AB.356.TA</t>
  </si>
  <si>
    <t>Asal Kendaraan adalah :</t>
  </si>
  <si>
    <t>Jika 2 karakter dari kiri Kode DK adalah AD maka kode asalnya adalah Solo</t>
  </si>
  <si>
    <t>Jika 2 karakter dari kiri Kode DK adalah AB maka kode asalnya adalah Yogyakarta</t>
  </si>
  <si>
    <t>Jika 2 karakter dari kiri Kode DK adalah DH maka kode asalnya adalah Kupang</t>
  </si>
  <si>
    <t>Jika 2 karakter dari kiri Kode DK adalah DK maka kode asalnya adalah Bali</t>
  </si>
  <si>
    <t>No Kendaraan diambil 3 angka ditengah dari Kode DK</t>
  </si>
  <si>
    <t>Kode Daerah diambil 2 karakter dari kiri pada Kode DK</t>
  </si>
  <si>
    <t>HASIL PENJUALAN KUE</t>
  </si>
  <si>
    <t>CV "RASA ENAK BANGET"</t>
  </si>
  <si>
    <t>Tabel Jenis dan Harga Kue</t>
  </si>
  <si>
    <t>Kode Kue</t>
  </si>
  <si>
    <t>Jenis Kue</t>
  </si>
  <si>
    <t>Harga Kue</t>
  </si>
  <si>
    <t>Jumlah Kue</t>
  </si>
  <si>
    <t>Total Belanja</t>
  </si>
  <si>
    <t>Klasifikasi</t>
  </si>
  <si>
    <t>Bolu</t>
  </si>
  <si>
    <t>Lemper</t>
  </si>
  <si>
    <t>T</t>
  </si>
  <si>
    <t>Tahu</t>
  </si>
  <si>
    <t>R</t>
  </si>
  <si>
    <t>Resoles</t>
  </si>
  <si>
    <t>Pastel</t>
  </si>
  <si>
    <t>Total Pembelian</t>
  </si>
  <si>
    <t>DATA YANG HARUS ANDA CARI :</t>
  </si>
  <si>
    <t>Jenis Kue ( Cari sendiri ) Menggunakan Lookup</t>
  </si>
  <si>
    <t>Harga ( Cari Sendiri ) Menggunakan Lookup</t>
  </si>
  <si>
    <t>Nilai Beli ( Mohon dipikirkan dan dikerjakan )</t>
  </si>
  <si>
    <t>Klasifikasi :</t>
  </si>
  <si>
    <t>Jika Total Belanja &gt;=15.000, maka klasifikasi ="Banyak"</t>
  </si>
  <si>
    <t>Jika Total Belanja &gt;=10.000, maka klasifikasi ="Sedang"</t>
  </si>
  <si>
    <t>Jika Total Belanja &lt;=10.000, maka klasifikasi ="Sedikit"</t>
  </si>
  <si>
    <t>LAPORAN PENJUALAN OBAT</t>
  </si>
  <si>
    <t>APOTEK "SEMOGA LEKAS SEMBUH"</t>
  </si>
  <si>
    <t>Kode Obat</t>
  </si>
  <si>
    <t>Nama Obat</t>
  </si>
  <si>
    <t>Harga Satuan</t>
  </si>
  <si>
    <t>Jumlah Obat</t>
  </si>
  <si>
    <t>Total Harga (Rp)</t>
  </si>
  <si>
    <t>Jenis Pembayaran</t>
  </si>
  <si>
    <t>Nama Apotek</t>
  </si>
  <si>
    <t>Discount (Rp)</t>
  </si>
  <si>
    <t>Bonus (Rp)</t>
  </si>
  <si>
    <t>Pajak (Rp)</t>
  </si>
  <si>
    <t>Total Bayar (Rp)</t>
  </si>
  <si>
    <t>ASP</t>
  </si>
  <si>
    <t>Tunai</t>
  </si>
  <si>
    <t>Anugrah</t>
  </si>
  <si>
    <t>DCL</t>
  </si>
  <si>
    <t>Kredit</t>
  </si>
  <si>
    <t>Kimia Farma</t>
  </si>
  <si>
    <t>Sejahtera</t>
  </si>
  <si>
    <t>BLS</t>
  </si>
  <si>
    <t>Kusuma jaya</t>
  </si>
  <si>
    <t>Abadi</t>
  </si>
  <si>
    <t>Harapan</t>
  </si>
  <si>
    <t>Diagnosa</t>
  </si>
  <si>
    <t>Tabel Obat</t>
  </si>
  <si>
    <t>Aspirin</t>
  </si>
  <si>
    <t>Data Yang harus anda Cari :</t>
  </si>
  <si>
    <t>Decolsin</t>
  </si>
  <si>
    <t>Nama Obat, Harga Satuan, Total Harga ( Pikirkan sendiri )</t>
  </si>
  <si>
    <t>Balsem</t>
  </si>
  <si>
    <t xml:space="preserve">Bonus : </t>
  </si>
  <si>
    <t>Jika Total Harga Diatas 50000 maka dapat bonus 10% dari Total Harga</t>
  </si>
  <si>
    <t>Jika Jumlah Obat dibawah 50 maka tidak dapat bonus</t>
  </si>
  <si>
    <t>Discount</t>
  </si>
  <si>
    <t>Jika Jenis Pembayaran ="Tunai" maka discount : 15% x Total Harga</t>
  </si>
  <si>
    <t xml:space="preserve">Jika Jenis Pembayaran ="Kredit" maka tidak mendapat discount </t>
  </si>
  <si>
    <t>Pajak = 5% dari Total Harga</t>
  </si>
  <si>
    <t>Total Bayar + Pajak - Discount - Bonus</t>
  </si>
  <si>
    <t>TABEL PENJUALAN MAKANAN KUCING</t>
  </si>
  <si>
    <t>KODE PENJUALAN</t>
  </si>
  <si>
    <t>NAMA TOKO</t>
  </si>
  <si>
    <t>TANGGAL PENJUALAN</t>
  </si>
  <si>
    <t>MERK - DISTRIBUTOR MAKANAN KUCING</t>
  </si>
  <si>
    <t>RASA MAKANAN</t>
  </si>
  <si>
    <t>BERAT MAKANAN</t>
  </si>
  <si>
    <t>JUMLAH TERJUAL</t>
  </si>
  <si>
    <t>SATUAN BARANG</t>
  </si>
  <si>
    <t>HARGA SATUAN</t>
  </si>
  <si>
    <t>BONUS PEMBELIAN</t>
  </si>
  <si>
    <t>TOTAL HARGA</t>
  </si>
  <si>
    <t>M-AY-FRS-5-PR-002</t>
  </si>
  <si>
    <t>BARBIE PET SHOP</t>
  </si>
  <si>
    <t>14-02-2017</t>
  </si>
  <si>
    <t>O-BB-CCL-3-MT-001</t>
  </si>
  <si>
    <t>JAMBI PET SHOP</t>
  </si>
  <si>
    <t>O-SL-SSP-3-GM-002</t>
  </si>
  <si>
    <t>BATMAN PET SHOP</t>
  </si>
  <si>
    <t>J-UD-SNK-5-JL-001</t>
  </si>
  <si>
    <t>GLORY PET SHOP</t>
  </si>
  <si>
    <t>O-OR-PPS-1-TS-001</t>
  </si>
  <si>
    <t>CLARA CLEO PET SHOP</t>
  </si>
  <si>
    <t>15-02-2017</t>
  </si>
  <si>
    <t>O-AY-BGC-1-JL-002</t>
  </si>
  <si>
    <t>CHOCHO PET SHOP</t>
  </si>
  <si>
    <t>S-SL-MRD-3-GM-002</t>
  </si>
  <si>
    <t>BIG PAW PET SHOP</t>
  </si>
  <si>
    <t>O-AY-SPR-1-TS-002</t>
  </si>
  <si>
    <t>HENGKY PET SHOP</t>
  </si>
  <si>
    <t>16-02-2017</t>
  </si>
  <si>
    <t>O-SL-PCS-7-MT-001</t>
  </si>
  <si>
    <t>KING PET SHOP</t>
  </si>
  <si>
    <t>17-02-2017</t>
  </si>
  <si>
    <t>S-UD-FNT-3-PR-001</t>
  </si>
  <si>
    <t>QUEEN PET SHOP</t>
  </si>
  <si>
    <t>O-BB-GRS-3-JL-002</t>
  </si>
  <si>
    <t>PERSIA PET SHOP</t>
  </si>
  <si>
    <t>18-02-2017</t>
  </si>
  <si>
    <t>C-AY-NSC-2-PR-001</t>
  </si>
  <si>
    <t>ANGGORA PET SHOP</t>
  </si>
  <si>
    <t>19-02-2017</t>
  </si>
  <si>
    <t>O-SL-CCL-3-MT-002</t>
  </si>
  <si>
    <t>DOMESTIK PET SHOP</t>
  </si>
  <si>
    <t>MERK MAKANAN KUCING</t>
  </si>
  <si>
    <t>BERAT MAKANAN KUCING</t>
  </si>
  <si>
    <t>CCL-3</t>
  </si>
  <si>
    <t>ME-O</t>
  </si>
  <si>
    <t>SPR-1</t>
  </si>
  <si>
    <t>ROYAL CANIN</t>
  </si>
  <si>
    <t>FNT-3</t>
  </si>
  <si>
    <t>PRO PLAN</t>
  </si>
  <si>
    <t>SNK-5</t>
  </si>
  <si>
    <t>FRIESKIES</t>
  </si>
  <si>
    <t>SSP-3</t>
  </si>
  <si>
    <t>WHISKAS</t>
  </si>
  <si>
    <t>PPS-1</t>
  </si>
  <si>
    <t>MAXI</t>
  </si>
  <si>
    <t>BGC-1</t>
  </si>
  <si>
    <t>EQUILIBRIO</t>
  </si>
  <si>
    <t>PCS-7</t>
  </si>
  <si>
    <t>NUTRI SOURCE</t>
  </si>
  <si>
    <t>NSC-2</t>
  </si>
  <si>
    <t>PURE VITA</t>
  </si>
  <si>
    <t>FRS-5</t>
  </si>
  <si>
    <t>UNIVERSAL</t>
  </si>
  <si>
    <t>GRS-3</t>
  </si>
  <si>
    <t>BLACK WOOD</t>
  </si>
  <si>
    <t>MRD-3</t>
  </si>
  <si>
    <t>EUKANUBA</t>
  </si>
  <si>
    <t>KODE DISTRIBUTOR</t>
  </si>
  <si>
    <t>JL</t>
  </si>
  <si>
    <t>TS</t>
  </si>
  <si>
    <t>GM</t>
  </si>
  <si>
    <t>PR</t>
  </si>
  <si>
    <t>MT</t>
  </si>
  <si>
    <t>DISTRIBUTOR</t>
  </si>
  <si>
    <t>CV. JAYA LAKSANA</t>
  </si>
  <si>
    <t>CV. TIRTA SAKTI</t>
  </si>
  <si>
    <t>PT. GEMMA</t>
  </si>
  <si>
    <t>CV. PURNOMO</t>
  </si>
  <si>
    <t>PT. MITRA</t>
  </si>
  <si>
    <t>SATUAN</t>
  </si>
  <si>
    <t>PCS</t>
  </si>
  <si>
    <t>LUSIN</t>
  </si>
  <si>
    <t>KODI</t>
  </si>
  <si>
    <t>PAK</t>
  </si>
  <si>
    <t>DUS</t>
  </si>
  <si>
    <t>DAFTAR MOTOR SHOWROOM ABAL-ABAL MOTOR</t>
  </si>
  <si>
    <t>Kode Motor</t>
  </si>
  <si>
    <t>Produsen</t>
  </si>
  <si>
    <t>Besar CC</t>
  </si>
  <si>
    <t>Harga Dasar</t>
  </si>
  <si>
    <t>Profit</t>
  </si>
  <si>
    <t>By. Adm</t>
  </si>
  <si>
    <t>Total Tambahan</t>
  </si>
  <si>
    <t>Nilai Jual</t>
  </si>
  <si>
    <t>Nilai Rupiah</t>
  </si>
  <si>
    <t>YM.02.486</t>
  </si>
  <si>
    <t>SZ.01.398</t>
  </si>
  <si>
    <t>SZ.03.990</t>
  </si>
  <si>
    <t>HD.02.390</t>
  </si>
  <si>
    <t>BT.02.891</t>
  </si>
  <si>
    <t>KW.01.982</t>
  </si>
  <si>
    <t>YM.01.763</t>
  </si>
  <si>
    <t>YM.01.891</t>
  </si>
  <si>
    <t>SZ.03.443</t>
  </si>
  <si>
    <t>DC.02.444</t>
  </si>
  <si>
    <t>BJ.03.709</t>
  </si>
  <si>
    <t>BT.03.871</t>
  </si>
  <si>
    <t>HD.02.514</t>
  </si>
  <si>
    <t>DC.03.698</t>
  </si>
  <si>
    <t>SZ.03.401</t>
  </si>
  <si>
    <t>DAFTAR PRODUSEN MOTOR</t>
  </si>
  <si>
    <t>Kode Produsen</t>
  </si>
  <si>
    <t>BJ</t>
  </si>
  <si>
    <t>Bajaj</t>
  </si>
  <si>
    <t>BT</t>
  </si>
  <si>
    <t>Betrix</t>
  </si>
  <si>
    <t>DC</t>
  </si>
  <si>
    <t>Ducati</t>
  </si>
  <si>
    <t>HD</t>
  </si>
  <si>
    <t>Honda</t>
  </si>
  <si>
    <t>Kawasaki</t>
  </si>
  <si>
    <t>SZ</t>
  </si>
  <si>
    <t>Suzuki</t>
  </si>
  <si>
    <t>YM</t>
  </si>
  <si>
    <t>Yamaha</t>
  </si>
  <si>
    <t>Kode Slip Gaji</t>
  </si>
  <si>
    <t>Tanggal Slip</t>
  </si>
  <si>
    <t>Nama Pegawai</t>
  </si>
  <si>
    <t>Kode Jabatan</t>
  </si>
  <si>
    <t>Nilai Penjualan</t>
  </si>
  <si>
    <t>Gaji Pokok</t>
  </si>
  <si>
    <t>Tunj. Jabatan</t>
  </si>
  <si>
    <t>Anggota Keluarga</t>
  </si>
  <si>
    <t>Tun. Keluarga</t>
  </si>
  <si>
    <t>Bonus Penjualan</t>
  </si>
  <si>
    <t>Total Gaji</t>
  </si>
  <si>
    <t>Biaya Koperasi</t>
  </si>
  <si>
    <t>Biaya Asuransi</t>
  </si>
  <si>
    <t>Kasbon</t>
  </si>
  <si>
    <t>Besar Potongan</t>
  </si>
  <si>
    <t>Total Penerimaan</t>
  </si>
  <si>
    <t>AG-0219-001</t>
  </si>
  <si>
    <t>PGJ-002</t>
  </si>
  <si>
    <t>AG-0219-002</t>
  </si>
  <si>
    <t>PGJ-001</t>
  </si>
  <si>
    <t>AG-0219-003</t>
  </si>
  <si>
    <t>PGJ-005</t>
  </si>
  <si>
    <t>AG-0219-004</t>
  </si>
  <si>
    <t>PGJ-003</t>
  </si>
  <si>
    <t>AG-0219-005</t>
  </si>
  <si>
    <t>PGJ-006</t>
  </si>
  <si>
    <t>AG-0219-006</t>
  </si>
  <si>
    <t>PGJ-004</t>
  </si>
  <si>
    <t>AG-0319-001</t>
  </si>
  <si>
    <t>AG-0319-002</t>
  </si>
  <si>
    <t>AG-0319-003</t>
  </si>
  <si>
    <t>AG-0319-004</t>
  </si>
  <si>
    <t>AG-0319-005</t>
  </si>
  <si>
    <t>AG-0319-006</t>
  </si>
  <si>
    <t>TABEL PEGAWAI</t>
  </si>
  <si>
    <t>TABEL JABATAN</t>
  </si>
  <si>
    <t>Gaji</t>
  </si>
  <si>
    <t>Anggota</t>
  </si>
  <si>
    <t>Jabatan</t>
  </si>
  <si>
    <t>Pokok</t>
  </si>
  <si>
    <t>Keluarga</t>
  </si>
  <si>
    <t>SPV</t>
  </si>
  <si>
    <t>SNSL</t>
  </si>
  <si>
    <t>JNSL</t>
  </si>
  <si>
    <t>TRN</t>
  </si>
  <si>
    <t>ROK</t>
  </si>
  <si>
    <t>Bambang Indra</t>
  </si>
  <si>
    <t>Sukamto</t>
  </si>
  <si>
    <t>Dimyanti</t>
  </si>
  <si>
    <t>Erhandi</t>
  </si>
  <si>
    <t>Awang Pangestu</t>
  </si>
  <si>
    <t>Iin Nurlina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</si>
</sst>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[$-409]d\-mmm\-yy;@"/>
    <numFmt numFmtId="166" formatCode="_(* #,##0_);_(* \(#,##0\);_(* &quot;-&quot;??_);_(@_)"/>
    <numFmt numFmtId="167" formatCode="[$-F800]dddd\,\ mmmm\ dd\,\ yyyy"/>
    <numFmt numFmtId="168" formatCode="_([$Rp-421]* #,##0_);_([$Rp-421]* \(#,##0\);_([$Rp-421]* &quot;-&quot;??_);_(@_)"/>
    <numFmt numFmtId="169" formatCode="_([$Rp-421]* #,##0.00_);_([$Rp-421]* \(#,##0.00\);_([$Rp-421]* &quot;-&quot;??_);_(@_)"/>
    <numFmt numFmtId="170" formatCode="0\ &quot;hari&quot;"/>
    <numFmt numFmtId="171" formatCode="_-[$Rp-421]* #,##0.00_-;\-[$Rp-421]* #,##0.00_-;_-[$Rp-421]* &quot;-&quot;??_-;_-@_-"/>
    <numFmt numFmtId="172" formatCode="[$-421]dd\ mmmm\ yyyy;@"/>
    <numFmt numFmtId="173" formatCode="[$Rp-421]#,##0.00"/>
    <numFmt numFmtId="174" formatCode="[$Rp-421]#,##0"/>
    <numFmt numFmtId="175" formatCode="0.0%"/>
    <numFmt numFmtId="176" formatCode="[$Rp-421]#,##0.0"/>
    <numFmt numFmtId="177" formatCode="_(&quot;$&quot;* #,##0_);_(&quot;$&quot;* \(#,##0\);_(&quot;$&quot;* &quot;-&quot;??_);_(@_)"/>
    <numFmt numFmtId="178" formatCode="_-[$Rp-421]* #,##0_-;\-[$Rp-421]* #,##0_-;_-[$Rp-421]* &quot;-&quot;??_-;_-@_-"/>
    <numFmt numFmtId="179" formatCode="_(&quot;Rp&quot;* #,##0_);_(&quot;Rp&quot;* \(#,##0\);_(&quot;Rp&quot;* &quot;-&quot;_);_(@_)"/>
    <numFmt numFmtId="180" formatCode="_([$Rp-421]* #,##0_);_([$Rp-421]* \(#,##0\);_([$Rp-421]* &quot;-&quot;_);_(@_)"/>
    <numFmt numFmtId="181" formatCode="[$$-C09]#,##0"/>
    <numFmt numFmtId="182" formatCode="_-* #,##0_-;\-* #,##0_-;_-* &quot;-&quot;_-;_-@_-"/>
    <numFmt numFmtId="183" formatCode="_-&quot;Rp&quot;* #,##0_-;\-&quot;Rp&quot;* #,##0_-;_-&quot;Rp&quot;* &quot;-&quot;_-;_-@_-"/>
  </numFmts>
  <fonts count="3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color indexed="48"/>
      <name val="Albertus Extra Bold"/>
      <family val="2"/>
    </font>
    <font>
      <sz val="10"/>
      <name val="Albertus Medium"/>
      <family val="2"/>
    </font>
    <font>
      <b/>
      <sz val="8"/>
      <name val="Arial"/>
      <family val="2"/>
    </font>
    <font>
      <sz val="8"/>
      <name val="Arial"/>
      <charset val="1"/>
    </font>
    <font>
      <b/>
      <sz val="8"/>
      <name val="Arial"/>
      <charset val="1"/>
    </font>
    <font>
      <sz val="10"/>
      <color indexed="9"/>
      <name val="Arial"/>
      <charset val="1"/>
    </font>
    <font>
      <b/>
      <sz val="8"/>
      <color indexed="81"/>
      <name val="Tahoma"/>
    </font>
    <font>
      <sz val="8"/>
      <color indexed="81"/>
      <name val="Tahoma"/>
    </font>
    <font>
      <sz val="14"/>
      <name val="Arial Unicode MS"/>
      <family val="2"/>
    </font>
    <font>
      <b/>
      <sz val="10"/>
      <name val="Arial Unicode MS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20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2"/>
      <color indexed="20"/>
      <name val="Ashley Crawford"/>
      <family val="5"/>
    </font>
    <font>
      <sz val="10"/>
      <color indexed="12"/>
      <name val="Arial"/>
      <charset val="1"/>
    </font>
    <font>
      <b/>
      <sz val="10"/>
      <name val="Arial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n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0">
    <xf numFmtId="0" fontId="0" fillId="0" borderId="0" xfId="0"/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164" fontId="0" fillId="2" borderId="2" xfId="0" applyNumberFormat="1" applyFill="1" applyBorder="1"/>
    <xf numFmtId="165" fontId="0" fillId="2" borderId="2" xfId="0" applyNumberFormat="1" applyFill="1" applyBorder="1"/>
    <xf numFmtId="0" fontId="0" fillId="0" borderId="2" xfId="0" applyBorder="1" applyAlignment="1">
      <alignment horizontal="center"/>
    </xf>
    <xf numFmtId="166" fontId="0" fillId="0" borderId="2" xfId="1" applyNumberFormat="1" applyFont="1" applyBorder="1"/>
    <xf numFmtId="166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164" fontId="0" fillId="2" borderId="5" xfId="0" applyNumberFormat="1" applyFill="1" applyBorder="1"/>
    <xf numFmtId="165" fontId="0" fillId="2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0" fontId="0" fillId="0" borderId="10" xfId="0" applyBorder="1"/>
    <xf numFmtId="166" fontId="0" fillId="0" borderId="11" xfId="1" applyNumberFormat="1" applyFont="1" applyBorder="1"/>
    <xf numFmtId="166" fontId="0" fillId="0" borderId="12" xfId="1" applyNumberFormat="1" applyFont="1" applyBorder="1"/>
    <xf numFmtId="0" fontId="0" fillId="0" borderId="13" xfId="0" applyBorder="1"/>
    <xf numFmtId="166" fontId="0" fillId="0" borderId="14" xfId="1" applyNumberFormat="1" applyFont="1" applyBorder="1"/>
    <xf numFmtId="166" fontId="0" fillId="0" borderId="15" xfId="1" applyNumberFormat="1" applyFont="1" applyBorder="1"/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/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Continuous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7" fillId="0" borderId="27" xfId="0" applyFont="1" applyBorder="1" applyAlignment="1">
      <alignment horizontal="center"/>
    </xf>
    <xf numFmtId="0" fontId="7" fillId="0" borderId="28" xfId="0" applyFont="1" applyBorder="1"/>
    <xf numFmtId="0" fontId="7" fillId="0" borderId="28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7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0" fillId="0" borderId="36" xfId="0" applyBorder="1"/>
    <xf numFmtId="0" fontId="0" fillId="0" borderId="0" xfId="0" applyBorder="1"/>
    <xf numFmtId="0" fontId="0" fillId="3" borderId="2" xfId="0" applyFill="1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37" xfId="0" applyBorder="1" applyAlignment="1">
      <alignment shrinkToFit="1"/>
    </xf>
    <xf numFmtId="0" fontId="0" fillId="3" borderId="2" xfId="0" quotePrefix="1" applyFill="1" applyBorder="1" applyAlignment="1">
      <alignment horizontal="center" shrinkToFit="1"/>
    </xf>
    <xf numFmtId="0" fontId="0" fillId="0" borderId="0" xfId="0" applyAlignment="1">
      <alignment shrinkToFit="1"/>
    </xf>
    <xf numFmtId="9" fontId="0" fillId="0" borderId="37" xfId="0" applyNumberFormat="1" applyBorder="1" applyAlignment="1">
      <alignment shrinkToFit="1"/>
    </xf>
    <xf numFmtId="9" fontId="0" fillId="0" borderId="2" xfId="0" applyNumberFormat="1" applyBorder="1" applyAlignment="1">
      <alignment shrinkToFit="1"/>
    </xf>
    <xf numFmtId="0" fontId="8" fillId="0" borderId="0" xfId="0" applyFont="1"/>
    <xf numFmtId="0" fontId="9" fillId="0" borderId="0" xfId="0" applyFont="1"/>
    <xf numFmtId="0" fontId="9" fillId="0" borderId="0" xfId="0" quotePrefix="1" applyFont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quotePrefix="1" applyBorder="1"/>
    <xf numFmtId="167" fontId="0" fillId="0" borderId="2" xfId="0" applyNumberFormat="1" applyBorder="1"/>
    <xf numFmtId="0" fontId="0" fillId="0" borderId="2" xfId="0" applyNumberFormat="1" applyBorder="1" applyAlignment="1">
      <alignment horizontal="center"/>
    </xf>
    <xf numFmtId="0" fontId="0" fillId="0" borderId="38" xfId="0" applyBorder="1"/>
    <xf numFmtId="0" fontId="11" fillId="0" borderId="0" xfId="0" applyFont="1"/>
    <xf numFmtId="0" fontId="11" fillId="0" borderId="0" xfId="0" quotePrefix="1" applyFont="1" applyBorder="1"/>
    <xf numFmtId="0" fontId="14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0" borderId="2" xfId="0" applyNumberFormat="1" applyBorder="1"/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/>
    <xf numFmtId="169" fontId="0" fillId="0" borderId="3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3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quotePrefix="1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70" fontId="0" fillId="0" borderId="2" xfId="0" applyNumberFormat="1" applyBorder="1" applyAlignment="1">
      <alignment horizontal="center"/>
    </xf>
    <xf numFmtId="0" fontId="16" fillId="0" borderId="0" xfId="0" applyFont="1"/>
    <xf numFmtId="169" fontId="0" fillId="0" borderId="28" xfId="2" applyNumberFormat="1" applyFont="1" applyBorder="1"/>
    <xf numFmtId="169" fontId="0" fillId="0" borderId="25" xfId="0" applyNumberFormat="1" applyBorder="1"/>
    <xf numFmtId="169" fontId="0" fillId="0" borderId="29" xfId="0" applyNumberFormat="1" applyBorder="1"/>
    <xf numFmtId="169" fontId="0" fillId="0" borderId="23" xfId="0" applyNumberFormat="1" applyBorder="1"/>
    <xf numFmtId="169" fontId="0" fillId="0" borderId="26" xfId="0" applyNumberFormat="1" applyBorder="1"/>
    <xf numFmtId="43" fontId="0" fillId="0" borderId="0" xfId="0" applyNumberFormat="1"/>
    <xf numFmtId="169" fontId="0" fillId="0" borderId="39" xfId="0" applyNumberFormat="1" applyBorder="1"/>
    <xf numFmtId="171" fontId="0" fillId="0" borderId="6" xfId="0" applyNumberFormat="1" applyBorder="1"/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172" fontId="0" fillId="0" borderId="2" xfId="0" applyNumberFormat="1" applyBorder="1" applyAlignment="1">
      <alignment horizontal="center" vertic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173" fontId="0" fillId="6" borderId="2" xfId="0" applyNumberFormat="1" applyFill="1" applyBorder="1"/>
    <xf numFmtId="174" fontId="0" fillId="6" borderId="2" xfId="0" applyNumberFormat="1" applyFill="1" applyBorder="1" applyAlignment="1">
      <alignment horizontal="right" vertical="center"/>
    </xf>
    <xf numFmtId="174" fontId="0" fillId="6" borderId="2" xfId="0" applyNumberFormat="1" applyFill="1" applyBorder="1"/>
    <xf numFmtId="173" fontId="0" fillId="0" borderId="2" xfId="0" applyNumberFormat="1" applyBorder="1"/>
    <xf numFmtId="0" fontId="0" fillId="0" borderId="0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8" fillId="7" borderId="55" xfId="0" applyFont="1" applyFill="1" applyBorder="1" applyAlignment="1">
      <alignment horizontal="center"/>
    </xf>
    <xf numFmtId="0" fontId="18" fillId="7" borderId="55" xfId="0" applyFont="1" applyFill="1" applyBorder="1" applyAlignment="1">
      <alignment horizontal="center" vertical="center"/>
    </xf>
    <xf numFmtId="0" fontId="18" fillId="7" borderId="28" xfId="0" applyFont="1" applyFill="1" applyBorder="1" applyAlignment="1">
      <alignment horizontal="center"/>
    </xf>
    <xf numFmtId="9" fontId="18" fillId="7" borderId="28" xfId="0" applyNumberFormat="1" applyFont="1" applyFill="1" applyBorder="1" applyAlignment="1">
      <alignment horizontal="center"/>
    </xf>
    <xf numFmtId="175" fontId="18" fillId="7" borderId="28" xfId="0" applyNumberFormat="1" applyFont="1" applyFill="1" applyBorder="1" applyAlignment="1">
      <alignment horizontal="center"/>
    </xf>
    <xf numFmtId="0" fontId="19" fillId="0" borderId="2" xfId="0" applyFont="1" applyBorder="1"/>
    <xf numFmtId="0" fontId="19" fillId="8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168" fontId="19" fillId="0" borderId="2" xfId="0" applyNumberFormat="1" applyFont="1" applyBorder="1"/>
    <xf numFmtId="14" fontId="19" fillId="0" borderId="2" xfId="0" applyNumberFormat="1" applyFont="1" applyBorder="1"/>
    <xf numFmtId="169" fontId="19" fillId="0" borderId="2" xfId="0" applyNumberFormat="1" applyFont="1" applyBorder="1"/>
    <xf numFmtId="176" fontId="19" fillId="0" borderId="2" xfId="0" applyNumberFormat="1" applyFont="1" applyBorder="1"/>
    <xf numFmtId="168" fontId="19" fillId="8" borderId="2" xfId="0" applyNumberFormat="1" applyFont="1" applyFill="1" applyBorder="1"/>
    <xf numFmtId="0" fontId="20" fillId="0" borderId="0" xfId="0" applyFont="1"/>
    <xf numFmtId="168" fontId="0" fillId="0" borderId="0" xfId="0" applyNumberFormat="1"/>
    <xf numFmtId="0" fontId="21" fillId="9" borderId="0" xfId="0" applyFont="1" applyFill="1"/>
    <xf numFmtId="0" fontId="22" fillId="9" borderId="0" xfId="0" applyFont="1" applyFill="1"/>
    <xf numFmtId="0" fontId="23" fillId="0" borderId="0" xfId="0" applyFont="1"/>
    <xf numFmtId="0" fontId="24" fillId="0" borderId="0" xfId="0" quotePrefix="1" applyFont="1"/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177" fontId="0" fillId="0" borderId="2" xfId="3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44" fontId="0" fillId="0" borderId="2" xfId="3" applyNumberFormat="1" applyFon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42" fontId="0" fillId="0" borderId="2" xfId="3" applyNumberFormat="1" applyFon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44" fontId="0" fillId="0" borderId="2" xfId="3" applyFont="1" applyBorder="1" applyAlignment="1">
      <alignment horizontal="center" vertical="center"/>
    </xf>
    <xf numFmtId="178" fontId="0" fillId="12" borderId="2" xfId="0" applyNumberFormat="1" applyFill="1" applyBorder="1" applyAlignment="1">
      <alignment horizontal="center" vertical="center"/>
    </xf>
    <xf numFmtId="168" fontId="19" fillId="0" borderId="2" xfId="0" applyNumberFormat="1" applyFont="1" applyBorder="1" applyAlignment="1"/>
    <xf numFmtId="0" fontId="25" fillId="0" borderId="0" xfId="0" applyFont="1"/>
    <xf numFmtId="0" fontId="26" fillId="13" borderId="2" xfId="0" applyFont="1" applyFill="1" applyBorder="1" applyAlignment="1">
      <alignment horizontal="center"/>
    </xf>
    <xf numFmtId="9" fontId="26" fillId="0" borderId="0" xfId="4" applyFont="1"/>
    <xf numFmtId="168" fontId="26" fillId="0" borderId="0" xfId="0" applyNumberFormat="1" applyFont="1"/>
    <xf numFmtId="0" fontId="26" fillId="0" borderId="2" xfId="0" applyFont="1" applyBorder="1" applyAlignment="1">
      <alignment horizontal="center"/>
    </xf>
    <xf numFmtId="0" fontId="26" fillId="5" borderId="2" xfId="0" applyFont="1" applyFill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26" fillId="0" borderId="55" xfId="0" applyFont="1" applyBorder="1"/>
    <xf numFmtId="41" fontId="26" fillId="0" borderId="55" xfId="2" applyFont="1" applyBorder="1"/>
    <xf numFmtId="41" fontId="26" fillId="0" borderId="55" xfId="0" applyNumberFormat="1" applyFont="1" applyBorder="1"/>
    <xf numFmtId="0" fontId="26" fillId="0" borderId="56" xfId="0" applyFont="1" applyBorder="1" applyAlignment="1">
      <alignment horizontal="center"/>
    </xf>
    <xf numFmtId="0" fontId="26" fillId="0" borderId="56" xfId="0" applyFont="1" applyBorder="1"/>
    <xf numFmtId="41" fontId="26" fillId="0" borderId="56" xfId="2" applyFont="1" applyBorder="1"/>
    <xf numFmtId="0" fontId="26" fillId="0" borderId="28" xfId="0" applyFont="1" applyBorder="1" applyAlignment="1">
      <alignment horizontal="center"/>
    </xf>
    <xf numFmtId="0" fontId="26" fillId="0" borderId="28" xfId="0" applyFont="1" applyBorder="1"/>
    <xf numFmtId="41" fontId="26" fillId="0" borderId="28" xfId="2" applyFont="1" applyBorder="1"/>
    <xf numFmtId="0" fontId="26" fillId="0" borderId="0" xfId="0" applyFont="1"/>
    <xf numFmtId="41" fontId="26" fillId="0" borderId="0" xfId="0" applyNumberFormat="1" applyFont="1"/>
    <xf numFmtId="41" fontId="26" fillId="0" borderId="0" xfId="2" applyFont="1" applyFill="1" applyBorder="1"/>
    <xf numFmtId="0" fontId="18" fillId="0" borderId="0" xfId="0" applyFont="1"/>
    <xf numFmtId="0" fontId="27" fillId="0" borderId="2" xfId="0" applyFont="1" applyBorder="1" applyAlignment="1">
      <alignment horizontal="center"/>
    </xf>
    <xf numFmtId="41" fontId="27" fillId="0" borderId="2" xfId="2" applyFont="1" applyBorder="1"/>
    <xf numFmtId="0" fontId="27" fillId="0" borderId="0" xfId="0" applyFont="1" applyBorder="1" applyAlignment="1">
      <alignment horizontal="center"/>
    </xf>
    <xf numFmtId="41" fontId="27" fillId="0" borderId="0" xfId="2" applyFont="1" applyBorder="1"/>
    <xf numFmtId="0" fontId="0" fillId="9" borderId="0" xfId="0" applyFill="1"/>
    <xf numFmtId="0" fontId="23" fillId="0" borderId="0" xfId="0" quotePrefix="1" applyFont="1"/>
    <xf numFmtId="0" fontId="26" fillId="13" borderId="0" xfId="0" applyFont="1" applyFill="1"/>
    <xf numFmtId="0" fontId="0" fillId="13" borderId="0" xfId="0" applyFill="1"/>
    <xf numFmtId="0" fontId="0" fillId="7" borderId="0" xfId="0" applyFill="1"/>
    <xf numFmtId="0" fontId="23" fillId="7" borderId="0" xfId="0" quotePrefix="1" applyFont="1" applyFill="1"/>
    <xf numFmtId="41" fontId="26" fillId="0" borderId="0" xfId="0" quotePrefix="1" applyNumberFormat="1" applyFont="1"/>
    <xf numFmtId="0" fontId="28" fillId="0" borderId="0" xfId="0" applyFont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79" fontId="0" fillId="0" borderId="28" xfId="0" applyNumberFormat="1" applyBorder="1"/>
    <xf numFmtId="179" fontId="0" fillId="0" borderId="29" xfId="0" applyNumberFormat="1" applyBorder="1"/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9" fillId="0" borderId="0" xfId="0" applyFont="1"/>
    <xf numFmtId="0" fontId="0" fillId="0" borderId="60" xfId="0" applyBorder="1"/>
    <xf numFmtId="0" fontId="2" fillId="3" borderId="63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/>
    </xf>
    <xf numFmtId="0" fontId="2" fillId="3" borderId="6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30" fillId="0" borderId="0" xfId="0" applyFont="1" applyAlignment="1">
      <alignment horizontal="centerContinuous"/>
    </xf>
    <xf numFmtId="0" fontId="0" fillId="3" borderId="69" xfId="0" applyFill="1" applyBorder="1" applyAlignment="1">
      <alignment horizontal="center" vertical="center" wrapText="1"/>
    </xf>
    <xf numFmtId="0" fontId="0" fillId="3" borderId="70" xfId="0" applyFill="1" applyBorder="1" applyAlignment="1">
      <alignment horizontal="center" vertical="center" wrapText="1"/>
    </xf>
    <xf numFmtId="0" fontId="0" fillId="3" borderId="71" xfId="0" applyFill="1" applyBorder="1" applyAlignment="1">
      <alignment horizontal="center" vertical="center" wrapText="1"/>
    </xf>
    <xf numFmtId="179" fontId="0" fillId="0" borderId="28" xfId="0" applyNumberFormat="1" applyBorder="1" applyAlignment="1">
      <alignment horizontal="center"/>
    </xf>
    <xf numFmtId="179" fontId="0" fillId="0" borderId="58" xfId="0" applyNumberFormat="1" applyBorder="1"/>
    <xf numFmtId="179" fontId="0" fillId="0" borderId="59" xfId="0" applyNumberFormat="1" applyBorder="1"/>
    <xf numFmtId="0" fontId="0" fillId="3" borderId="63" xfId="0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72" fontId="0" fillId="0" borderId="2" xfId="0" applyNumberFormat="1" applyBorder="1"/>
    <xf numFmtId="180" fontId="0" fillId="0" borderId="2" xfId="0" applyNumberFormat="1" applyBorder="1"/>
    <xf numFmtId="0" fontId="17" fillId="0" borderId="0" xfId="0" applyFont="1"/>
    <xf numFmtId="172" fontId="17" fillId="0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/>
    <xf numFmtId="0" fontId="0" fillId="1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5" borderId="2" xfId="0" applyFill="1" applyBorder="1"/>
    <xf numFmtId="0" fontId="0" fillId="16" borderId="2" xfId="0" applyFill="1" applyBorder="1" applyAlignment="1">
      <alignment horizontal="center"/>
    </xf>
    <xf numFmtId="181" fontId="0" fillId="15" borderId="2" xfId="0" applyNumberFormat="1" applyFill="1" applyBorder="1"/>
    <xf numFmtId="181" fontId="0" fillId="16" borderId="2" xfId="2" applyNumberFormat="1" applyFont="1" applyFill="1" applyBorder="1"/>
    <xf numFmtId="181" fontId="0" fillId="17" borderId="2" xfId="0" applyNumberFormat="1" applyFill="1" applyBorder="1"/>
    <xf numFmtId="183" fontId="0" fillId="17" borderId="2" xfId="0" applyNumberFormat="1" applyFill="1" applyBorder="1"/>
    <xf numFmtId="0" fontId="0" fillId="0" borderId="0" xfId="0" applyBorder="1" applyAlignment="1">
      <alignment horizontal="center"/>
    </xf>
    <xf numFmtId="0" fontId="22" fillId="18" borderId="0" xfId="0" applyFont="1" applyFill="1"/>
    <xf numFmtId="0" fontId="0" fillId="18" borderId="0" xfId="0" applyFill="1"/>
    <xf numFmtId="0" fontId="0" fillId="19" borderId="2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6" xfId="0" applyBorder="1"/>
    <xf numFmtId="0" fontId="0" fillId="0" borderId="74" xfId="0" applyBorder="1"/>
    <xf numFmtId="0" fontId="0" fillId="0" borderId="42" xfId="0" applyBorder="1"/>
    <xf numFmtId="0" fontId="0" fillId="14" borderId="75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4" borderId="2" xfId="0" applyFill="1" applyBorder="1"/>
    <xf numFmtId="0" fontId="0" fillId="0" borderId="76" xfId="0" applyBorder="1"/>
    <xf numFmtId="0" fontId="0" fillId="20" borderId="2" xfId="0" applyFill="1" applyBorder="1"/>
    <xf numFmtId="15" fontId="0" fillId="20" borderId="7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1" fontId="0" fillId="20" borderId="2" xfId="2" applyFont="1" applyFill="1" applyBorder="1"/>
    <xf numFmtId="41" fontId="0" fillId="0" borderId="2" xfId="2" applyFont="1" applyFill="1" applyBorder="1" applyAlignment="1">
      <alignment horizontal="center"/>
    </xf>
    <xf numFmtId="41" fontId="0" fillId="0" borderId="2" xfId="2" applyFont="1" applyBorder="1" applyAlignment="1">
      <alignment horizontal="center"/>
    </xf>
    <xf numFmtId="1" fontId="0" fillId="0" borderId="2" xfId="0" applyNumberFormat="1" applyBorder="1"/>
    <xf numFmtId="182" fontId="0" fillId="0" borderId="2" xfId="0" applyNumberFormat="1" applyBorder="1"/>
    <xf numFmtId="166" fontId="0" fillId="0" borderId="2" xfId="0" applyNumberFormat="1" applyBorder="1"/>
    <xf numFmtId="166" fontId="0" fillId="0" borderId="2" xfId="0" applyNumberFormat="1" applyFill="1" applyBorder="1"/>
    <xf numFmtId="182" fontId="0" fillId="0" borderId="56" xfId="0" applyNumberFormat="1" applyBorder="1"/>
    <xf numFmtId="15" fontId="0" fillId="20" borderId="42" xfId="0" applyNumberFormat="1" applyFill="1" applyBorder="1" applyAlignment="1">
      <alignment horizontal="center"/>
    </xf>
    <xf numFmtId="41" fontId="0" fillId="20" borderId="42" xfId="2" applyFont="1" applyFill="1" applyBorder="1"/>
    <xf numFmtId="0" fontId="0" fillId="20" borderId="42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20" borderId="55" xfId="0" applyFill="1" applyBorder="1"/>
    <xf numFmtId="0" fontId="0" fillId="20" borderId="77" xfId="0" applyFill="1" applyBorder="1" applyAlignment="1">
      <alignment horizontal="center"/>
    </xf>
    <xf numFmtId="41" fontId="0" fillId="20" borderId="77" xfId="2" applyFont="1" applyFill="1" applyBorder="1"/>
    <xf numFmtId="0" fontId="0" fillId="20" borderId="28" xfId="0" applyFill="1" applyBorder="1"/>
    <xf numFmtId="15" fontId="0" fillId="20" borderId="75" xfId="0" applyNumberFormat="1" applyFill="1" applyBorder="1" applyAlignment="1">
      <alignment horizontal="center"/>
    </xf>
    <xf numFmtId="0" fontId="0" fillId="20" borderId="75" xfId="0" applyFill="1" applyBorder="1" applyAlignment="1">
      <alignment horizontal="center"/>
    </xf>
    <xf numFmtId="41" fontId="0" fillId="20" borderId="75" xfId="2" applyFont="1" applyFill="1" applyBorder="1"/>
    <xf numFmtId="41" fontId="0" fillId="0" borderId="0" xfId="2" applyFont="1" applyBorder="1"/>
    <xf numFmtId="0" fontId="0" fillId="7" borderId="5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21" borderId="2" xfId="0" applyFill="1" applyBorder="1"/>
    <xf numFmtId="0" fontId="0" fillId="0" borderId="75" xfId="0" applyBorder="1"/>
    <xf numFmtId="0" fontId="0" fillId="0" borderId="75" xfId="0" applyBorder="1" applyAlignment="1">
      <alignment horizontal="center"/>
    </xf>
    <xf numFmtId="41" fontId="0" fillId="0" borderId="2" xfId="2" applyFont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2" xfId="2" applyNumberFormat="1" applyFont="1" applyBorder="1"/>
    <xf numFmtId="0" fontId="0" fillId="0" borderId="0" xfId="0" applyFill="1" applyBorder="1"/>
    <xf numFmtId="0" fontId="0" fillId="0" borderId="42" xfId="0" applyBorder="1" applyAlignment="1">
      <alignment horizontal="center"/>
    </xf>
    <xf numFmtId="1" fontId="0" fillId="0" borderId="0" xfId="2" applyNumberFormat="1" applyFont="1" applyBorder="1"/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47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9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10" borderId="55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10" borderId="55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textRotation="90"/>
    </xf>
    <xf numFmtId="0" fontId="26" fillId="0" borderId="2" xfId="0" applyFont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19" borderId="42" xfId="0" applyFill="1" applyBorder="1" applyAlignment="1">
      <alignment horizontal="center"/>
    </xf>
  </cellXfs>
  <cellStyles count="5">
    <cellStyle name="Comma" xfId="1" builtinId="3"/>
    <cellStyle name="Comma [0]" xfId="2" builtinId="6"/>
    <cellStyle name="Currency" xfId="3" builtinId="4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Lat-4'!A1"/><Relationship Id="rId2" Type="http://schemas.openxmlformats.org/officeDocument/2006/relationships/hyperlink" Target="#Menu!A1"/><Relationship Id="rId1" Type="http://schemas.openxmlformats.org/officeDocument/2006/relationships/hyperlink" Target="#'Lat- 6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hyperlink" Target="#'Lat-2'!A1"/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12</xdr:col>
      <xdr:colOff>0</xdr:colOff>
      <xdr:row>3</xdr:row>
      <xdr:rowOff>104775</xdr:rowOff>
    </xdr:to>
    <xdr:grpSp>
      <xdr:nvGrpSpPr>
        <xdr:cNvPr id="7223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368276-8ADB-4A12-80BD-1A24A887CD23}"/>
            </a:ext>
          </a:extLst>
        </xdr:cNvPr>
        <xdr:cNvGrpSpPr>
          <a:grpSpLocks/>
        </xdr:cNvGrpSpPr>
      </xdr:nvGrpSpPr>
      <xdr:grpSpPr bwMode="auto">
        <a:xfrm>
          <a:off x="1619250" y="76200"/>
          <a:ext cx="464344" cy="528638"/>
          <a:chOff x="139" y="24"/>
          <a:chExt cx="49" cy="54"/>
        </a:xfrm>
      </xdr:grpSpPr>
      <xdr:sp macro="" textlink="">
        <xdr:nvSpPr>
          <xdr:cNvPr id="7230" name="AutoShape 2">
            <a:extLst>
              <a:ext uri="{FF2B5EF4-FFF2-40B4-BE49-F238E27FC236}">
                <a16:creationId xmlns:a16="http://schemas.microsoft.com/office/drawing/2014/main" id="{8001CE62-9719-40B7-9C51-001305DC0BE1}"/>
              </a:ext>
            </a:extLst>
          </xdr:cNvPr>
          <xdr:cNvSpPr>
            <a:spLocks noChangeArrowheads="1"/>
          </xdr:cNvSpPr>
        </xdr:nvSpPr>
        <xdr:spPr bwMode="auto">
          <a:xfrm>
            <a:off x="139" y="24"/>
            <a:ext cx="49" cy="54"/>
          </a:xfrm>
          <a:prstGeom prst="rightArrow">
            <a:avLst>
              <a:gd name="adj1" fmla="val 50000"/>
              <a:gd name="adj2" fmla="val 25000"/>
            </a:avLst>
          </a:prstGeom>
          <a:gradFill rotWithShape="1">
            <a:gsLst>
              <a:gs pos="0">
                <a:srgbClr val="4D0808"/>
              </a:gs>
              <a:gs pos="14999">
                <a:srgbClr val="FF0300"/>
              </a:gs>
              <a:gs pos="27499">
                <a:srgbClr val="FF7A00"/>
              </a:gs>
              <a:gs pos="50000">
                <a:srgbClr val="FFF200"/>
              </a:gs>
              <a:gs pos="72501">
                <a:srgbClr val="FF7A00"/>
              </a:gs>
              <a:gs pos="85001">
                <a:srgbClr val="FF0300"/>
              </a:gs>
              <a:gs pos="100000">
                <a:srgbClr val="4D0808"/>
              </a:gs>
            </a:gsLst>
            <a:lin ang="540000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71" name="Text Box 3">
            <a:extLst>
              <a:ext uri="{FF2B5EF4-FFF2-40B4-BE49-F238E27FC236}">
                <a16:creationId xmlns:a16="http://schemas.microsoft.com/office/drawing/2014/main" id="{CBBF7D22-2BA4-4ECC-A658-455C6D88001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43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NEXT</a:t>
            </a:r>
          </a:p>
        </xdr:txBody>
      </xdr:sp>
    </xdr:grpSp>
    <xdr:clientData/>
  </xdr:twoCellAnchor>
  <xdr:twoCellAnchor>
    <xdr:from>
      <xdr:col>10</xdr:col>
      <xdr:colOff>295275</xdr:colOff>
      <xdr:row>1</xdr:row>
      <xdr:rowOff>38100</xdr:rowOff>
    </xdr:from>
    <xdr:to>
      <xdr:col>11</xdr:col>
      <xdr:colOff>95250</xdr:colOff>
      <xdr:row>3</xdr:row>
      <xdr:rowOff>19050</xdr:rowOff>
    </xdr:to>
    <xdr:grpSp>
      <xdr:nvGrpSpPr>
        <xdr:cNvPr id="7224" name="Group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54F17B-CB62-465A-A149-25800E2D5398}"/>
            </a:ext>
          </a:extLst>
        </xdr:cNvPr>
        <xdr:cNvGrpSpPr>
          <a:grpSpLocks/>
        </xdr:cNvGrpSpPr>
      </xdr:nvGrpSpPr>
      <xdr:grpSpPr bwMode="auto">
        <a:xfrm>
          <a:off x="985838" y="204788"/>
          <a:ext cx="585787" cy="314325"/>
          <a:chOff x="73" y="37"/>
          <a:chExt cx="61" cy="32"/>
        </a:xfrm>
      </xdr:grpSpPr>
      <xdr:sp macro="" textlink="">
        <xdr:nvSpPr>
          <xdr:cNvPr id="7228" name="AutoShape 5">
            <a:extLst>
              <a:ext uri="{FF2B5EF4-FFF2-40B4-BE49-F238E27FC236}">
                <a16:creationId xmlns:a16="http://schemas.microsoft.com/office/drawing/2014/main" id="{8DF18968-FE66-4EDD-B967-DD4C5817779F}"/>
              </a:ext>
            </a:extLst>
          </xdr:cNvPr>
          <xdr:cNvSpPr>
            <a:spLocks noChangeArrowheads="1"/>
          </xdr:cNvSpPr>
        </xdr:nvSpPr>
        <xdr:spPr bwMode="auto">
          <a:xfrm>
            <a:off x="73" y="37"/>
            <a:ext cx="61" cy="32"/>
          </a:xfrm>
          <a:prstGeom prst="flowChartTerminator">
            <a:avLst/>
          </a:prstGeom>
          <a:gradFill rotWithShape="1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540000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74" name="Text Box 6">
            <a:extLst>
              <a:ext uri="{FF2B5EF4-FFF2-40B4-BE49-F238E27FC236}">
                <a16:creationId xmlns:a16="http://schemas.microsoft.com/office/drawing/2014/main" id="{D07B573B-EBC8-4E46-A532-8CE8D7DE680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" y="44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MENU</a:t>
            </a:r>
          </a:p>
        </xdr:txBody>
      </xdr:sp>
    </xdr:grpSp>
    <xdr:clientData/>
  </xdr:twoCellAnchor>
  <xdr:twoCellAnchor>
    <xdr:from>
      <xdr:col>9</xdr:col>
      <xdr:colOff>238125</xdr:colOff>
      <xdr:row>0</xdr:row>
      <xdr:rowOff>76200</xdr:rowOff>
    </xdr:from>
    <xdr:to>
      <xdr:col>10</xdr:col>
      <xdr:colOff>295275</xdr:colOff>
      <xdr:row>3</xdr:row>
      <xdr:rowOff>104775</xdr:rowOff>
    </xdr:to>
    <xdr:grpSp>
      <xdr:nvGrpSpPr>
        <xdr:cNvPr id="7225" name="Group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492523-D1FF-4F46-BE88-0A0F318E84DA}"/>
            </a:ext>
          </a:extLst>
        </xdr:cNvPr>
        <xdr:cNvGrpSpPr>
          <a:grpSpLocks/>
        </xdr:cNvGrpSpPr>
      </xdr:nvGrpSpPr>
      <xdr:grpSpPr bwMode="auto">
        <a:xfrm>
          <a:off x="523875" y="76200"/>
          <a:ext cx="461963" cy="528638"/>
          <a:chOff x="24" y="24"/>
          <a:chExt cx="49" cy="54"/>
        </a:xfrm>
      </xdr:grpSpPr>
      <xdr:sp macro="" textlink="">
        <xdr:nvSpPr>
          <xdr:cNvPr id="7226" name="AutoShape 8">
            <a:extLst>
              <a:ext uri="{FF2B5EF4-FFF2-40B4-BE49-F238E27FC236}">
                <a16:creationId xmlns:a16="http://schemas.microsoft.com/office/drawing/2014/main" id="{5A1D7568-C90B-4ADD-A681-149EA3EBF39C}"/>
              </a:ext>
            </a:extLst>
          </xdr:cNvPr>
          <xdr:cNvSpPr>
            <a:spLocks noChangeArrowheads="1"/>
          </xdr:cNvSpPr>
        </xdr:nvSpPr>
        <xdr:spPr bwMode="auto">
          <a:xfrm flipH="1">
            <a:off x="24" y="24"/>
            <a:ext cx="44" cy="54"/>
          </a:xfrm>
          <a:prstGeom prst="rightArrow">
            <a:avLst>
              <a:gd name="adj1" fmla="val 50000"/>
              <a:gd name="adj2" fmla="val 25000"/>
            </a:avLst>
          </a:prstGeom>
          <a:gradFill rotWithShape="1">
            <a:gsLst>
              <a:gs pos="0">
                <a:srgbClr val="156B13"/>
              </a:gs>
              <a:gs pos="25000">
                <a:srgbClr val="9CB86E"/>
              </a:gs>
              <a:gs pos="50000">
                <a:srgbClr val="DDEBCF"/>
              </a:gs>
              <a:gs pos="75000">
                <a:srgbClr val="9CB86E"/>
              </a:gs>
              <a:gs pos="100000">
                <a:srgbClr val="156B13"/>
              </a:gs>
            </a:gsLst>
            <a:lin ang="540000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77" name="Text Box 9">
            <a:extLst>
              <a:ext uri="{FF2B5EF4-FFF2-40B4-BE49-F238E27FC236}">
                <a16:creationId xmlns:a16="http://schemas.microsoft.com/office/drawing/2014/main" id="{0F088E8C-9970-4B9A-A1E1-121AB7FEF32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" y="42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BACK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16</xdr:row>
      <xdr:rowOff>40821</xdr:rowOff>
    </xdr:from>
    <xdr:to>
      <xdr:col>6</xdr:col>
      <xdr:colOff>272144</xdr:colOff>
      <xdr:row>45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8" t="17301" r="40695" b="16842"/>
        <a:stretch/>
      </xdr:blipFill>
      <xdr:spPr>
        <a:xfrm>
          <a:off x="40822" y="3774621"/>
          <a:ext cx="7651297" cy="48169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28</xdr:row>
      <xdr:rowOff>38100</xdr:rowOff>
    </xdr:from>
    <xdr:to>
      <xdr:col>10</xdr:col>
      <xdr:colOff>419100</xdr:colOff>
      <xdr:row>39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695575" y="4581525"/>
          <a:ext cx="2438400" cy="1838325"/>
        </a:xfrm>
        <a:prstGeom prst="wedgeEllipseCallout">
          <a:avLst>
            <a:gd name="adj1" fmla="val -80704"/>
            <a:gd name="adj2" fmla="val 958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Coba Anda Kerjakan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Soal-soal berikut Semua materi sudah diajarkan !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Arial"/>
              <a:cs typeface="Arial"/>
            </a:rPr>
            <a:t>Pikirkan Rumus yang sebaiknya anda pakai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!!!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3</xdr:col>
      <xdr:colOff>114300</xdr:colOff>
      <xdr:row>28</xdr:row>
      <xdr:rowOff>104775</xdr:rowOff>
    </xdr:from>
    <xdr:to>
      <xdr:col>5</xdr:col>
      <xdr:colOff>514350</xdr:colOff>
      <xdr:row>37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648200"/>
          <a:ext cx="16192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200025</xdr:colOff>
      <xdr:row>27</xdr:row>
      <xdr:rowOff>142875</xdr:rowOff>
    </xdr:from>
    <xdr:to>
      <xdr:col>13</xdr:col>
      <xdr:colOff>600075</xdr:colOff>
      <xdr:row>34</xdr:row>
      <xdr:rowOff>66675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5524500" y="4514850"/>
          <a:ext cx="1619250" cy="1076325"/>
        </a:xfrm>
        <a:prstGeom prst="wedgeEllipseCallout">
          <a:avLst>
            <a:gd name="adj1" fmla="val -69412"/>
            <a:gd name="adj2" fmla="val 3761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Menggunakan Fungsi Absolut(F4) dan Statistik</a:t>
          </a:r>
        </a:p>
      </xdr:txBody>
    </xdr:sp>
    <xdr:clientData/>
  </xdr:twoCellAnchor>
  <xdr:twoCellAnchor>
    <xdr:from>
      <xdr:col>4</xdr:col>
      <xdr:colOff>19050</xdr:colOff>
      <xdr:row>1</xdr:row>
      <xdr:rowOff>66675</xdr:rowOff>
    </xdr:from>
    <xdr:to>
      <xdr:col>4</xdr:col>
      <xdr:colOff>485775</xdr:colOff>
      <xdr:row>4</xdr:row>
      <xdr:rowOff>95250</xdr:rowOff>
    </xdr:to>
    <xdr:grpSp>
      <xdr:nvGrpSpPr>
        <xdr:cNvPr id="5" name="Group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>
          <a:grpSpLocks/>
        </xdr:cNvGrpSpPr>
      </xdr:nvGrpSpPr>
      <xdr:grpSpPr bwMode="auto">
        <a:xfrm>
          <a:off x="1323975" y="228600"/>
          <a:ext cx="466725" cy="514350"/>
          <a:chOff x="139" y="24"/>
          <a:chExt cx="49" cy="54"/>
        </a:xfrm>
      </xdr:grpSpPr>
      <xdr:sp macro="" textlink="">
        <xdr:nvSpPr>
          <xdr:cNvPr id="6" name="AutoShape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139" y="24"/>
            <a:ext cx="49" cy="54"/>
          </a:xfrm>
          <a:prstGeom prst="rightArrow">
            <a:avLst>
              <a:gd name="adj1" fmla="val 50000"/>
              <a:gd name="adj2" fmla="val 25000"/>
            </a:avLst>
          </a:prstGeom>
          <a:gradFill rotWithShape="1">
            <a:gsLst>
              <a:gs pos="0">
                <a:srgbClr val="4D0808"/>
              </a:gs>
              <a:gs pos="14999">
                <a:srgbClr val="FF0300"/>
              </a:gs>
              <a:gs pos="27499">
                <a:srgbClr val="FF7A00"/>
              </a:gs>
              <a:gs pos="50000">
                <a:srgbClr val="FFF200"/>
              </a:gs>
              <a:gs pos="72501">
                <a:srgbClr val="FF7A00"/>
              </a:gs>
              <a:gs pos="85001">
                <a:srgbClr val="FF0300"/>
              </a:gs>
              <a:gs pos="100000">
                <a:srgbClr val="4D0808"/>
              </a:gs>
            </a:gsLst>
            <a:lin ang="540000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7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43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NEXT</a:t>
            </a:r>
          </a:p>
        </xdr:txBody>
      </xdr:sp>
    </xdr:grpSp>
    <xdr:clientData/>
  </xdr:twoCellAnchor>
  <xdr:twoCellAnchor>
    <xdr:from>
      <xdr:col>3</xdr:col>
      <xdr:colOff>180975</xdr:colOff>
      <xdr:row>2</xdr:row>
      <xdr:rowOff>28575</xdr:rowOff>
    </xdr:from>
    <xdr:to>
      <xdr:col>4</xdr:col>
      <xdr:colOff>0</xdr:colOff>
      <xdr:row>4</xdr:row>
      <xdr:rowOff>9525</xdr:rowOff>
    </xdr:to>
    <xdr:grpSp>
      <xdr:nvGrpSpPr>
        <xdr:cNvPr id="8" name="Group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pSpPr>
          <a:grpSpLocks/>
        </xdr:cNvGrpSpPr>
      </xdr:nvGrpSpPr>
      <xdr:grpSpPr bwMode="auto">
        <a:xfrm>
          <a:off x="695325" y="352425"/>
          <a:ext cx="609600" cy="304800"/>
          <a:chOff x="73" y="37"/>
          <a:chExt cx="61" cy="32"/>
        </a:xfrm>
      </xdr:grpSpPr>
      <xdr:sp macro="" textlink="">
        <xdr:nvSpPr>
          <xdr:cNvPr id="9" name="AutoShap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3" y="37"/>
            <a:ext cx="61" cy="32"/>
          </a:xfrm>
          <a:prstGeom prst="flowChartTerminator">
            <a:avLst/>
          </a:prstGeom>
          <a:gradFill rotWithShape="1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540000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Text Box 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" y="44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MENU</a:t>
            </a:r>
          </a:p>
        </xdr:txBody>
      </xdr:sp>
    </xdr:grpSp>
    <xdr:clientData/>
  </xdr:twoCellAnchor>
  <xdr:twoCellAnchor>
    <xdr:from>
      <xdr:col>2</xdr:col>
      <xdr:colOff>0</xdr:colOff>
      <xdr:row>1</xdr:row>
      <xdr:rowOff>66675</xdr:rowOff>
    </xdr:from>
    <xdr:to>
      <xdr:col>3</xdr:col>
      <xdr:colOff>180975</xdr:colOff>
      <xdr:row>4</xdr:row>
      <xdr:rowOff>95250</xdr:rowOff>
    </xdr:to>
    <xdr:grpSp>
      <xdr:nvGrpSpPr>
        <xdr:cNvPr id="11" name="Group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pSpPr>
          <a:grpSpLocks/>
        </xdr:cNvGrpSpPr>
      </xdr:nvGrpSpPr>
      <xdr:grpSpPr bwMode="auto">
        <a:xfrm>
          <a:off x="228600" y="228600"/>
          <a:ext cx="466725" cy="514350"/>
          <a:chOff x="24" y="24"/>
          <a:chExt cx="49" cy="54"/>
        </a:xfrm>
      </xdr:grpSpPr>
      <xdr:sp macro="" textlink="">
        <xdr:nvSpPr>
          <xdr:cNvPr id="12" name="AutoShape 6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24" y="24"/>
            <a:ext cx="44" cy="54"/>
          </a:xfrm>
          <a:prstGeom prst="rightArrow">
            <a:avLst>
              <a:gd name="adj1" fmla="val 50000"/>
              <a:gd name="adj2" fmla="val 25000"/>
            </a:avLst>
          </a:prstGeom>
          <a:gradFill rotWithShape="1">
            <a:gsLst>
              <a:gs pos="0">
                <a:srgbClr val="156B13"/>
              </a:gs>
              <a:gs pos="25000">
                <a:srgbClr val="9CB86E"/>
              </a:gs>
              <a:gs pos="50000">
                <a:srgbClr val="DDEBCF"/>
              </a:gs>
              <a:gs pos="75000">
                <a:srgbClr val="9CB86E"/>
              </a:gs>
              <a:gs pos="100000">
                <a:srgbClr val="156B13"/>
              </a:gs>
            </a:gsLst>
            <a:lin ang="540000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Text Box 9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" y="42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BACK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114459</xdr:colOff>
      <xdr:row>22</xdr:row>
      <xdr:rowOff>140804</xdr:rowOff>
    </xdr:from>
    <xdr:to>
      <xdr:col>11</xdr:col>
      <xdr:colOff>445668</xdr:colOff>
      <xdr:row>31</xdr:row>
      <xdr:rowOff>25262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605" t="61543" r="29632" b="21933"/>
        <a:stretch/>
      </xdr:blipFill>
      <xdr:spPr>
        <a:xfrm>
          <a:off x="2524284" y="4331804"/>
          <a:ext cx="7522584" cy="13417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1156607</xdr:colOff>
      <xdr:row>21</xdr:row>
      <xdr:rowOff>95251</xdr:rowOff>
    </xdr:from>
    <xdr:to>
      <xdr:col>12</xdr:col>
      <xdr:colOff>898072</xdr:colOff>
      <xdr:row>41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05" t="32830" r="29357" b="21247"/>
        <a:stretch/>
      </xdr:blipFill>
      <xdr:spPr>
        <a:xfrm>
          <a:off x="6347732" y="4095751"/>
          <a:ext cx="7409090" cy="3292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U53"/>
  <sheetViews>
    <sheetView showGridLines="0" topLeftCell="F7" zoomScale="80" zoomScaleNormal="80" workbookViewId="0">
      <selection activeCell="T13" sqref="T13"/>
    </sheetView>
  </sheetViews>
  <sheetFormatPr defaultRowHeight="12.75"/>
  <cols>
    <col min="1" max="2" width="0" hidden="1" customWidth="1"/>
    <col min="3" max="5" width="9.140625" hidden="1" customWidth="1"/>
    <col min="6" max="9" width="1.140625" customWidth="1"/>
    <col min="10" max="10" width="6.140625" customWidth="1"/>
    <col min="11" max="11" width="11.7109375" customWidth="1"/>
    <col min="14" max="14" width="14" customWidth="1"/>
    <col min="15" max="15" width="16" customWidth="1"/>
    <col min="16" max="16" width="12.7109375" customWidth="1"/>
    <col min="17" max="17" width="13.42578125" customWidth="1"/>
    <col min="18" max="18" width="20.28515625" customWidth="1"/>
    <col min="19" max="19" width="14.7109375" customWidth="1"/>
    <col min="20" max="20" width="16.85546875" customWidth="1"/>
  </cols>
  <sheetData>
    <row r="6" spans="10:20" ht="15">
      <c r="J6" s="39" t="s">
        <v>52</v>
      </c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0:20" ht="15">
      <c r="J7" s="39" t="s">
        <v>53</v>
      </c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0:20" ht="3.75" customHeight="1"/>
    <row r="9" spans="10:20" ht="13.5" thickBot="1">
      <c r="J9" t="s">
        <v>54</v>
      </c>
    </row>
    <row r="10" spans="10:20" ht="27" thickTop="1" thickBot="1">
      <c r="J10" s="41" t="s">
        <v>55</v>
      </c>
      <c r="K10" s="42" t="s">
        <v>56</v>
      </c>
      <c r="L10" s="42" t="s">
        <v>57</v>
      </c>
      <c r="M10" s="42" t="s">
        <v>58</v>
      </c>
      <c r="N10" s="42" t="s">
        <v>59</v>
      </c>
      <c r="O10" s="42" t="s">
        <v>60</v>
      </c>
      <c r="P10" s="42" t="s">
        <v>61</v>
      </c>
      <c r="Q10" s="42" t="s">
        <v>62</v>
      </c>
      <c r="R10" s="42" t="s">
        <v>63</v>
      </c>
      <c r="S10" s="42" t="s">
        <v>64</v>
      </c>
      <c r="T10" s="43" t="s">
        <v>65</v>
      </c>
    </row>
    <row r="11" spans="10:20" ht="3.75" customHeight="1" thickTop="1" thickBot="1"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6"/>
    </row>
    <row r="12" spans="10:20" ht="15" customHeight="1" thickTop="1">
      <c r="J12" s="47">
        <v>1</v>
      </c>
      <c r="K12" s="48" t="s">
        <v>66</v>
      </c>
      <c r="L12" s="48" t="s">
        <v>67</v>
      </c>
      <c r="M12" s="49" t="s">
        <v>68</v>
      </c>
      <c r="N12" s="37" t="str">
        <f>IF(M12="A","Karyawan",IF(M12="B","Mahasiswa","Pelajar"))</f>
        <v>Karyawan</v>
      </c>
      <c r="O12" s="37" t="str">
        <f>VLOOKUP(MID(K12,3,3),$K$31:$L$34,2,FALSE)</f>
        <v>Windows' 95</v>
      </c>
      <c r="P12" s="37" t="str">
        <f>IF(RIGHT(K12,2)="SK","Sen-Kam",IF(RIGHT(K12,2)="SJ","Sel-Jum","Rab-Sab"))</f>
        <v>Sen-Kam</v>
      </c>
      <c r="Q12" s="37" t="str">
        <f>IF(LEFT(K12,1)="P","Pagi",IF(LEFT(K12,1)="S","Siang","Malam"))</f>
        <v>Pagi</v>
      </c>
      <c r="R12" s="101">
        <f>VLOOKUP(O12,$L$30:$M$34,2,FALSE)</f>
        <v>100000</v>
      </c>
      <c r="S12" s="101">
        <f>HLOOKUP(MID(K12,3,3),$Q$30:$T$31,2)*R12</f>
        <v>5000</v>
      </c>
      <c r="T12" s="103">
        <f>R12-S12</f>
        <v>95000</v>
      </c>
    </row>
    <row r="13" spans="10:20" ht="15" customHeight="1">
      <c r="J13" s="50">
        <v>2</v>
      </c>
      <c r="K13" s="51" t="s">
        <v>69</v>
      </c>
      <c r="L13" s="51" t="s">
        <v>70</v>
      </c>
      <c r="M13" s="52" t="s">
        <v>49</v>
      </c>
      <c r="N13" s="37" t="str">
        <f t="shared" ref="N13:N23" si="0">IF(M13="A","Karyawan",IF(M13="B","Mahasiswa","Pelajar"))</f>
        <v>Mahasiswa</v>
      </c>
      <c r="O13" s="37" t="str">
        <f>VLOOKUP(MID(K13,3,3),$K$31:$L$34,2,FALSE)</f>
        <v>Ms. Excel' 97</v>
      </c>
      <c r="P13" s="37" t="str">
        <f t="shared" ref="P13:P23" si="1">IF(RIGHT(K13,2)="SK","Sen-Kam",IF(RIGHT(K13,2)="SJ","Sel-Jum","Rab-Sab"))</f>
        <v>Sel-Jum</v>
      </c>
      <c r="Q13" s="37" t="str">
        <f t="shared" ref="Q13:Q23" si="2">IF(LEFT(K13,1)="P","Pagi",IF(LEFT(K13,1)="S","Siang","Malam"))</f>
        <v>Siang</v>
      </c>
      <c r="R13" s="101">
        <f t="shared" ref="R13:R28" si="3">VLOOKUP(O13,$L$30:$M$34,2,FALSE)</f>
        <v>140000</v>
      </c>
      <c r="S13" s="101">
        <f t="shared" ref="S13:S23" si="4">HLOOKUP(MID(K13,3,3),$Q$30:$T$31,2)*R13</f>
        <v>14000</v>
      </c>
      <c r="T13" s="103">
        <f t="shared" ref="T13:T23" si="5">R13-S13</f>
        <v>126000</v>
      </c>
    </row>
    <row r="14" spans="10:20" ht="15" customHeight="1">
      <c r="J14" s="50">
        <f t="shared" ref="J14:J23" si="6">J13+1</f>
        <v>3</v>
      </c>
      <c r="K14" s="51" t="s">
        <v>71</v>
      </c>
      <c r="L14" s="51" t="s">
        <v>72</v>
      </c>
      <c r="M14" s="52" t="s">
        <v>73</v>
      </c>
      <c r="N14" s="37" t="str">
        <f t="shared" si="0"/>
        <v>Pelajar</v>
      </c>
      <c r="O14" s="37" t="str">
        <f t="shared" ref="O13:O23" si="7">VLOOKUP(MID(K14,3,3),$K$31:$L$34,2,FALSE)</f>
        <v>Ms. Word'97</v>
      </c>
      <c r="P14" s="37" t="str">
        <f t="shared" si="1"/>
        <v>Rab-Sab</v>
      </c>
      <c r="Q14" s="37" t="str">
        <f t="shared" si="2"/>
        <v>Malam</v>
      </c>
      <c r="R14" s="101">
        <f t="shared" si="3"/>
        <v>130000</v>
      </c>
      <c r="S14" s="101">
        <f t="shared" si="4"/>
        <v>9100</v>
      </c>
      <c r="T14" s="103">
        <f t="shared" si="5"/>
        <v>120900</v>
      </c>
    </row>
    <row r="15" spans="10:20" ht="15" customHeight="1">
      <c r="J15" s="50">
        <f t="shared" si="6"/>
        <v>4</v>
      </c>
      <c r="K15" s="51" t="s">
        <v>74</v>
      </c>
      <c r="L15" s="51" t="s">
        <v>75</v>
      </c>
      <c r="M15" s="52" t="s">
        <v>73</v>
      </c>
      <c r="N15" s="37" t="str">
        <f t="shared" si="0"/>
        <v>Pelajar</v>
      </c>
      <c r="O15" s="37" t="str">
        <f t="shared" si="7"/>
        <v>Ms. Access' 97</v>
      </c>
      <c r="P15" s="37" t="str">
        <f t="shared" si="1"/>
        <v>Sel-Jum</v>
      </c>
      <c r="Q15" s="37" t="str">
        <f t="shared" si="2"/>
        <v>Siang</v>
      </c>
      <c r="R15" s="101">
        <f t="shared" si="3"/>
        <v>1000000</v>
      </c>
      <c r="S15" s="101">
        <f t="shared" si="4"/>
        <v>120000</v>
      </c>
      <c r="T15" s="103">
        <f t="shared" si="5"/>
        <v>880000</v>
      </c>
    </row>
    <row r="16" spans="10:20" ht="15" customHeight="1">
      <c r="J16" s="50">
        <f t="shared" si="6"/>
        <v>5</v>
      </c>
      <c r="K16" s="51" t="s">
        <v>66</v>
      </c>
      <c r="L16" s="51" t="s">
        <v>76</v>
      </c>
      <c r="M16" s="52" t="s">
        <v>49</v>
      </c>
      <c r="N16" s="37" t="str">
        <f t="shared" si="0"/>
        <v>Mahasiswa</v>
      </c>
      <c r="O16" s="37" t="str">
        <f t="shared" si="7"/>
        <v>Windows' 95</v>
      </c>
      <c r="P16" s="37" t="str">
        <f t="shared" si="1"/>
        <v>Sen-Kam</v>
      </c>
      <c r="Q16" s="37" t="str">
        <f t="shared" si="2"/>
        <v>Pagi</v>
      </c>
      <c r="R16" s="101">
        <f t="shared" si="3"/>
        <v>100000</v>
      </c>
      <c r="S16" s="101">
        <f t="shared" si="4"/>
        <v>5000</v>
      </c>
      <c r="T16" s="103">
        <f t="shared" si="5"/>
        <v>95000</v>
      </c>
    </row>
    <row r="17" spans="10:21" ht="15" customHeight="1">
      <c r="J17" s="50">
        <f t="shared" si="6"/>
        <v>6</v>
      </c>
      <c r="K17" s="51" t="s">
        <v>71</v>
      </c>
      <c r="L17" s="51" t="s">
        <v>77</v>
      </c>
      <c r="M17" s="52" t="s">
        <v>68</v>
      </c>
      <c r="N17" s="37" t="str">
        <f t="shared" si="0"/>
        <v>Karyawan</v>
      </c>
      <c r="O17" s="37" t="str">
        <f t="shared" si="7"/>
        <v>Ms. Word'97</v>
      </c>
      <c r="P17" s="37" t="str">
        <f t="shared" si="1"/>
        <v>Rab-Sab</v>
      </c>
      <c r="Q17" s="37" t="str">
        <f t="shared" si="2"/>
        <v>Malam</v>
      </c>
      <c r="R17" s="101">
        <f t="shared" si="3"/>
        <v>130000</v>
      </c>
      <c r="S17" s="101">
        <f t="shared" si="4"/>
        <v>9100</v>
      </c>
      <c r="T17" s="103">
        <f t="shared" si="5"/>
        <v>120900</v>
      </c>
    </row>
    <row r="18" spans="10:21" ht="15" customHeight="1">
      <c r="J18" s="50">
        <f t="shared" si="6"/>
        <v>7</v>
      </c>
      <c r="K18" s="51" t="s">
        <v>78</v>
      </c>
      <c r="L18" s="51" t="s">
        <v>79</v>
      </c>
      <c r="M18" s="52" t="s">
        <v>49</v>
      </c>
      <c r="N18" s="37" t="str">
        <f t="shared" si="0"/>
        <v>Mahasiswa</v>
      </c>
      <c r="O18" s="37" t="str">
        <f t="shared" si="7"/>
        <v>Ms. Excel' 97</v>
      </c>
      <c r="P18" s="37" t="str">
        <f t="shared" si="1"/>
        <v>Sen-Kam</v>
      </c>
      <c r="Q18" s="37" t="str">
        <f t="shared" si="2"/>
        <v>Pagi</v>
      </c>
      <c r="R18" s="101">
        <f t="shared" si="3"/>
        <v>140000</v>
      </c>
      <c r="S18" s="101">
        <f t="shared" si="4"/>
        <v>14000</v>
      </c>
      <c r="T18" s="103">
        <f t="shared" si="5"/>
        <v>126000</v>
      </c>
    </row>
    <row r="19" spans="10:21" ht="15" customHeight="1">
      <c r="J19" s="50">
        <f t="shared" si="6"/>
        <v>8</v>
      </c>
      <c r="K19" s="51" t="s">
        <v>74</v>
      </c>
      <c r="L19" s="51" t="s">
        <v>80</v>
      </c>
      <c r="M19" s="52" t="s">
        <v>73</v>
      </c>
      <c r="N19" s="37" t="str">
        <f t="shared" si="0"/>
        <v>Pelajar</v>
      </c>
      <c r="O19" s="37" t="str">
        <f t="shared" si="7"/>
        <v>Ms. Access' 97</v>
      </c>
      <c r="P19" s="37" t="str">
        <f t="shared" si="1"/>
        <v>Sel-Jum</v>
      </c>
      <c r="Q19" s="37" t="str">
        <f t="shared" si="2"/>
        <v>Siang</v>
      </c>
      <c r="R19" s="101">
        <f t="shared" si="3"/>
        <v>1000000</v>
      </c>
      <c r="S19" s="101">
        <f t="shared" si="4"/>
        <v>120000</v>
      </c>
      <c r="T19" s="103">
        <f t="shared" si="5"/>
        <v>880000</v>
      </c>
    </row>
    <row r="20" spans="10:21" ht="15" customHeight="1">
      <c r="J20" s="50">
        <f t="shared" si="6"/>
        <v>9</v>
      </c>
      <c r="K20" s="51" t="s">
        <v>81</v>
      </c>
      <c r="L20" s="51" t="s">
        <v>82</v>
      </c>
      <c r="M20" s="52" t="s">
        <v>68</v>
      </c>
      <c r="N20" s="37" t="str">
        <f t="shared" si="0"/>
        <v>Karyawan</v>
      </c>
      <c r="O20" s="37" t="str">
        <f t="shared" si="7"/>
        <v>Ms. Excel' 97</v>
      </c>
      <c r="P20" s="37" t="str">
        <f t="shared" si="1"/>
        <v>Rab-Sab</v>
      </c>
      <c r="Q20" s="37" t="str">
        <f t="shared" si="2"/>
        <v>Malam</v>
      </c>
      <c r="R20" s="101">
        <f t="shared" si="3"/>
        <v>140000</v>
      </c>
      <c r="S20" s="101">
        <f t="shared" si="4"/>
        <v>14000</v>
      </c>
      <c r="T20" s="103">
        <f t="shared" si="5"/>
        <v>126000</v>
      </c>
    </row>
    <row r="21" spans="10:21" ht="15" customHeight="1">
      <c r="J21" s="50">
        <f t="shared" si="6"/>
        <v>10</v>
      </c>
      <c r="K21" s="51" t="s">
        <v>83</v>
      </c>
      <c r="L21" s="51" t="s">
        <v>84</v>
      </c>
      <c r="M21" s="52" t="s">
        <v>49</v>
      </c>
      <c r="N21" s="37" t="str">
        <f t="shared" si="0"/>
        <v>Mahasiswa</v>
      </c>
      <c r="O21" s="37" t="str">
        <f t="shared" si="7"/>
        <v>Ms. Word'97</v>
      </c>
      <c r="P21" s="37" t="str">
        <f t="shared" si="1"/>
        <v>Sel-Jum</v>
      </c>
      <c r="Q21" s="37" t="str">
        <f t="shared" si="2"/>
        <v>Malam</v>
      </c>
      <c r="R21" s="101">
        <f t="shared" si="3"/>
        <v>130000</v>
      </c>
      <c r="S21" s="101">
        <f t="shared" si="4"/>
        <v>9100</v>
      </c>
      <c r="T21" s="103">
        <f t="shared" si="5"/>
        <v>120900</v>
      </c>
    </row>
    <row r="22" spans="10:21" ht="15" customHeight="1">
      <c r="J22" s="50">
        <f t="shared" si="6"/>
        <v>11</v>
      </c>
      <c r="K22" s="51" t="s">
        <v>78</v>
      </c>
      <c r="L22" s="51" t="s">
        <v>85</v>
      </c>
      <c r="M22" s="52" t="s">
        <v>68</v>
      </c>
      <c r="N22" s="37" t="str">
        <f t="shared" si="0"/>
        <v>Karyawan</v>
      </c>
      <c r="O22" s="37" t="str">
        <f t="shared" si="7"/>
        <v>Ms. Excel' 97</v>
      </c>
      <c r="P22" s="37" t="str">
        <f t="shared" si="1"/>
        <v>Sen-Kam</v>
      </c>
      <c r="Q22" s="37" t="str">
        <f t="shared" si="2"/>
        <v>Pagi</v>
      </c>
      <c r="R22" s="101">
        <f t="shared" si="3"/>
        <v>140000</v>
      </c>
      <c r="S22" s="101">
        <f t="shared" si="4"/>
        <v>14000</v>
      </c>
      <c r="T22" s="103">
        <f t="shared" si="5"/>
        <v>126000</v>
      </c>
    </row>
    <row r="23" spans="10:21" ht="15" customHeight="1">
      <c r="J23" s="50">
        <f t="shared" si="6"/>
        <v>12</v>
      </c>
      <c r="K23" s="51" t="s">
        <v>86</v>
      </c>
      <c r="L23" s="51" t="s">
        <v>87</v>
      </c>
      <c r="M23" s="52" t="s">
        <v>73</v>
      </c>
      <c r="N23" s="37" t="str">
        <f t="shared" si="0"/>
        <v>Pelajar</v>
      </c>
      <c r="O23" s="37" t="str">
        <f t="shared" si="7"/>
        <v>Windows' 95</v>
      </c>
      <c r="P23" s="37" t="str">
        <f t="shared" si="1"/>
        <v>Rab-Sab</v>
      </c>
      <c r="Q23" s="37" t="str">
        <f t="shared" si="2"/>
        <v>Siang</v>
      </c>
      <c r="R23" s="101">
        <f t="shared" si="3"/>
        <v>100000</v>
      </c>
      <c r="S23" s="101">
        <f t="shared" si="4"/>
        <v>5000</v>
      </c>
      <c r="T23" s="103">
        <f t="shared" si="5"/>
        <v>95000</v>
      </c>
    </row>
    <row r="24" spans="10:21">
      <c r="J24" s="53" t="s">
        <v>88</v>
      </c>
      <c r="K24" s="54"/>
      <c r="L24" s="54"/>
      <c r="M24" s="54"/>
      <c r="N24" s="54"/>
      <c r="O24" s="54"/>
      <c r="P24" s="54"/>
      <c r="Q24" s="54"/>
      <c r="R24" s="101">
        <f>SUM(R12:R23)</f>
        <v>3250000</v>
      </c>
      <c r="S24" s="85">
        <f>SUM(S12:S23)</f>
        <v>338300</v>
      </c>
      <c r="T24" s="104">
        <f>SUM(T12:T23)</f>
        <v>2911700</v>
      </c>
    </row>
    <row r="25" spans="10:21">
      <c r="J25" s="53" t="s">
        <v>89</v>
      </c>
      <c r="K25" s="54"/>
      <c r="L25" s="54"/>
      <c r="M25" s="54"/>
      <c r="N25" s="54"/>
      <c r="O25" s="54"/>
      <c r="P25" s="54"/>
      <c r="Q25" s="54"/>
      <c r="R25" s="101">
        <f>AVERAGE(R12:R23)</f>
        <v>270833.33333333331</v>
      </c>
      <c r="S25" s="85">
        <f>AVERAGE(S12:S23)</f>
        <v>28191.666666666668</v>
      </c>
      <c r="T25" s="104">
        <f>AVERAGE(T12:T23)</f>
        <v>242641.66666666666</v>
      </c>
    </row>
    <row r="26" spans="10:21">
      <c r="J26" s="53" t="s">
        <v>90</v>
      </c>
      <c r="K26" s="54"/>
      <c r="L26" s="54"/>
      <c r="M26" s="54"/>
      <c r="N26" s="54"/>
      <c r="O26" s="54"/>
      <c r="P26" s="54"/>
      <c r="Q26" s="54"/>
      <c r="R26" s="101">
        <f>MAX(R12:R23)</f>
        <v>1000000</v>
      </c>
      <c r="S26" s="85">
        <f>MAX(S12:S23)</f>
        <v>120000</v>
      </c>
      <c r="T26" s="104">
        <f>MAX(T12:T23)</f>
        <v>880000</v>
      </c>
    </row>
    <row r="27" spans="10:21" ht="13.5" thickBot="1">
      <c r="J27" s="55" t="s">
        <v>91</v>
      </c>
      <c r="K27" s="56"/>
      <c r="L27" s="56"/>
      <c r="M27" s="56"/>
      <c r="N27" s="56"/>
      <c r="O27" s="56"/>
      <c r="P27" s="56"/>
      <c r="Q27" s="56"/>
      <c r="R27" s="101">
        <f>MIN(R12:R23)</f>
        <v>100000</v>
      </c>
      <c r="S27" s="102">
        <f>MIN(S12:S23)</f>
        <v>5000</v>
      </c>
      <c r="T27" s="105">
        <f>MIN(T12:T23)</f>
        <v>95000</v>
      </c>
    </row>
    <row r="28" spans="10:21" ht="3.75" customHeight="1" thickTop="1">
      <c r="R28" s="101" t="e">
        <f t="shared" si="3"/>
        <v>#N/A</v>
      </c>
    </row>
    <row r="29" spans="10:21">
      <c r="K29" s="57" t="s">
        <v>92</v>
      </c>
      <c r="L29" s="57"/>
      <c r="M29" s="57"/>
      <c r="N29" s="58"/>
      <c r="P29" t="s">
        <v>93</v>
      </c>
    </row>
    <row r="30" spans="10:21">
      <c r="K30" s="59" t="s">
        <v>94</v>
      </c>
      <c r="L30" s="60" t="s">
        <v>60</v>
      </c>
      <c r="M30" s="60" t="s">
        <v>95</v>
      </c>
      <c r="N30" s="61"/>
      <c r="P30" s="59" t="s">
        <v>94</v>
      </c>
      <c r="Q30" s="62" t="s">
        <v>96</v>
      </c>
      <c r="R30" s="62" t="s">
        <v>97</v>
      </c>
      <c r="S30" s="62" t="s">
        <v>98</v>
      </c>
      <c r="T30" s="62" t="s">
        <v>99</v>
      </c>
      <c r="U30" s="63"/>
    </row>
    <row r="31" spans="10:21">
      <c r="K31" s="62" t="s">
        <v>96</v>
      </c>
      <c r="L31" s="60" t="s">
        <v>100</v>
      </c>
      <c r="M31" s="60">
        <v>100000</v>
      </c>
      <c r="N31" s="64"/>
      <c r="P31" s="60" t="s">
        <v>64</v>
      </c>
      <c r="Q31" s="65">
        <v>0.05</v>
      </c>
      <c r="R31" s="65">
        <v>7.0000000000000007E-2</v>
      </c>
      <c r="S31" s="65">
        <v>0.1</v>
      </c>
      <c r="T31" s="65">
        <v>0.12</v>
      </c>
      <c r="U31" s="63"/>
    </row>
    <row r="32" spans="10:21">
      <c r="K32" s="62" t="s">
        <v>97</v>
      </c>
      <c r="L32" s="60" t="s">
        <v>101</v>
      </c>
      <c r="M32" s="60">
        <v>130000</v>
      </c>
      <c r="N32" s="64"/>
      <c r="U32" s="63"/>
    </row>
    <row r="33" spans="10:21">
      <c r="K33" s="62" t="s">
        <v>98</v>
      </c>
      <c r="L33" s="60" t="s">
        <v>102</v>
      </c>
      <c r="M33" s="60">
        <v>140000</v>
      </c>
      <c r="N33" s="64"/>
      <c r="U33" s="63"/>
    </row>
    <row r="34" spans="10:21">
      <c r="K34" s="62" t="s">
        <v>99</v>
      </c>
      <c r="L34" s="60" t="s">
        <v>103</v>
      </c>
      <c r="M34" s="60">
        <v>1000000</v>
      </c>
      <c r="N34" s="64"/>
    </row>
    <row r="35" spans="10:21" ht="5.25" customHeight="1"/>
    <row r="36" spans="10:21" ht="9" customHeight="1">
      <c r="J36" s="66" t="s">
        <v>104</v>
      </c>
    </row>
    <row r="37" spans="10:21">
      <c r="J37" s="67">
        <v>1</v>
      </c>
      <c r="K37" s="67" t="s">
        <v>105</v>
      </c>
    </row>
    <row r="38" spans="10:21">
      <c r="J38" s="67"/>
      <c r="K38" s="68" t="s">
        <v>106</v>
      </c>
    </row>
    <row r="39" spans="10:21">
      <c r="J39" s="67"/>
      <c r="K39" s="68" t="s">
        <v>107</v>
      </c>
    </row>
    <row r="40" spans="10:21">
      <c r="J40" s="67"/>
      <c r="K40" s="68" t="s">
        <v>108</v>
      </c>
    </row>
    <row r="41" spans="10:21">
      <c r="J41" s="67">
        <v>2</v>
      </c>
      <c r="K41" s="67" t="s">
        <v>109</v>
      </c>
    </row>
    <row r="42" spans="10:21">
      <c r="J42" s="67">
        <v>3</v>
      </c>
      <c r="K42" s="100" t="s">
        <v>269</v>
      </c>
    </row>
    <row r="43" spans="10:21">
      <c r="J43" s="67"/>
      <c r="K43" s="68" t="s">
        <v>110</v>
      </c>
    </row>
    <row r="44" spans="10:21">
      <c r="J44" s="67"/>
      <c r="K44" s="68" t="s">
        <v>111</v>
      </c>
    </row>
    <row r="45" spans="10:21">
      <c r="J45" s="67"/>
      <c r="K45" s="68" t="s">
        <v>112</v>
      </c>
    </row>
    <row r="46" spans="10:21">
      <c r="J46" s="67">
        <v>4</v>
      </c>
      <c r="K46" s="67" t="s">
        <v>113</v>
      </c>
    </row>
    <row r="47" spans="10:21">
      <c r="J47" s="67"/>
      <c r="K47" s="68" t="s">
        <v>114</v>
      </c>
    </row>
    <row r="48" spans="10:21">
      <c r="J48" s="67"/>
      <c r="K48" s="68" t="s">
        <v>115</v>
      </c>
    </row>
    <row r="49" spans="10:11">
      <c r="J49" s="67"/>
      <c r="K49" s="68" t="s">
        <v>116</v>
      </c>
    </row>
    <row r="50" spans="10:11">
      <c r="J50" s="67">
        <v>5</v>
      </c>
      <c r="K50" s="67" t="s">
        <v>117</v>
      </c>
    </row>
    <row r="51" spans="10:11">
      <c r="J51" s="67">
        <v>6</v>
      </c>
      <c r="K51" s="67" t="s">
        <v>118</v>
      </c>
    </row>
    <row r="52" spans="10:11">
      <c r="J52" s="67">
        <v>7</v>
      </c>
      <c r="K52" s="67" t="s">
        <v>119</v>
      </c>
    </row>
    <row r="53" spans="10:11">
      <c r="J53" s="67">
        <v>8</v>
      </c>
      <c r="K53" s="67" t="s">
        <v>120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6:J23"/>
  <sheetViews>
    <sheetView workbookViewId="0">
      <selection activeCell="C9" sqref="C9"/>
    </sheetView>
  </sheetViews>
  <sheetFormatPr defaultRowHeight="12.75"/>
  <cols>
    <col min="2" max="2" width="10.28515625" bestFit="1" customWidth="1"/>
    <col min="3" max="3" width="10.5703125" customWidth="1"/>
    <col min="4" max="4" width="11" bestFit="1" customWidth="1"/>
    <col min="5" max="5" width="7.5703125" bestFit="1" customWidth="1"/>
    <col min="258" max="258" width="10.28515625" bestFit="1" customWidth="1"/>
    <col min="259" max="259" width="10.5703125" customWidth="1"/>
    <col min="260" max="260" width="11" bestFit="1" customWidth="1"/>
    <col min="261" max="261" width="7.5703125" bestFit="1" customWidth="1"/>
    <col min="514" max="514" width="10.28515625" bestFit="1" customWidth="1"/>
    <col min="515" max="515" width="10.5703125" customWidth="1"/>
    <col min="516" max="516" width="11" bestFit="1" customWidth="1"/>
    <col min="517" max="517" width="7.5703125" bestFit="1" customWidth="1"/>
    <col min="770" max="770" width="10.28515625" bestFit="1" customWidth="1"/>
    <col min="771" max="771" width="10.5703125" customWidth="1"/>
    <col min="772" max="772" width="11" bestFit="1" customWidth="1"/>
    <col min="773" max="773" width="7.5703125" bestFit="1" customWidth="1"/>
    <col min="1026" max="1026" width="10.28515625" bestFit="1" customWidth="1"/>
    <col min="1027" max="1027" width="10.5703125" customWidth="1"/>
    <col min="1028" max="1028" width="11" bestFit="1" customWidth="1"/>
    <col min="1029" max="1029" width="7.5703125" bestFit="1" customWidth="1"/>
    <col min="1282" max="1282" width="10.28515625" bestFit="1" customWidth="1"/>
    <col min="1283" max="1283" width="10.5703125" customWidth="1"/>
    <col min="1284" max="1284" width="11" bestFit="1" customWidth="1"/>
    <col min="1285" max="1285" width="7.5703125" bestFit="1" customWidth="1"/>
    <col min="1538" max="1538" width="10.28515625" bestFit="1" customWidth="1"/>
    <col min="1539" max="1539" width="10.5703125" customWidth="1"/>
    <col min="1540" max="1540" width="11" bestFit="1" customWidth="1"/>
    <col min="1541" max="1541" width="7.5703125" bestFit="1" customWidth="1"/>
    <col min="1794" max="1794" width="10.28515625" bestFit="1" customWidth="1"/>
    <col min="1795" max="1795" width="10.5703125" customWidth="1"/>
    <col min="1796" max="1796" width="11" bestFit="1" customWidth="1"/>
    <col min="1797" max="1797" width="7.5703125" bestFit="1" customWidth="1"/>
    <col min="2050" max="2050" width="10.28515625" bestFit="1" customWidth="1"/>
    <col min="2051" max="2051" width="10.5703125" customWidth="1"/>
    <col min="2052" max="2052" width="11" bestFit="1" customWidth="1"/>
    <col min="2053" max="2053" width="7.5703125" bestFit="1" customWidth="1"/>
    <col min="2306" max="2306" width="10.28515625" bestFit="1" customWidth="1"/>
    <col min="2307" max="2307" width="10.5703125" customWidth="1"/>
    <col min="2308" max="2308" width="11" bestFit="1" customWidth="1"/>
    <col min="2309" max="2309" width="7.5703125" bestFit="1" customWidth="1"/>
    <col min="2562" max="2562" width="10.28515625" bestFit="1" customWidth="1"/>
    <col min="2563" max="2563" width="10.5703125" customWidth="1"/>
    <col min="2564" max="2564" width="11" bestFit="1" customWidth="1"/>
    <col min="2565" max="2565" width="7.5703125" bestFit="1" customWidth="1"/>
    <col min="2818" max="2818" width="10.28515625" bestFit="1" customWidth="1"/>
    <col min="2819" max="2819" width="10.5703125" customWidth="1"/>
    <col min="2820" max="2820" width="11" bestFit="1" customWidth="1"/>
    <col min="2821" max="2821" width="7.5703125" bestFit="1" customWidth="1"/>
    <col min="3074" max="3074" width="10.28515625" bestFit="1" customWidth="1"/>
    <col min="3075" max="3075" width="10.5703125" customWidth="1"/>
    <col min="3076" max="3076" width="11" bestFit="1" customWidth="1"/>
    <col min="3077" max="3077" width="7.5703125" bestFit="1" customWidth="1"/>
    <col min="3330" max="3330" width="10.28515625" bestFit="1" customWidth="1"/>
    <col min="3331" max="3331" width="10.5703125" customWidth="1"/>
    <col min="3332" max="3332" width="11" bestFit="1" customWidth="1"/>
    <col min="3333" max="3333" width="7.5703125" bestFit="1" customWidth="1"/>
    <col min="3586" max="3586" width="10.28515625" bestFit="1" customWidth="1"/>
    <col min="3587" max="3587" width="10.5703125" customWidth="1"/>
    <col min="3588" max="3588" width="11" bestFit="1" customWidth="1"/>
    <col min="3589" max="3589" width="7.5703125" bestFit="1" customWidth="1"/>
    <col min="3842" max="3842" width="10.28515625" bestFit="1" customWidth="1"/>
    <col min="3843" max="3843" width="10.5703125" customWidth="1"/>
    <col min="3844" max="3844" width="11" bestFit="1" customWidth="1"/>
    <col min="3845" max="3845" width="7.5703125" bestFit="1" customWidth="1"/>
    <col min="4098" max="4098" width="10.28515625" bestFit="1" customWidth="1"/>
    <col min="4099" max="4099" width="10.5703125" customWidth="1"/>
    <col min="4100" max="4100" width="11" bestFit="1" customWidth="1"/>
    <col min="4101" max="4101" width="7.5703125" bestFit="1" customWidth="1"/>
    <col min="4354" max="4354" width="10.28515625" bestFit="1" customWidth="1"/>
    <col min="4355" max="4355" width="10.5703125" customWidth="1"/>
    <col min="4356" max="4356" width="11" bestFit="1" customWidth="1"/>
    <col min="4357" max="4357" width="7.5703125" bestFit="1" customWidth="1"/>
    <col min="4610" max="4610" width="10.28515625" bestFit="1" customWidth="1"/>
    <col min="4611" max="4611" width="10.5703125" customWidth="1"/>
    <col min="4612" max="4612" width="11" bestFit="1" customWidth="1"/>
    <col min="4613" max="4613" width="7.5703125" bestFit="1" customWidth="1"/>
    <col min="4866" max="4866" width="10.28515625" bestFit="1" customWidth="1"/>
    <col min="4867" max="4867" width="10.5703125" customWidth="1"/>
    <col min="4868" max="4868" width="11" bestFit="1" customWidth="1"/>
    <col min="4869" max="4869" width="7.5703125" bestFit="1" customWidth="1"/>
    <col min="5122" max="5122" width="10.28515625" bestFit="1" customWidth="1"/>
    <col min="5123" max="5123" width="10.5703125" customWidth="1"/>
    <col min="5124" max="5124" width="11" bestFit="1" customWidth="1"/>
    <col min="5125" max="5125" width="7.5703125" bestFit="1" customWidth="1"/>
    <col min="5378" max="5378" width="10.28515625" bestFit="1" customWidth="1"/>
    <col min="5379" max="5379" width="10.5703125" customWidth="1"/>
    <col min="5380" max="5380" width="11" bestFit="1" customWidth="1"/>
    <col min="5381" max="5381" width="7.5703125" bestFit="1" customWidth="1"/>
    <col min="5634" max="5634" width="10.28515625" bestFit="1" customWidth="1"/>
    <col min="5635" max="5635" width="10.5703125" customWidth="1"/>
    <col min="5636" max="5636" width="11" bestFit="1" customWidth="1"/>
    <col min="5637" max="5637" width="7.5703125" bestFit="1" customWidth="1"/>
    <col min="5890" max="5890" width="10.28515625" bestFit="1" customWidth="1"/>
    <col min="5891" max="5891" width="10.5703125" customWidth="1"/>
    <col min="5892" max="5892" width="11" bestFit="1" customWidth="1"/>
    <col min="5893" max="5893" width="7.5703125" bestFit="1" customWidth="1"/>
    <col min="6146" max="6146" width="10.28515625" bestFit="1" customWidth="1"/>
    <col min="6147" max="6147" width="10.5703125" customWidth="1"/>
    <col min="6148" max="6148" width="11" bestFit="1" customWidth="1"/>
    <col min="6149" max="6149" width="7.5703125" bestFit="1" customWidth="1"/>
    <col min="6402" max="6402" width="10.28515625" bestFit="1" customWidth="1"/>
    <col min="6403" max="6403" width="10.5703125" customWidth="1"/>
    <col min="6404" max="6404" width="11" bestFit="1" customWidth="1"/>
    <col min="6405" max="6405" width="7.5703125" bestFit="1" customWidth="1"/>
    <col min="6658" max="6658" width="10.28515625" bestFit="1" customWidth="1"/>
    <col min="6659" max="6659" width="10.5703125" customWidth="1"/>
    <col min="6660" max="6660" width="11" bestFit="1" customWidth="1"/>
    <col min="6661" max="6661" width="7.5703125" bestFit="1" customWidth="1"/>
    <col min="6914" max="6914" width="10.28515625" bestFit="1" customWidth="1"/>
    <col min="6915" max="6915" width="10.5703125" customWidth="1"/>
    <col min="6916" max="6916" width="11" bestFit="1" customWidth="1"/>
    <col min="6917" max="6917" width="7.5703125" bestFit="1" customWidth="1"/>
    <col min="7170" max="7170" width="10.28515625" bestFit="1" customWidth="1"/>
    <col min="7171" max="7171" width="10.5703125" customWidth="1"/>
    <col min="7172" max="7172" width="11" bestFit="1" customWidth="1"/>
    <col min="7173" max="7173" width="7.5703125" bestFit="1" customWidth="1"/>
    <col min="7426" max="7426" width="10.28515625" bestFit="1" customWidth="1"/>
    <col min="7427" max="7427" width="10.5703125" customWidth="1"/>
    <col min="7428" max="7428" width="11" bestFit="1" customWidth="1"/>
    <col min="7429" max="7429" width="7.5703125" bestFit="1" customWidth="1"/>
    <col min="7682" max="7682" width="10.28515625" bestFit="1" customWidth="1"/>
    <col min="7683" max="7683" width="10.5703125" customWidth="1"/>
    <col min="7684" max="7684" width="11" bestFit="1" customWidth="1"/>
    <col min="7685" max="7685" width="7.5703125" bestFit="1" customWidth="1"/>
    <col min="7938" max="7938" width="10.28515625" bestFit="1" customWidth="1"/>
    <col min="7939" max="7939" width="10.5703125" customWidth="1"/>
    <col min="7940" max="7940" width="11" bestFit="1" customWidth="1"/>
    <col min="7941" max="7941" width="7.5703125" bestFit="1" customWidth="1"/>
    <col min="8194" max="8194" width="10.28515625" bestFit="1" customWidth="1"/>
    <col min="8195" max="8195" width="10.5703125" customWidth="1"/>
    <col min="8196" max="8196" width="11" bestFit="1" customWidth="1"/>
    <col min="8197" max="8197" width="7.5703125" bestFit="1" customWidth="1"/>
    <col min="8450" max="8450" width="10.28515625" bestFit="1" customWidth="1"/>
    <col min="8451" max="8451" width="10.5703125" customWidth="1"/>
    <col min="8452" max="8452" width="11" bestFit="1" customWidth="1"/>
    <col min="8453" max="8453" width="7.5703125" bestFit="1" customWidth="1"/>
    <col min="8706" max="8706" width="10.28515625" bestFit="1" customWidth="1"/>
    <col min="8707" max="8707" width="10.5703125" customWidth="1"/>
    <col min="8708" max="8708" width="11" bestFit="1" customWidth="1"/>
    <col min="8709" max="8709" width="7.5703125" bestFit="1" customWidth="1"/>
    <col min="8962" max="8962" width="10.28515625" bestFit="1" customWidth="1"/>
    <col min="8963" max="8963" width="10.5703125" customWidth="1"/>
    <col min="8964" max="8964" width="11" bestFit="1" customWidth="1"/>
    <col min="8965" max="8965" width="7.5703125" bestFit="1" customWidth="1"/>
    <col min="9218" max="9218" width="10.28515625" bestFit="1" customWidth="1"/>
    <col min="9219" max="9219" width="10.5703125" customWidth="1"/>
    <col min="9220" max="9220" width="11" bestFit="1" customWidth="1"/>
    <col min="9221" max="9221" width="7.5703125" bestFit="1" customWidth="1"/>
    <col min="9474" max="9474" width="10.28515625" bestFit="1" customWidth="1"/>
    <col min="9475" max="9475" width="10.5703125" customWidth="1"/>
    <col min="9476" max="9476" width="11" bestFit="1" customWidth="1"/>
    <col min="9477" max="9477" width="7.5703125" bestFit="1" customWidth="1"/>
    <col min="9730" max="9730" width="10.28515625" bestFit="1" customWidth="1"/>
    <col min="9731" max="9731" width="10.5703125" customWidth="1"/>
    <col min="9732" max="9732" width="11" bestFit="1" customWidth="1"/>
    <col min="9733" max="9733" width="7.5703125" bestFit="1" customWidth="1"/>
    <col min="9986" max="9986" width="10.28515625" bestFit="1" customWidth="1"/>
    <col min="9987" max="9987" width="10.5703125" customWidth="1"/>
    <col min="9988" max="9988" width="11" bestFit="1" customWidth="1"/>
    <col min="9989" max="9989" width="7.5703125" bestFit="1" customWidth="1"/>
    <col min="10242" max="10242" width="10.28515625" bestFit="1" customWidth="1"/>
    <col min="10243" max="10243" width="10.5703125" customWidth="1"/>
    <col min="10244" max="10244" width="11" bestFit="1" customWidth="1"/>
    <col min="10245" max="10245" width="7.5703125" bestFit="1" customWidth="1"/>
    <col min="10498" max="10498" width="10.28515625" bestFit="1" customWidth="1"/>
    <col min="10499" max="10499" width="10.5703125" customWidth="1"/>
    <col min="10500" max="10500" width="11" bestFit="1" customWidth="1"/>
    <col min="10501" max="10501" width="7.5703125" bestFit="1" customWidth="1"/>
    <col min="10754" max="10754" width="10.28515625" bestFit="1" customWidth="1"/>
    <col min="10755" max="10755" width="10.5703125" customWidth="1"/>
    <col min="10756" max="10756" width="11" bestFit="1" customWidth="1"/>
    <col min="10757" max="10757" width="7.5703125" bestFit="1" customWidth="1"/>
    <col min="11010" max="11010" width="10.28515625" bestFit="1" customWidth="1"/>
    <col min="11011" max="11011" width="10.5703125" customWidth="1"/>
    <col min="11012" max="11012" width="11" bestFit="1" customWidth="1"/>
    <col min="11013" max="11013" width="7.5703125" bestFit="1" customWidth="1"/>
    <col min="11266" max="11266" width="10.28515625" bestFit="1" customWidth="1"/>
    <col min="11267" max="11267" width="10.5703125" customWidth="1"/>
    <col min="11268" max="11268" width="11" bestFit="1" customWidth="1"/>
    <col min="11269" max="11269" width="7.5703125" bestFit="1" customWidth="1"/>
    <col min="11522" max="11522" width="10.28515625" bestFit="1" customWidth="1"/>
    <col min="11523" max="11523" width="10.5703125" customWidth="1"/>
    <col min="11524" max="11524" width="11" bestFit="1" customWidth="1"/>
    <col min="11525" max="11525" width="7.5703125" bestFit="1" customWidth="1"/>
    <col min="11778" max="11778" width="10.28515625" bestFit="1" customWidth="1"/>
    <col min="11779" max="11779" width="10.5703125" customWidth="1"/>
    <col min="11780" max="11780" width="11" bestFit="1" customWidth="1"/>
    <col min="11781" max="11781" width="7.5703125" bestFit="1" customWidth="1"/>
    <col min="12034" max="12034" width="10.28515625" bestFit="1" customWidth="1"/>
    <col min="12035" max="12035" width="10.5703125" customWidth="1"/>
    <col min="12036" max="12036" width="11" bestFit="1" customWidth="1"/>
    <col min="12037" max="12037" width="7.5703125" bestFit="1" customWidth="1"/>
    <col min="12290" max="12290" width="10.28515625" bestFit="1" customWidth="1"/>
    <col min="12291" max="12291" width="10.5703125" customWidth="1"/>
    <col min="12292" max="12292" width="11" bestFit="1" customWidth="1"/>
    <col min="12293" max="12293" width="7.5703125" bestFit="1" customWidth="1"/>
    <col min="12546" max="12546" width="10.28515625" bestFit="1" customWidth="1"/>
    <col min="12547" max="12547" width="10.5703125" customWidth="1"/>
    <col min="12548" max="12548" width="11" bestFit="1" customWidth="1"/>
    <col min="12549" max="12549" width="7.5703125" bestFit="1" customWidth="1"/>
    <col min="12802" max="12802" width="10.28515625" bestFit="1" customWidth="1"/>
    <col min="12803" max="12803" width="10.5703125" customWidth="1"/>
    <col min="12804" max="12804" width="11" bestFit="1" customWidth="1"/>
    <col min="12805" max="12805" width="7.5703125" bestFit="1" customWidth="1"/>
    <col min="13058" max="13058" width="10.28515625" bestFit="1" customWidth="1"/>
    <col min="13059" max="13059" width="10.5703125" customWidth="1"/>
    <col min="13060" max="13060" width="11" bestFit="1" customWidth="1"/>
    <col min="13061" max="13061" width="7.5703125" bestFit="1" customWidth="1"/>
    <col min="13314" max="13314" width="10.28515625" bestFit="1" customWidth="1"/>
    <col min="13315" max="13315" width="10.5703125" customWidth="1"/>
    <col min="13316" max="13316" width="11" bestFit="1" customWidth="1"/>
    <col min="13317" max="13317" width="7.5703125" bestFit="1" customWidth="1"/>
    <col min="13570" max="13570" width="10.28515625" bestFit="1" customWidth="1"/>
    <col min="13571" max="13571" width="10.5703125" customWidth="1"/>
    <col min="13572" max="13572" width="11" bestFit="1" customWidth="1"/>
    <col min="13573" max="13573" width="7.5703125" bestFit="1" customWidth="1"/>
    <col min="13826" max="13826" width="10.28515625" bestFit="1" customWidth="1"/>
    <col min="13827" max="13827" width="10.5703125" customWidth="1"/>
    <col min="13828" max="13828" width="11" bestFit="1" customWidth="1"/>
    <col min="13829" max="13829" width="7.5703125" bestFit="1" customWidth="1"/>
    <col min="14082" max="14082" width="10.28515625" bestFit="1" customWidth="1"/>
    <col min="14083" max="14083" width="10.5703125" customWidth="1"/>
    <col min="14084" max="14084" width="11" bestFit="1" customWidth="1"/>
    <col min="14085" max="14085" width="7.5703125" bestFit="1" customWidth="1"/>
    <col min="14338" max="14338" width="10.28515625" bestFit="1" customWidth="1"/>
    <col min="14339" max="14339" width="10.5703125" customWidth="1"/>
    <col min="14340" max="14340" width="11" bestFit="1" customWidth="1"/>
    <col min="14341" max="14341" width="7.5703125" bestFit="1" customWidth="1"/>
    <col min="14594" max="14594" width="10.28515625" bestFit="1" customWidth="1"/>
    <col min="14595" max="14595" width="10.5703125" customWidth="1"/>
    <col min="14596" max="14596" width="11" bestFit="1" customWidth="1"/>
    <col min="14597" max="14597" width="7.5703125" bestFit="1" customWidth="1"/>
    <col min="14850" max="14850" width="10.28515625" bestFit="1" customWidth="1"/>
    <col min="14851" max="14851" width="10.5703125" customWidth="1"/>
    <col min="14852" max="14852" width="11" bestFit="1" customWidth="1"/>
    <col min="14853" max="14853" width="7.5703125" bestFit="1" customWidth="1"/>
    <col min="15106" max="15106" width="10.28515625" bestFit="1" customWidth="1"/>
    <col min="15107" max="15107" width="10.5703125" customWidth="1"/>
    <col min="15108" max="15108" width="11" bestFit="1" customWidth="1"/>
    <col min="15109" max="15109" width="7.5703125" bestFit="1" customWidth="1"/>
    <col min="15362" max="15362" width="10.28515625" bestFit="1" customWidth="1"/>
    <col min="15363" max="15363" width="10.5703125" customWidth="1"/>
    <col min="15364" max="15364" width="11" bestFit="1" customWidth="1"/>
    <col min="15365" max="15365" width="7.5703125" bestFit="1" customWidth="1"/>
    <col min="15618" max="15618" width="10.28515625" bestFit="1" customWidth="1"/>
    <col min="15619" max="15619" width="10.5703125" customWidth="1"/>
    <col min="15620" max="15620" width="11" bestFit="1" customWidth="1"/>
    <col min="15621" max="15621" width="7.5703125" bestFit="1" customWidth="1"/>
    <col min="15874" max="15874" width="10.28515625" bestFit="1" customWidth="1"/>
    <col min="15875" max="15875" width="10.5703125" customWidth="1"/>
    <col min="15876" max="15876" width="11" bestFit="1" customWidth="1"/>
    <col min="15877" max="15877" width="7.5703125" bestFit="1" customWidth="1"/>
    <col min="16130" max="16130" width="10.28515625" bestFit="1" customWidth="1"/>
    <col min="16131" max="16131" width="10.5703125" customWidth="1"/>
    <col min="16132" max="16132" width="11" bestFit="1" customWidth="1"/>
    <col min="16133" max="16133" width="7.5703125" bestFit="1" customWidth="1"/>
  </cols>
  <sheetData>
    <row r="6" spans="2:10" ht="13.5" thickBot="1"/>
    <row r="7" spans="2:10" ht="14.25" thickTop="1" thickBot="1">
      <c r="B7" s="329" t="s">
        <v>541</v>
      </c>
      <c r="C7" s="201" t="s">
        <v>542</v>
      </c>
      <c r="D7" s="201" t="s">
        <v>48</v>
      </c>
      <c r="E7" s="201" t="s">
        <v>543</v>
      </c>
    </row>
    <row r="8" spans="2:10" ht="14.25" thickTop="1" thickBot="1">
      <c r="B8" s="329"/>
      <c r="C8" s="202" t="s">
        <v>544</v>
      </c>
      <c r="D8" s="202" t="s">
        <v>544</v>
      </c>
      <c r="E8" s="202" t="s">
        <v>545</v>
      </c>
      <c r="J8" s="203" t="s">
        <v>546</v>
      </c>
    </row>
    <row r="9" spans="2:10" ht="14.25" thickTop="1" thickBot="1">
      <c r="B9" s="204" t="s">
        <v>547</v>
      </c>
      <c r="C9" s="204" t="str">
        <f>IF(LEFT(B9,2)="AD","Solo",IF(LEFT(B9,2)="AB","Yogyakarta",IF(LEFT(B9,2)="DH","Kupang","Bali")))</f>
        <v>Bali</v>
      </c>
      <c r="D9" s="204" t="str">
        <f>MID(B9,4,3)</f>
        <v>456</v>
      </c>
      <c r="E9" s="204" t="str">
        <f>LEFT(B9,2)</f>
        <v>DK</v>
      </c>
    </row>
    <row r="10" spans="2:10" ht="14.25" thickTop="1" thickBot="1">
      <c r="B10" s="204" t="s">
        <v>548</v>
      </c>
      <c r="C10" s="204" t="str">
        <f>IF(LEFT(B10,2)="AD","Solo",IF(LEFT(B10,2)="AB","Yogyakarta",IF(LEFT(B10,2)="DH","Kupang","Bali")))</f>
        <v>Bali</v>
      </c>
      <c r="D10" s="204" t="str">
        <f>MID(B10,4,3)</f>
        <v>568</v>
      </c>
      <c r="E10" s="204" t="str">
        <f>LEFT(B10,2)</f>
        <v>DK</v>
      </c>
    </row>
    <row r="11" spans="2:10" ht="14.25" thickTop="1" thickBot="1">
      <c r="B11" s="204" t="s">
        <v>549</v>
      </c>
      <c r="C11" s="204" t="str">
        <f>IF(LEFT(B11,2)="AD","Solo",IF(LEFT(B11,2)="AB","Yogyakarta",IF(LEFT(B11,2)="DH","Kupang","Bali")))</f>
        <v>Yogyakarta</v>
      </c>
      <c r="D11" s="204" t="str">
        <f>MID(B11,4,3)</f>
        <v>852</v>
      </c>
      <c r="E11" s="204" t="str">
        <f>LEFT(B11,2)</f>
        <v>AB</v>
      </c>
    </row>
    <row r="12" spans="2:10" ht="14.25" thickTop="1" thickBot="1">
      <c r="B12" s="204" t="s">
        <v>550</v>
      </c>
      <c r="C12" s="204" t="str">
        <f>IF(LEFT(B12,2)="AD","Solo",IF(LEFT(B12,2)="AB","Yogyakarta",IF(LEFT(B12,2)="DH","Kupang","Bali")))</f>
        <v>Solo</v>
      </c>
      <c r="D12" s="204" t="str">
        <f>MID(B12,4,3)</f>
        <v>464</v>
      </c>
      <c r="E12" s="204" t="str">
        <f>LEFT(B12,2)</f>
        <v>AD</v>
      </c>
    </row>
    <row r="13" spans="2:10" ht="14.25" thickTop="1" thickBot="1">
      <c r="B13" s="204" t="s">
        <v>551</v>
      </c>
      <c r="C13" s="204" t="str">
        <f>IF(LEFT(B13,2)="AD","Solo",IF(LEFT(B13,2)="AB","Yogyakarta",IF(LEFT(B13,2)="DH","Kupang","Bali")))</f>
        <v>Yogyakarta</v>
      </c>
      <c r="D13" s="204" t="str">
        <f>MID(B13,4,3)</f>
        <v>356</v>
      </c>
      <c r="E13" s="204" t="str">
        <f>LEFT(B13,2)</f>
        <v>AB</v>
      </c>
    </row>
    <row r="14" spans="2:10" ht="13.5" thickTop="1"/>
    <row r="16" spans="2:10">
      <c r="B16" t="s">
        <v>552</v>
      </c>
    </row>
    <row r="17" spans="2:2">
      <c r="B17" t="s">
        <v>553</v>
      </c>
    </row>
    <row r="18" spans="2:2">
      <c r="B18" t="s">
        <v>554</v>
      </c>
    </row>
    <row r="19" spans="2:2">
      <c r="B19" t="s">
        <v>555</v>
      </c>
    </row>
    <row r="20" spans="2:2">
      <c r="B20" t="s">
        <v>556</v>
      </c>
    </row>
    <row r="22" spans="2:2">
      <c r="B22" t="s">
        <v>557</v>
      </c>
    </row>
    <row r="23" spans="2:2">
      <c r="B23" t="s">
        <v>558</v>
      </c>
    </row>
  </sheetData>
  <mergeCells count="1">
    <mergeCell ref="B7:B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6:K29"/>
  <sheetViews>
    <sheetView workbookViewId="0">
      <selection activeCell="J27" sqref="J27"/>
    </sheetView>
  </sheetViews>
  <sheetFormatPr defaultRowHeight="12.75"/>
  <sheetData>
    <row r="6" spans="2:11">
      <c r="B6" s="34" t="s">
        <v>559</v>
      </c>
      <c r="C6" s="34"/>
      <c r="D6" s="34"/>
      <c r="E6" s="34"/>
      <c r="F6" s="34"/>
      <c r="G6" s="34"/>
    </row>
    <row r="7" spans="2:11">
      <c r="B7" s="34" t="s">
        <v>560</v>
      </c>
      <c r="C7" s="34"/>
      <c r="D7" s="34"/>
      <c r="E7" s="34"/>
      <c r="F7" s="34"/>
      <c r="G7" s="34"/>
    </row>
    <row r="8" spans="2:11" ht="13.5" thickBot="1">
      <c r="I8" t="s">
        <v>561</v>
      </c>
    </row>
    <row r="9" spans="2:11" ht="26.25" thickTop="1">
      <c r="B9" s="205" t="s">
        <v>562</v>
      </c>
      <c r="C9" s="206" t="s">
        <v>563</v>
      </c>
      <c r="D9" s="206" t="s">
        <v>564</v>
      </c>
      <c r="E9" s="206" t="s">
        <v>565</v>
      </c>
      <c r="F9" s="206" t="s">
        <v>566</v>
      </c>
      <c r="G9" s="207" t="s">
        <v>567</v>
      </c>
      <c r="I9" s="205" t="s">
        <v>562</v>
      </c>
      <c r="J9" s="206" t="s">
        <v>563</v>
      </c>
      <c r="K9" s="207" t="s">
        <v>564</v>
      </c>
    </row>
    <row r="10" spans="2:11">
      <c r="B10" s="197" t="s">
        <v>485</v>
      </c>
      <c r="C10" s="8" t="str">
        <f>VLOOKUP(B10,$I$10:$J$14,2,FALSE)</f>
        <v>Lemper</v>
      </c>
      <c r="D10" s="8">
        <f>VLOOKUP(C10,$J$10:$K$14,2,FALSE)</f>
        <v>1200</v>
      </c>
      <c r="E10" s="8">
        <v>10</v>
      </c>
      <c r="F10" s="8">
        <f>D10*E10</f>
        <v>12000</v>
      </c>
      <c r="G10" s="208" t="str">
        <f>IF(F10&gt;=15000,"Banyak",IF(F10&gt;=10000,"Sedang","Sedikit"))</f>
        <v>Sedang</v>
      </c>
      <c r="I10" s="197" t="s">
        <v>49</v>
      </c>
      <c r="J10" s="5" t="s">
        <v>568</v>
      </c>
      <c r="K10" s="209">
        <v>1500</v>
      </c>
    </row>
    <row r="11" spans="2:11">
      <c r="B11" s="197" t="s">
        <v>485</v>
      </c>
      <c r="C11" s="8" t="str">
        <f t="shared" ref="C11:C19" si="0">VLOOKUP(B11,$I$10:$J$14,2,FALSE)</f>
        <v>Lemper</v>
      </c>
      <c r="D11" s="8">
        <f t="shared" ref="D11:D19" si="1">VLOOKUP(C11,$J$10:$K$14,2,FALSE)</f>
        <v>1200</v>
      </c>
      <c r="E11" s="8">
        <v>12</v>
      </c>
      <c r="F11" s="8">
        <f t="shared" ref="F11:F19" si="2">D11*E11</f>
        <v>14400</v>
      </c>
      <c r="G11" s="208" t="str">
        <f t="shared" ref="G11:G19" si="3">IF(F11&gt;=15000,"Banyak",IF(F11&gt;=10000,"Sedang","Sedikit"))</f>
        <v>Sedang</v>
      </c>
      <c r="I11" s="197" t="s">
        <v>485</v>
      </c>
      <c r="J11" s="5" t="s">
        <v>569</v>
      </c>
      <c r="K11" s="209">
        <v>1200</v>
      </c>
    </row>
    <row r="12" spans="2:11">
      <c r="B12" s="197" t="s">
        <v>49</v>
      </c>
      <c r="C12" s="8" t="str">
        <f t="shared" si="0"/>
        <v>Bolu</v>
      </c>
      <c r="D12" s="8">
        <f t="shared" si="1"/>
        <v>1500</v>
      </c>
      <c r="E12" s="8">
        <v>8</v>
      </c>
      <c r="F12" s="8">
        <f t="shared" si="2"/>
        <v>12000</v>
      </c>
      <c r="G12" s="208" t="str">
        <f t="shared" si="3"/>
        <v>Sedang</v>
      </c>
      <c r="I12" s="197" t="s">
        <v>570</v>
      </c>
      <c r="J12" s="5" t="s">
        <v>571</v>
      </c>
      <c r="K12" s="209">
        <v>1200</v>
      </c>
    </row>
    <row r="13" spans="2:11">
      <c r="B13" s="197" t="s">
        <v>570</v>
      </c>
      <c r="C13" s="8" t="str">
        <f t="shared" si="0"/>
        <v>Tahu</v>
      </c>
      <c r="D13" s="8">
        <f t="shared" si="1"/>
        <v>1200</v>
      </c>
      <c r="E13" s="8">
        <v>15</v>
      </c>
      <c r="F13" s="8">
        <f t="shared" si="2"/>
        <v>18000</v>
      </c>
      <c r="G13" s="208" t="str">
        <f t="shared" si="3"/>
        <v>Banyak</v>
      </c>
      <c r="I13" s="197" t="s">
        <v>572</v>
      </c>
      <c r="J13" s="5" t="s">
        <v>573</v>
      </c>
      <c r="K13" s="209">
        <v>1600</v>
      </c>
    </row>
    <row r="14" spans="2:11" ht="13.5" thickBot="1">
      <c r="B14" s="197" t="s">
        <v>572</v>
      </c>
      <c r="C14" s="8" t="str">
        <f t="shared" si="0"/>
        <v>Resoles</v>
      </c>
      <c r="D14" s="8">
        <f t="shared" si="1"/>
        <v>1600</v>
      </c>
      <c r="E14" s="8">
        <v>20</v>
      </c>
      <c r="F14" s="8">
        <f t="shared" si="2"/>
        <v>32000</v>
      </c>
      <c r="G14" s="208" t="str">
        <f t="shared" si="3"/>
        <v>Banyak</v>
      </c>
      <c r="I14" s="198" t="s">
        <v>493</v>
      </c>
      <c r="J14" s="199" t="s">
        <v>574</v>
      </c>
      <c r="K14" s="210">
        <v>2000</v>
      </c>
    </row>
    <row r="15" spans="2:11" ht="13.5" thickTop="1">
      <c r="B15" s="197" t="s">
        <v>493</v>
      </c>
      <c r="C15" s="8" t="str">
        <f t="shared" si="0"/>
        <v>Pastel</v>
      </c>
      <c r="D15" s="8">
        <f t="shared" si="1"/>
        <v>2000</v>
      </c>
      <c r="E15" s="8">
        <v>20</v>
      </c>
      <c r="F15" s="8">
        <f t="shared" si="2"/>
        <v>40000</v>
      </c>
      <c r="G15" s="208" t="str">
        <f t="shared" si="3"/>
        <v>Banyak</v>
      </c>
    </row>
    <row r="16" spans="2:11">
      <c r="B16" s="197" t="s">
        <v>493</v>
      </c>
      <c r="C16" s="8" t="str">
        <f t="shared" si="0"/>
        <v>Pastel</v>
      </c>
      <c r="D16" s="8">
        <f t="shared" si="1"/>
        <v>2000</v>
      </c>
      <c r="E16" s="8">
        <v>15</v>
      </c>
      <c r="F16" s="8">
        <f t="shared" si="2"/>
        <v>30000</v>
      </c>
      <c r="G16" s="208" t="str">
        <f t="shared" si="3"/>
        <v>Banyak</v>
      </c>
    </row>
    <row r="17" spans="2:7">
      <c r="B17" s="197" t="s">
        <v>572</v>
      </c>
      <c r="C17" s="8" t="str">
        <f t="shared" si="0"/>
        <v>Resoles</v>
      </c>
      <c r="D17" s="8">
        <f t="shared" si="1"/>
        <v>1600</v>
      </c>
      <c r="E17" s="8">
        <v>10</v>
      </c>
      <c r="F17" s="8">
        <f t="shared" si="2"/>
        <v>16000</v>
      </c>
      <c r="G17" s="208" t="str">
        <f t="shared" si="3"/>
        <v>Banyak</v>
      </c>
    </row>
    <row r="18" spans="2:7">
      <c r="B18" s="197" t="s">
        <v>493</v>
      </c>
      <c r="C18" s="8" t="str">
        <f t="shared" si="0"/>
        <v>Pastel</v>
      </c>
      <c r="D18" s="8">
        <f t="shared" si="1"/>
        <v>2000</v>
      </c>
      <c r="E18" s="8">
        <v>25</v>
      </c>
      <c r="F18" s="8">
        <f t="shared" si="2"/>
        <v>50000</v>
      </c>
      <c r="G18" s="208" t="str">
        <f t="shared" si="3"/>
        <v>Banyak</v>
      </c>
    </row>
    <row r="19" spans="2:7">
      <c r="B19" s="197" t="s">
        <v>49</v>
      </c>
      <c r="C19" s="8" t="str">
        <f t="shared" si="0"/>
        <v>Bolu</v>
      </c>
      <c r="D19" s="8">
        <f t="shared" si="1"/>
        <v>1500</v>
      </c>
      <c r="E19" s="8">
        <v>5</v>
      </c>
      <c r="F19" s="8">
        <f t="shared" si="2"/>
        <v>7500</v>
      </c>
      <c r="G19" s="208" t="str">
        <f t="shared" si="3"/>
        <v>Sedikit</v>
      </c>
    </row>
    <row r="20" spans="2:7" ht="13.5" thickBot="1">
      <c r="B20" s="330" t="s">
        <v>575</v>
      </c>
      <c r="C20" s="331"/>
      <c r="D20" s="331"/>
      <c r="E20" s="331"/>
      <c r="F20" s="332"/>
      <c r="G20" s="210"/>
    </row>
    <row r="21" spans="2:7" ht="13.5" thickTop="1"/>
    <row r="22" spans="2:7">
      <c r="B22" s="35" t="s">
        <v>576</v>
      </c>
    </row>
    <row r="23" spans="2:7">
      <c r="B23" s="36" t="s">
        <v>50</v>
      </c>
      <c r="C23" t="s">
        <v>577</v>
      </c>
    </row>
    <row r="24" spans="2:7">
      <c r="B24" s="36" t="s">
        <v>50</v>
      </c>
      <c r="C24" t="s">
        <v>578</v>
      </c>
    </row>
    <row r="25" spans="2:7">
      <c r="B25" s="36" t="s">
        <v>50</v>
      </c>
      <c r="C25" t="s">
        <v>579</v>
      </c>
    </row>
    <row r="26" spans="2:7">
      <c r="B26" s="36" t="s">
        <v>50</v>
      </c>
      <c r="C26" t="s">
        <v>580</v>
      </c>
    </row>
    <row r="27" spans="2:7">
      <c r="C27" t="s">
        <v>581</v>
      </c>
    </row>
    <row r="28" spans="2:7">
      <c r="C28" t="s">
        <v>582</v>
      </c>
    </row>
    <row r="29" spans="2:7">
      <c r="C29" t="s">
        <v>583</v>
      </c>
    </row>
  </sheetData>
  <mergeCells count="1">
    <mergeCell ref="B20:F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:M37"/>
  <sheetViews>
    <sheetView workbookViewId="0">
      <selection activeCell="D3" sqref="D3"/>
    </sheetView>
  </sheetViews>
  <sheetFormatPr defaultRowHeight="12.75"/>
  <cols>
    <col min="5" max="5" width="10" bestFit="1" customWidth="1"/>
    <col min="7" max="7" width="13.7109375" bestFit="1" customWidth="1"/>
    <col min="9" max="9" width="11.85546875" bestFit="1" customWidth="1"/>
    <col min="10" max="11" width="12.5703125" bestFit="1" customWidth="1"/>
    <col min="12" max="12" width="11" bestFit="1" customWidth="1"/>
    <col min="13" max="13" width="13.7109375" bestFit="1" customWidth="1"/>
    <col min="261" max="261" width="10" bestFit="1" customWidth="1"/>
    <col min="263" max="263" width="13.7109375" bestFit="1" customWidth="1"/>
    <col min="265" max="265" width="11.85546875" bestFit="1" customWidth="1"/>
    <col min="266" max="267" width="12.5703125" bestFit="1" customWidth="1"/>
    <col min="268" max="268" width="11" bestFit="1" customWidth="1"/>
    <col min="269" max="269" width="13.7109375" bestFit="1" customWidth="1"/>
    <col min="517" max="517" width="10" bestFit="1" customWidth="1"/>
    <col min="519" max="519" width="13.7109375" bestFit="1" customWidth="1"/>
    <col min="521" max="521" width="11.85546875" bestFit="1" customWidth="1"/>
    <col min="522" max="523" width="12.5703125" bestFit="1" customWidth="1"/>
    <col min="524" max="524" width="11" bestFit="1" customWidth="1"/>
    <col min="525" max="525" width="13.7109375" bestFit="1" customWidth="1"/>
    <col min="773" max="773" width="10" bestFit="1" customWidth="1"/>
    <col min="775" max="775" width="13.7109375" bestFit="1" customWidth="1"/>
    <col min="777" max="777" width="11.85546875" bestFit="1" customWidth="1"/>
    <col min="778" max="779" width="12.5703125" bestFit="1" customWidth="1"/>
    <col min="780" max="780" width="11" bestFit="1" customWidth="1"/>
    <col min="781" max="781" width="13.7109375" bestFit="1" customWidth="1"/>
    <col min="1029" max="1029" width="10" bestFit="1" customWidth="1"/>
    <col min="1031" max="1031" width="13.7109375" bestFit="1" customWidth="1"/>
    <col min="1033" max="1033" width="11.85546875" bestFit="1" customWidth="1"/>
    <col min="1034" max="1035" width="12.5703125" bestFit="1" customWidth="1"/>
    <col min="1036" max="1036" width="11" bestFit="1" customWidth="1"/>
    <col min="1037" max="1037" width="13.7109375" bestFit="1" customWidth="1"/>
    <col min="1285" max="1285" width="10" bestFit="1" customWidth="1"/>
    <col min="1287" max="1287" width="13.7109375" bestFit="1" customWidth="1"/>
    <col min="1289" max="1289" width="11.85546875" bestFit="1" customWidth="1"/>
    <col min="1290" max="1291" width="12.5703125" bestFit="1" customWidth="1"/>
    <col min="1292" max="1292" width="11" bestFit="1" customWidth="1"/>
    <col min="1293" max="1293" width="13.7109375" bestFit="1" customWidth="1"/>
    <col min="1541" max="1541" width="10" bestFit="1" customWidth="1"/>
    <col min="1543" max="1543" width="13.7109375" bestFit="1" customWidth="1"/>
    <col min="1545" max="1545" width="11.85546875" bestFit="1" customWidth="1"/>
    <col min="1546" max="1547" width="12.5703125" bestFit="1" customWidth="1"/>
    <col min="1548" max="1548" width="11" bestFit="1" customWidth="1"/>
    <col min="1549" max="1549" width="13.7109375" bestFit="1" customWidth="1"/>
    <col min="1797" max="1797" width="10" bestFit="1" customWidth="1"/>
    <col min="1799" max="1799" width="13.7109375" bestFit="1" customWidth="1"/>
    <col min="1801" max="1801" width="11.85546875" bestFit="1" customWidth="1"/>
    <col min="1802" max="1803" width="12.5703125" bestFit="1" customWidth="1"/>
    <col min="1804" max="1804" width="11" bestFit="1" customWidth="1"/>
    <col min="1805" max="1805" width="13.7109375" bestFit="1" customWidth="1"/>
    <col min="2053" max="2053" width="10" bestFit="1" customWidth="1"/>
    <col min="2055" max="2055" width="13.7109375" bestFit="1" customWidth="1"/>
    <col min="2057" max="2057" width="11.85546875" bestFit="1" customWidth="1"/>
    <col min="2058" max="2059" width="12.5703125" bestFit="1" customWidth="1"/>
    <col min="2060" max="2060" width="11" bestFit="1" customWidth="1"/>
    <col min="2061" max="2061" width="13.7109375" bestFit="1" customWidth="1"/>
    <col min="2309" max="2309" width="10" bestFit="1" customWidth="1"/>
    <col min="2311" max="2311" width="13.7109375" bestFit="1" customWidth="1"/>
    <col min="2313" max="2313" width="11.85546875" bestFit="1" customWidth="1"/>
    <col min="2314" max="2315" width="12.5703125" bestFit="1" customWidth="1"/>
    <col min="2316" max="2316" width="11" bestFit="1" customWidth="1"/>
    <col min="2317" max="2317" width="13.7109375" bestFit="1" customWidth="1"/>
    <col min="2565" max="2565" width="10" bestFit="1" customWidth="1"/>
    <col min="2567" max="2567" width="13.7109375" bestFit="1" customWidth="1"/>
    <col min="2569" max="2569" width="11.85546875" bestFit="1" customWidth="1"/>
    <col min="2570" max="2571" width="12.5703125" bestFit="1" customWidth="1"/>
    <col min="2572" max="2572" width="11" bestFit="1" customWidth="1"/>
    <col min="2573" max="2573" width="13.7109375" bestFit="1" customWidth="1"/>
    <col min="2821" max="2821" width="10" bestFit="1" customWidth="1"/>
    <col min="2823" max="2823" width="13.7109375" bestFit="1" customWidth="1"/>
    <col min="2825" max="2825" width="11.85546875" bestFit="1" customWidth="1"/>
    <col min="2826" max="2827" width="12.5703125" bestFit="1" customWidth="1"/>
    <col min="2828" max="2828" width="11" bestFit="1" customWidth="1"/>
    <col min="2829" max="2829" width="13.7109375" bestFit="1" customWidth="1"/>
    <col min="3077" max="3077" width="10" bestFit="1" customWidth="1"/>
    <col min="3079" max="3079" width="13.7109375" bestFit="1" customWidth="1"/>
    <col min="3081" max="3081" width="11.85546875" bestFit="1" customWidth="1"/>
    <col min="3082" max="3083" width="12.5703125" bestFit="1" customWidth="1"/>
    <col min="3084" max="3084" width="11" bestFit="1" customWidth="1"/>
    <col min="3085" max="3085" width="13.7109375" bestFit="1" customWidth="1"/>
    <col min="3333" max="3333" width="10" bestFit="1" customWidth="1"/>
    <col min="3335" max="3335" width="13.7109375" bestFit="1" customWidth="1"/>
    <col min="3337" max="3337" width="11.85546875" bestFit="1" customWidth="1"/>
    <col min="3338" max="3339" width="12.5703125" bestFit="1" customWidth="1"/>
    <col min="3340" max="3340" width="11" bestFit="1" customWidth="1"/>
    <col min="3341" max="3341" width="13.7109375" bestFit="1" customWidth="1"/>
    <col min="3589" max="3589" width="10" bestFit="1" customWidth="1"/>
    <col min="3591" max="3591" width="13.7109375" bestFit="1" customWidth="1"/>
    <col min="3593" max="3593" width="11.85546875" bestFit="1" customWidth="1"/>
    <col min="3594" max="3595" width="12.5703125" bestFit="1" customWidth="1"/>
    <col min="3596" max="3596" width="11" bestFit="1" customWidth="1"/>
    <col min="3597" max="3597" width="13.7109375" bestFit="1" customWidth="1"/>
    <col min="3845" max="3845" width="10" bestFit="1" customWidth="1"/>
    <col min="3847" max="3847" width="13.7109375" bestFit="1" customWidth="1"/>
    <col min="3849" max="3849" width="11.85546875" bestFit="1" customWidth="1"/>
    <col min="3850" max="3851" width="12.5703125" bestFit="1" customWidth="1"/>
    <col min="3852" max="3852" width="11" bestFit="1" customWidth="1"/>
    <col min="3853" max="3853" width="13.7109375" bestFit="1" customWidth="1"/>
    <col min="4101" max="4101" width="10" bestFit="1" customWidth="1"/>
    <col min="4103" max="4103" width="13.7109375" bestFit="1" customWidth="1"/>
    <col min="4105" max="4105" width="11.85546875" bestFit="1" customWidth="1"/>
    <col min="4106" max="4107" width="12.5703125" bestFit="1" customWidth="1"/>
    <col min="4108" max="4108" width="11" bestFit="1" customWidth="1"/>
    <col min="4109" max="4109" width="13.7109375" bestFit="1" customWidth="1"/>
    <col min="4357" max="4357" width="10" bestFit="1" customWidth="1"/>
    <col min="4359" max="4359" width="13.7109375" bestFit="1" customWidth="1"/>
    <col min="4361" max="4361" width="11.85546875" bestFit="1" customWidth="1"/>
    <col min="4362" max="4363" width="12.5703125" bestFit="1" customWidth="1"/>
    <col min="4364" max="4364" width="11" bestFit="1" customWidth="1"/>
    <col min="4365" max="4365" width="13.7109375" bestFit="1" customWidth="1"/>
    <col min="4613" max="4613" width="10" bestFit="1" customWidth="1"/>
    <col min="4615" max="4615" width="13.7109375" bestFit="1" customWidth="1"/>
    <col min="4617" max="4617" width="11.85546875" bestFit="1" customWidth="1"/>
    <col min="4618" max="4619" width="12.5703125" bestFit="1" customWidth="1"/>
    <col min="4620" max="4620" width="11" bestFit="1" customWidth="1"/>
    <col min="4621" max="4621" width="13.7109375" bestFit="1" customWidth="1"/>
    <col min="4869" max="4869" width="10" bestFit="1" customWidth="1"/>
    <col min="4871" max="4871" width="13.7109375" bestFit="1" customWidth="1"/>
    <col min="4873" max="4873" width="11.85546875" bestFit="1" customWidth="1"/>
    <col min="4874" max="4875" width="12.5703125" bestFit="1" customWidth="1"/>
    <col min="4876" max="4876" width="11" bestFit="1" customWidth="1"/>
    <col min="4877" max="4877" width="13.7109375" bestFit="1" customWidth="1"/>
    <col min="5125" max="5125" width="10" bestFit="1" customWidth="1"/>
    <col min="5127" max="5127" width="13.7109375" bestFit="1" customWidth="1"/>
    <col min="5129" max="5129" width="11.85546875" bestFit="1" customWidth="1"/>
    <col min="5130" max="5131" width="12.5703125" bestFit="1" customWidth="1"/>
    <col min="5132" max="5132" width="11" bestFit="1" customWidth="1"/>
    <col min="5133" max="5133" width="13.7109375" bestFit="1" customWidth="1"/>
    <col min="5381" max="5381" width="10" bestFit="1" customWidth="1"/>
    <col min="5383" max="5383" width="13.7109375" bestFit="1" customWidth="1"/>
    <col min="5385" max="5385" width="11.85546875" bestFit="1" customWidth="1"/>
    <col min="5386" max="5387" width="12.5703125" bestFit="1" customWidth="1"/>
    <col min="5388" max="5388" width="11" bestFit="1" customWidth="1"/>
    <col min="5389" max="5389" width="13.7109375" bestFit="1" customWidth="1"/>
    <col min="5637" max="5637" width="10" bestFit="1" customWidth="1"/>
    <col min="5639" max="5639" width="13.7109375" bestFit="1" customWidth="1"/>
    <col min="5641" max="5641" width="11.85546875" bestFit="1" customWidth="1"/>
    <col min="5642" max="5643" width="12.5703125" bestFit="1" customWidth="1"/>
    <col min="5644" max="5644" width="11" bestFit="1" customWidth="1"/>
    <col min="5645" max="5645" width="13.7109375" bestFit="1" customWidth="1"/>
    <col min="5893" max="5893" width="10" bestFit="1" customWidth="1"/>
    <col min="5895" max="5895" width="13.7109375" bestFit="1" customWidth="1"/>
    <col min="5897" max="5897" width="11.85546875" bestFit="1" customWidth="1"/>
    <col min="5898" max="5899" width="12.5703125" bestFit="1" customWidth="1"/>
    <col min="5900" max="5900" width="11" bestFit="1" customWidth="1"/>
    <col min="5901" max="5901" width="13.7109375" bestFit="1" customWidth="1"/>
    <col min="6149" max="6149" width="10" bestFit="1" customWidth="1"/>
    <col min="6151" max="6151" width="13.7109375" bestFit="1" customWidth="1"/>
    <col min="6153" max="6153" width="11.85546875" bestFit="1" customWidth="1"/>
    <col min="6154" max="6155" width="12.5703125" bestFit="1" customWidth="1"/>
    <col min="6156" max="6156" width="11" bestFit="1" customWidth="1"/>
    <col min="6157" max="6157" width="13.7109375" bestFit="1" customWidth="1"/>
    <col min="6405" max="6405" width="10" bestFit="1" customWidth="1"/>
    <col min="6407" max="6407" width="13.7109375" bestFit="1" customWidth="1"/>
    <col min="6409" max="6409" width="11.85546875" bestFit="1" customWidth="1"/>
    <col min="6410" max="6411" width="12.5703125" bestFit="1" customWidth="1"/>
    <col min="6412" max="6412" width="11" bestFit="1" customWidth="1"/>
    <col min="6413" max="6413" width="13.7109375" bestFit="1" customWidth="1"/>
    <col min="6661" max="6661" width="10" bestFit="1" customWidth="1"/>
    <col min="6663" max="6663" width="13.7109375" bestFit="1" customWidth="1"/>
    <col min="6665" max="6665" width="11.85546875" bestFit="1" customWidth="1"/>
    <col min="6666" max="6667" width="12.5703125" bestFit="1" customWidth="1"/>
    <col min="6668" max="6668" width="11" bestFit="1" customWidth="1"/>
    <col min="6669" max="6669" width="13.7109375" bestFit="1" customWidth="1"/>
    <col min="6917" max="6917" width="10" bestFit="1" customWidth="1"/>
    <col min="6919" max="6919" width="13.7109375" bestFit="1" customWidth="1"/>
    <col min="6921" max="6921" width="11.85546875" bestFit="1" customWidth="1"/>
    <col min="6922" max="6923" width="12.5703125" bestFit="1" customWidth="1"/>
    <col min="6924" max="6924" width="11" bestFit="1" customWidth="1"/>
    <col min="6925" max="6925" width="13.7109375" bestFit="1" customWidth="1"/>
    <col min="7173" max="7173" width="10" bestFit="1" customWidth="1"/>
    <col min="7175" max="7175" width="13.7109375" bestFit="1" customWidth="1"/>
    <col min="7177" max="7177" width="11.85546875" bestFit="1" customWidth="1"/>
    <col min="7178" max="7179" width="12.5703125" bestFit="1" customWidth="1"/>
    <col min="7180" max="7180" width="11" bestFit="1" customWidth="1"/>
    <col min="7181" max="7181" width="13.7109375" bestFit="1" customWidth="1"/>
    <col min="7429" max="7429" width="10" bestFit="1" customWidth="1"/>
    <col min="7431" max="7431" width="13.7109375" bestFit="1" customWidth="1"/>
    <col min="7433" max="7433" width="11.85546875" bestFit="1" customWidth="1"/>
    <col min="7434" max="7435" width="12.5703125" bestFit="1" customWidth="1"/>
    <col min="7436" max="7436" width="11" bestFit="1" customWidth="1"/>
    <col min="7437" max="7437" width="13.7109375" bestFit="1" customWidth="1"/>
    <col min="7685" max="7685" width="10" bestFit="1" customWidth="1"/>
    <col min="7687" max="7687" width="13.7109375" bestFit="1" customWidth="1"/>
    <col min="7689" max="7689" width="11.85546875" bestFit="1" customWidth="1"/>
    <col min="7690" max="7691" width="12.5703125" bestFit="1" customWidth="1"/>
    <col min="7692" max="7692" width="11" bestFit="1" customWidth="1"/>
    <col min="7693" max="7693" width="13.7109375" bestFit="1" customWidth="1"/>
    <col min="7941" max="7941" width="10" bestFit="1" customWidth="1"/>
    <col min="7943" max="7943" width="13.7109375" bestFit="1" customWidth="1"/>
    <col min="7945" max="7945" width="11.85546875" bestFit="1" customWidth="1"/>
    <col min="7946" max="7947" width="12.5703125" bestFit="1" customWidth="1"/>
    <col min="7948" max="7948" width="11" bestFit="1" customWidth="1"/>
    <col min="7949" max="7949" width="13.7109375" bestFit="1" customWidth="1"/>
    <col min="8197" max="8197" width="10" bestFit="1" customWidth="1"/>
    <col min="8199" max="8199" width="13.7109375" bestFit="1" customWidth="1"/>
    <col min="8201" max="8201" width="11.85546875" bestFit="1" customWidth="1"/>
    <col min="8202" max="8203" width="12.5703125" bestFit="1" customWidth="1"/>
    <col min="8204" max="8204" width="11" bestFit="1" customWidth="1"/>
    <col min="8205" max="8205" width="13.7109375" bestFit="1" customWidth="1"/>
    <col min="8453" max="8453" width="10" bestFit="1" customWidth="1"/>
    <col min="8455" max="8455" width="13.7109375" bestFit="1" customWidth="1"/>
    <col min="8457" max="8457" width="11.85546875" bestFit="1" customWidth="1"/>
    <col min="8458" max="8459" width="12.5703125" bestFit="1" customWidth="1"/>
    <col min="8460" max="8460" width="11" bestFit="1" customWidth="1"/>
    <col min="8461" max="8461" width="13.7109375" bestFit="1" customWidth="1"/>
    <col min="8709" max="8709" width="10" bestFit="1" customWidth="1"/>
    <col min="8711" max="8711" width="13.7109375" bestFit="1" customWidth="1"/>
    <col min="8713" max="8713" width="11.85546875" bestFit="1" customWidth="1"/>
    <col min="8714" max="8715" width="12.5703125" bestFit="1" customWidth="1"/>
    <col min="8716" max="8716" width="11" bestFit="1" customWidth="1"/>
    <col min="8717" max="8717" width="13.7109375" bestFit="1" customWidth="1"/>
    <col min="8965" max="8965" width="10" bestFit="1" customWidth="1"/>
    <col min="8967" max="8967" width="13.7109375" bestFit="1" customWidth="1"/>
    <col min="8969" max="8969" width="11.85546875" bestFit="1" customWidth="1"/>
    <col min="8970" max="8971" width="12.5703125" bestFit="1" customWidth="1"/>
    <col min="8972" max="8972" width="11" bestFit="1" customWidth="1"/>
    <col min="8973" max="8973" width="13.7109375" bestFit="1" customWidth="1"/>
    <col min="9221" max="9221" width="10" bestFit="1" customWidth="1"/>
    <col min="9223" max="9223" width="13.7109375" bestFit="1" customWidth="1"/>
    <col min="9225" max="9225" width="11.85546875" bestFit="1" customWidth="1"/>
    <col min="9226" max="9227" width="12.5703125" bestFit="1" customWidth="1"/>
    <col min="9228" max="9228" width="11" bestFit="1" customWidth="1"/>
    <col min="9229" max="9229" width="13.7109375" bestFit="1" customWidth="1"/>
    <col min="9477" max="9477" width="10" bestFit="1" customWidth="1"/>
    <col min="9479" max="9479" width="13.7109375" bestFit="1" customWidth="1"/>
    <col min="9481" max="9481" width="11.85546875" bestFit="1" customWidth="1"/>
    <col min="9482" max="9483" width="12.5703125" bestFit="1" customWidth="1"/>
    <col min="9484" max="9484" width="11" bestFit="1" customWidth="1"/>
    <col min="9485" max="9485" width="13.7109375" bestFit="1" customWidth="1"/>
    <col min="9733" max="9733" width="10" bestFit="1" customWidth="1"/>
    <col min="9735" max="9735" width="13.7109375" bestFit="1" customWidth="1"/>
    <col min="9737" max="9737" width="11.85546875" bestFit="1" customWidth="1"/>
    <col min="9738" max="9739" width="12.5703125" bestFit="1" customWidth="1"/>
    <col min="9740" max="9740" width="11" bestFit="1" customWidth="1"/>
    <col min="9741" max="9741" width="13.7109375" bestFit="1" customWidth="1"/>
    <col min="9989" max="9989" width="10" bestFit="1" customWidth="1"/>
    <col min="9991" max="9991" width="13.7109375" bestFit="1" customWidth="1"/>
    <col min="9993" max="9993" width="11.85546875" bestFit="1" customWidth="1"/>
    <col min="9994" max="9995" width="12.5703125" bestFit="1" customWidth="1"/>
    <col min="9996" max="9996" width="11" bestFit="1" customWidth="1"/>
    <col min="9997" max="9997" width="13.7109375" bestFit="1" customWidth="1"/>
    <col min="10245" max="10245" width="10" bestFit="1" customWidth="1"/>
    <col min="10247" max="10247" width="13.7109375" bestFit="1" customWidth="1"/>
    <col min="10249" max="10249" width="11.85546875" bestFit="1" customWidth="1"/>
    <col min="10250" max="10251" width="12.5703125" bestFit="1" customWidth="1"/>
    <col min="10252" max="10252" width="11" bestFit="1" customWidth="1"/>
    <col min="10253" max="10253" width="13.7109375" bestFit="1" customWidth="1"/>
    <col min="10501" max="10501" width="10" bestFit="1" customWidth="1"/>
    <col min="10503" max="10503" width="13.7109375" bestFit="1" customWidth="1"/>
    <col min="10505" max="10505" width="11.85546875" bestFit="1" customWidth="1"/>
    <col min="10506" max="10507" width="12.5703125" bestFit="1" customWidth="1"/>
    <col min="10508" max="10508" width="11" bestFit="1" customWidth="1"/>
    <col min="10509" max="10509" width="13.7109375" bestFit="1" customWidth="1"/>
    <col min="10757" max="10757" width="10" bestFit="1" customWidth="1"/>
    <col min="10759" max="10759" width="13.7109375" bestFit="1" customWidth="1"/>
    <col min="10761" max="10761" width="11.85546875" bestFit="1" customWidth="1"/>
    <col min="10762" max="10763" width="12.5703125" bestFit="1" customWidth="1"/>
    <col min="10764" max="10764" width="11" bestFit="1" customWidth="1"/>
    <col min="10765" max="10765" width="13.7109375" bestFit="1" customWidth="1"/>
    <col min="11013" max="11013" width="10" bestFit="1" customWidth="1"/>
    <col min="11015" max="11015" width="13.7109375" bestFit="1" customWidth="1"/>
    <col min="11017" max="11017" width="11.85546875" bestFit="1" customWidth="1"/>
    <col min="11018" max="11019" width="12.5703125" bestFit="1" customWidth="1"/>
    <col min="11020" max="11020" width="11" bestFit="1" customWidth="1"/>
    <col min="11021" max="11021" width="13.7109375" bestFit="1" customWidth="1"/>
    <col min="11269" max="11269" width="10" bestFit="1" customWidth="1"/>
    <col min="11271" max="11271" width="13.7109375" bestFit="1" customWidth="1"/>
    <col min="11273" max="11273" width="11.85546875" bestFit="1" customWidth="1"/>
    <col min="11274" max="11275" width="12.5703125" bestFit="1" customWidth="1"/>
    <col min="11276" max="11276" width="11" bestFit="1" customWidth="1"/>
    <col min="11277" max="11277" width="13.7109375" bestFit="1" customWidth="1"/>
    <col min="11525" max="11525" width="10" bestFit="1" customWidth="1"/>
    <col min="11527" max="11527" width="13.7109375" bestFit="1" customWidth="1"/>
    <col min="11529" max="11529" width="11.85546875" bestFit="1" customWidth="1"/>
    <col min="11530" max="11531" width="12.5703125" bestFit="1" customWidth="1"/>
    <col min="11532" max="11532" width="11" bestFit="1" customWidth="1"/>
    <col min="11533" max="11533" width="13.7109375" bestFit="1" customWidth="1"/>
    <col min="11781" max="11781" width="10" bestFit="1" customWidth="1"/>
    <col min="11783" max="11783" width="13.7109375" bestFit="1" customWidth="1"/>
    <col min="11785" max="11785" width="11.85546875" bestFit="1" customWidth="1"/>
    <col min="11786" max="11787" width="12.5703125" bestFit="1" customWidth="1"/>
    <col min="11788" max="11788" width="11" bestFit="1" customWidth="1"/>
    <col min="11789" max="11789" width="13.7109375" bestFit="1" customWidth="1"/>
    <col min="12037" max="12037" width="10" bestFit="1" customWidth="1"/>
    <col min="12039" max="12039" width="13.7109375" bestFit="1" customWidth="1"/>
    <col min="12041" max="12041" width="11.85546875" bestFit="1" customWidth="1"/>
    <col min="12042" max="12043" width="12.5703125" bestFit="1" customWidth="1"/>
    <col min="12044" max="12044" width="11" bestFit="1" customWidth="1"/>
    <col min="12045" max="12045" width="13.7109375" bestFit="1" customWidth="1"/>
    <col min="12293" max="12293" width="10" bestFit="1" customWidth="1"/>
    <col min="12295" max="12295" width="13.7109375" bestFit="1" customWidth="1"/>
    <col min="12297" max="12297" width="11.85546875" bestFit="1" customWidth="1"/>
    <col min="12298" max="12299" width="12.5703125" bestFit="1" customWidth="1"/>
    <col min="12300" max="12300" width="11" bestFit="1" customWidth="1"/>
    <col min="12301" max="12301" width="13.7109375" bestFit="1" customWidth="1"/>
    <col min="12549" max="12549" width="10" bestFit="1" customWidth="1"/>
    <col min="12551" max="12551" width="13.7109375" bestFit="1" customWidth="1"/>
    <col min="12553" max="12553" width="11.85546875" bestFit="1" customWidth="1"/>
    <col min="12554" max="12555" width="12.5703125" bestFit="1" customWidth="1"/>
    <col min="12556" max="12556" width="11" bestFit="1" customWidth="1"/>
    <col min="12557" max="12557" width="13.7109375" bestFit="1" customWidth="1"/>
    <col min="12805" max="12805" width="10" bestFit="1" customWidth="1"/>
    <col min="12807" max="12807" width="13.7109375" bestFit="1" customWidth="1"/>
    <col min="12809" max="12809" width="11.85546875" bestFit="1" customWidth="1"/>
    <col min="12810" max="12811" width="12.5703125" bestFit="1" customWidth="1"/>
    <col min="12812" max="12812" width="11" bestFit="1" customWidth="1"/>
    <col min="12813" max="12813" width="13.7109375" bestFit="1" customWidth="1"/>
    <col min="13061" max="13061" width="10" bestFit="1" customWidth="1"/>
    <col min="13063" max="13063" width="13.7109375" bestFit="1" customWidth="1"/>
    <col min="13065" max="13065" width="11.85546875" bestFit="1" customWidth="1"/>
    <col min="13066" max="13067" width="12.5703125" bestFit="1" customWidth="1"/>
    <col min="13068" max="13068" width="11" bestFit="1" customWidth="1"/>
    <col min="13069" max="13069" width="13.7109375" bestFit="1" customWidth="1"/>
    <col min="13317" max="13317" width="10" bestFit="1" customWidth="1"/>
    <col min="13319" max="13319" width="13.7109375" bestFit="1" customWidth="1"/>
    <col min="13321" max="13321" width="11.85546875" bestFit="1" customWidth="1"/>
    <col min="13322" max="13323" width="12.5703125" bestFit="1" customWidth="1"/>
    <col min="13324" max="13324" width="11" bestFit="1" customWidth="1"/>
    <col min="13325" max="13325" width="13.7109375" bestFit="1" customWidth="1"/>
    <col min="13573" max="13573" width="10" bestFit="1" customWidth="1"/>
    <col min="13575" max="13575" width="13.7109375" bestFit="1" customWidth="1"/>
    <col min="13577" max="13577" width="11.85546875" bestFit="1" customWidth="1"/>
    <col min="13578" max="13579" width="12.5703125" bestFit="1" customWidth="1"/>
    <col min="13580" max="13580" width="11" bestFit="1" customWidth="1"/>
    <col min="13581" max="13581" width="13.7109375" bestFit="1" customWidth="1"/>
    <col min="13829" max="13829" width="10" bestFit="1" customWidth="1"/>
    <col min="13831" max="13831" width="13.7109375" bestFit="1" customWidth="1"/>
    <col min="13833" max="13833" width="11.85546875" bestFit="1" customWidth="1"/>
    <col min="13834" max="13835" width="12.5703125" bestFit="1" customWidth="1"/>
    <col min="13836" max="13836" width="11" bestFit="1" customWidth="1"/>
    <col min="13837" max="13837" width="13.7109375" bestFit="1" customWidth="1"/>
    <col min="14085" max="14085" width="10" bestFit="1" customWidth="1"/>
    <col min="14087" max="14087" width="13.7109375" bestFit="1" customWidth="1"/>
    <col min="14089" max="14089" width="11.85546875" bestFit="1" customWidth="1"/>
    <col min="14090" max="14091" width="12.5703125" bestFit="1" customWidth="1"/>
    <col min="14092" max="14092" width="11" bestFit="1" customWidth="1"/>
    <col min="14093" max="14093" width="13.7109375" bestFit="1" customWidth="1"/>
    <col min="14341" max="14341" width="10" bestFit="1" customWidth="1"/>
    <col min="14343" max="14343" width="13.7109375" bestFit="1" customWidth="1"/>
    <col min="14345" max="14345" width="11.85546875" bestFit="1" customWidth="1"/>
    <col min="14346" max="14347" width="12.5703125" bestFit="1" customWidth="1"/>
    <col min="14348" max="14348" width="11" bestFit="1" customWidth="1"/>
    <col min="14349" max="14349" width="13.7109375" bestFit="1" customWidth="1"/>
    <col min="14597" max="14597" width="10" bestFit="1" customWidth="1"/>
    <col min="14599" max="14599" width="13.7109375" bestFit="1" customWidth="1"/>
    <col min="14601" max="14601" width="11.85546875" bestFit="1" customWidth="1"/>
    <col min="14602" max="14603" width="12.5703125" bestFit="1" customWidth="1"/>
    <col min="14604" max="14604" width="11" bestFit="1" customWidth="1"/>
    <col min="14605" max="14605" width="13.7109375" bestFit="1" customWidth="1"/>
    <col min="14853" max="14853" width="10" bestFit="1" customWidth="1"/>
    <col min="14855" max="14855" width="13.7109375" bestFit="1" customWidth="1"/>
    <col min="14857" max="14857" width="11.85546875" bestFit="1" customWidth="1"/>
    <col min="14858" max="14859" width="12.5703125" bestFit="1" customWidth="1"/>
    <col min="14860" max="14860" width="11" bestFit="1" customWidth="1"/>
    <col min="14861" max="14861" width="13.7109375" bestFit="1" customWidth="1"/>
    <col min="15109" max="15109" width="10" bestFit="1" customWidth="1"/>
    <col min="15111" max="15111" width="13.7109375" bestFit="1" customWidth="1"/>
    <col min="15113" max="15113" width="11.85546875" bestFit="1" customWidth="1"/>
    <col min="15114" max="15115" width="12.5703125" bestFit="1" customWidth="1"/>
    <col min="15116" max="15116" width="11" bestFit="1" customWidth="1"/>
    <col min="15117" max="15117" width="13.7109375" bestFit="1" customWidth="1"/>
    <col min="15365" max="15365" width="10" bestFit="1" customWidth="1"/>
    <col min="15367" max="15367" width="13.7109375" bestFit="1" customWidth="1"/>
    <col min="15369" max="15369" width="11.85546875" bestFit="1" customWidth="1"/>
    <col min="15370" max="15371" width="12.5703125" bestFit="1" customWidth="1"/>
    <col min="15372" max="15372" width="11" bestFit="1" customWidth="1"/>
    <col min="15373" max="15373" width="13.7109375" bestFit="1" customWidth="1"/>
    <col min="15621" max="15621" width="10" bestFit="1" customWidth="1"/>
    <col min="15623" max="15623" width="13.7109375" bestFit="1" customWidth="1"/>
    <col min="15625" max="15625" width="11.85546875" bestFit="1" customWidth="1"/>
    <col min="15626" max="15627" width="12.5703125" bestFit="1" customWidth="1"/>
    <col min="15628" max="15628" width="11" bestFit="1" customWidth="1"/>
    <col min="15629" max="15629" width="13.7109375" bestFit="1" customWidth="1"/>
    <col min="15877" max="15877" width="10" bestFit="1" customWidth="1"/>
    <col min="15879" max="15879" width="13.7109375" bestFit="1" customWidth="1"/>
    <col min="15881" max="15881" width="11.85546875" bestFit="1" customWidth="1"/>
    <col min="15882" max="15883" width="12.5703125" bestFit="1" customWidth="1"/>
    <col min="15884" max="15884" width="11" bestFit="1" customWidth="1"/>
    <col min="15885" max="15885" width="13.7109375" bestFit="1" customWidth="1"/>
    <col min="16133" max="16133" width="10" bestFit="1" customWidth="1"/>
    <col min="16135" max="16135" width="13.7109375" bestFit="1" customWidth="1"/>
    <col min="16137" max="16137" width="11.85546875" bestFit="1" customWidth="1"/>
    <col min="16138" max="16139" width="12.5703125" bestFit="1" customWidth="1"/>
    <col min="16140" max="16140" width="11" bestFit="1" customWidth="1"/>
    <col min="16141" max="16141" width="13.7109375" bestFit="1" customWidth="1"/>
  </cols>
  <sheetData>
    <row r="5" spans="2:13">
      <c r="B5" s="211" t="s">
        <v>584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</row>
    <row r="6" spans="2:13">
      <c r="B6" s="211" t="s">
        <v>585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</row>
    <row r="7" spans="2:13" ht="13.5" thickBot="1"/>
    <row r="8" spans="2:13" ht="39.75" thickTop="1" thickBot="1">
      <c r="B8" s="212" t="s">
        <v>48</v>
      </c>
      <c r="C8" s="213" t="s">
        <v>586</v>
      </c>
      <c r="D8" s="213" t="s">
        <v>587</v>
      </c>
      <c r="E8" s="213" t="s">
        <v>588</v>
      </c>
      <c r="F8" s="213" t="s">
        <v>589</v>
      </c>
      <c r="G8" s="213" t="s">
        <v>590</v>
      </c>
      <c r="H8" s="213" t="s">
        <v>591</v>
      </c>
      <c r="I8" s="213" t="s">
        <v>592</v>
      </c>
      <c r="J8" s="213" t="s">
        <v>593</v>
      </c>
      <c r="K8" s="213" t="s">
        <v>594</v>
      </c>
      <c r="L8" s="213" t="s">
        <v>595</v>
      </c>
      <c r="M8" s="214" t="s">
        <v>596</v>
      </c>
    </row>
    <row r="9" spans="2:13" ht="13.5" thickTop="1">
      <c r="B9" s="193">
        <v>1</v>
      </c>
      <c r="C9" s="194" t="s">
        <v>597</v>
      </c>
      <c r="D9" s="37" t="str">
        <f>VLOOKUP(C9,$C$28:$D$30,2,FALSE)</f>
        <v>Aspirin</v>
      </c>
      <c r="E9" s="195">
        <f>VLOOKUP(D9,$D$28:$E$30,2,FALSE)</f>
        <v>12500</v>
      </c>
      <c r="F9" s="194">
        <v>45</v>
      </c>
      <c r="G9" s="215">
        <f>E9*F9</f>
        <v>562500</v>
      </c>
      <c r="H9" s="194" t="s">
        <v>598</v>
      </c>
      <c r="I9" s="37" t="s">
        <v>599</v>
      </c>
      <c r="J9" s="195">
        <f>IF(H9="Tunai",15%*G9,0)</f>
        <v>84375</v>
      </c>
      <c r="K9" s="195">
        <f>IF(AND(G9&gt;50000,F9&gt;50),G9*10%,0)</f>
        <v>0</v>
      </c>
      <c r="L9" s="195">
        <f>5%*G9</f>
        <v>28125</v>
      </c>
      <c r="M9" s="196">
        <f>G9+L9-J9-K9</f>
        <v>506250</v>
      </c>
    </row>
    <row r="10" spans="2:13">
      <c r="B10" s="197">
        <v>2</v>
      </c>
      <c r="C10" s="8" t="s">
        <v>600</v>
      </c>
      <c r="D10" s="37" t="str">
        <f t="shared" ref="D10:D22" si="0">VLOOKUP(C10,$C$28:$D$30,2,FALSE)</f>
        <v>Decolsin</v>
      </c>
      <c r="E10" s="195">
        <f t="shared" ref="E10:E23" si="1">VLOOKUP(D10,$D$28:$E$30,2,FALSE)</f>
        <v>14550</v>
      </c>
      <c r="F10" s="8">
        <v>110</v>
      </c>
      <c r="G10" s="215">
        <f t="shared" ref="G10:G23" si="2">E10*F10</f>
        <v>1600500</v>
      </c>
      <c r="H10" s="8" t="s">
        <v>601</v>
      </c>
      <c r="I10" s="5" t="s">
        <v>602</v>
      </c>
      <c r="J10" s="195">
        <f t="shared" ref="J10:J23" si="3">IF(H10="Tunai",15%*G10,0)</f>
        <v>0</v>
      </c>
      <c r="K10" s="195">
        <f t="shared" ref="K10:K23" si="4">IF(AND(G10&gt;50000,F10&gt;50),G10*10%,0)</f>
        <v>160050</v>
      </c>
      <c r="L10" s="195">
        <f t="shared" ref="L10:L23" si="5">5%*G10</f>
        <v>80025</v>
      </c>
      <c r="M10" s="196">
        <f t="shared" ref="M10:M23" si="6">G10+L10-J10-K10</f>
        <v>1520475</v>
      </c>
    </row>
    <row r="11" spans="2:13">
      <c r="B11" s="197">
        <v>3</v>
      </c>
      <c r="C11" s="8" t="s">
        <v>600</v>
      </c>
      <c r="D11" s="37" t="str">
        <f t="shared" si="0"/>
        <v>Decolsin</v>
      </c>
      <c r="E11" s="195">
        <f t="shared" si="1"/>
        <v>14550</v>
      </c>
      <c r="F11" s="8">
        <v>25</v>
      </c>
      <c r="G11" s="215">
        <f t="shared" si="2"/>
        <v>363750</v>
      </c>
      <c r="H11" s="8" t="s">
        <v>598</v>
      </c>
      <c r="I11" s="5" t="s">
        <v>603</v>
      </c>
      <c r="J11" s="195">
        <f t="shared" si="3"/>
        <v>54562.5</v>
      </c>
      <c r="K11" s="195">
        <f t="shared" si="4"/>
        <v>0</v>
      </c>
      <c r="L11" s="195">
        <f t="shared" si="5"/>
        <v>18187.5</v>
      </c>
      <c r="M11" s="196">
        <f t="shared" si="6"/>
        <v>327375</v>
      </c>
    </row>
    <row r="12" spans="2:13">
      <c r="B12" s="197">
        <v>4</v>
      </c>
      <c r="C12" s="8" t="s">
        <v>604</v>
      </c>
      <c r="D12" s="37" t="str">
        <f t="shared" si="0"/>
        <v>Balsem</v>
      </c>
      <c r="E12" s="195">
        <f t="shared" si="1"/>
        <v>10000</v>
      </c>
      <c r="F12" s="8">
        <v>56</v>
      </c>
      <c r="G12" s="215">
        <f t="shared" si="2"/>
        <v>560000</v>
      </c>
      <c r="H12" s="8" t="s">
        <v>601</v>
      </c>
      <c r="I12" s="5" t="s">
        <v>605</v>
      </c>
      <c r="J12" s="195">
        <f t="shared" si="3"/>
        <v>0</v>
      </c>
      <c r="K12" s="195">
        <f t="shared" si="4"/>
        <v>56000</v>
      </c>
      <c r="L12" s="195">
        <f t="shared" si="5"/>
        <v>28000</v>
      </c>
      <c r="M12" s="196">
        <f t="shared" si="6"/>
        <v>532000</v>
      </c>
    </row>
    <row r="13" spans="2:13">
      <c r="B13" s="197">
        <v>5</v>
      </c>
      <c r="C13" s="8" t="s">
        <v>604</v>
      </c>
      <c r="D13" s="37" t="str">
        <f t="shared" si="0"/>
        <v>Balsem</v>
      </c>
      <c r="E13" s="195">
        <f t="shared" si="1"/>
        <v>10000</v>
      </c>
      <c r="F13" s="8">
        <v>68</v>
      </c>
      <c r="G13" s="215">
        <f t="shared" si="2"/>
        <v>680000</v>
      </c>
      <c r="H13" s="8" t="s">
        <v>601</v>
      </c>
      <c r="I13" s="5" t="s">
        <v>606</v>
      </c>
      <c r="J13" s="195">
        <f t="shared" si="3"/>
        <v>0</v>
      </c>
      <c r="K13" s="195">
        <f t="shared" si="4"/>
        <v>68000</v>
      </c>
      <c r="L13" s="195">
        <f t="shared" si="5"/>
        <v>34000</v>
      </c>
      <c r="M13" s="196">
        <f t="shared" si="6"/>
        <v>646000</v>
      </c>
    </row>
    <row r="14" spans="2:13">
      <c r="B14" s="197">
        <v>6</v>
      </c>
      <c r="C14" s="8" t="s">
        <v>597</v>
      </c>
      <c r="D14" s="37" t="str">
        <f t="shared" si="0"/>
        <v>Aspirin</v>
      </c>
      <c r="E14" s="195">
        <f t="shared" si="1"/>
        <v>12500</v>
      </c>
      <c r="F14" s="8">
        <v>88</v>
      </c>
      <c r="G14" s="215">
        <f t="shared" si="2"/>
        <v>1100000</v>
      </c>
      <c r="H14" s="8" t="s">
        <v>601</v>
      </c>
      <c r="I14" s="5" t="s">
        <v>607</v>
      </c>
      <c r="J14" s="195">
        <f t="shared" si="3"/>
        <v>0</v>
      </c>
      <c r="K14" s="195">
        <f t="shared" si="4"/>
        <v>110000</v>
      </c>
      <c r="L14" s="195">
        <f t="shared" si="5"/>
        <v>55000</v>
      </c>
      <c r="M14" s="196">
        <f t="shared" si="6"/>
        <v>1045000</v>
      </c>
    </row>
    <row r="15" spans="2:13">
      <c r="B15" s="197">
        <v>7</v>
      </c>
      <c r="C15" s="8" t="s">
        <v>604</v>
      </c>
      <c r="D15" s="37" t="str">
        <f t="shared" si="0"/>
        <v>Balsem</v>
      </c>
      <c r="E15" s="195">
        <f t="shared" si="1"/>
        <v>10000</v>
      </c>
      <c r="F15" s="8">
        <v>75</v>
      </c>
      <c r="G15" s="215">
        <f t="shared" si="2"/>
        <v>750000</v>
      </c>
      <c r="H15" s="8" t="s">
        <v>598</v>
      </c>
      <c r="I15" s="5" t="s">
        <v>608</v>
      </c>
      <c r="J15" s="195">
        <f t="shared" si="3"/>
        <v>112500</v>
      </c>
      <c r="K15" s="195">
        <f t="shared" si="4"/>
        <v>75000</v>
      </c>
      <c r="L15" s="195">
        <f t="shared" si="5"/>
        <v>37500</v>
      </c>
      <c r="M15" s="196">
        <f t="shared" si="6"/>
        <v>600000</v>
      </c>
    </row>
    <row r="16" spans="2:13">
      <c r="B16" s="197">
        <v>8</v>
      </c>
      <c r="C16" s="8" t="s">
        <v>597</v>
      </c>
      <c r="D16" s="37" t="str">
        <f t="shared" si="0"/>
        <v>Aspirin</v>
      </c>
      <c r="E16" s="195">
        <f t="shared" si="1"/>
        <v>12500</v>
      </c>
      <c r="F16" s="8">
        <v>35</v>
      </c>
      <c r="G16" s="215">
        <f t="shared" si="2"/>
        <v>437500</v>
      </c>
      <c r="H16" s="8" t="s">
        <v>598</v>
      </c>
      <c r="I16" s="5" t="s">
        <v>606</v>
      </c>
      <c r="J16" s="195">
        <f t="shared" si="3"/>
        <v>65625</v>
      </c>
      <c r="K16" s="195">
        <f t="shared" si="4"/>
        <v>0</v>
      </c>
      <c r="L16" s="195">
        <f t="shared" si="5"/>
        <v>21875</v>
      </c>
      <c r="M16" s="196">
        <f t="shared" si="6"/>
        <v>393750</v>
      </c>
    </row>
    <row r="17" spans="2:13">
      <c r="B17" s="197">
        <v>9</v>
      </c>
      <c r="C17" s="8" t="s">
        <v>597</v>
      </c>
      <c r="D17" s="37" t="str">
        <f t="shared" si="0"/>
        <v>Aspirin</v>
      </c>
      <c r="E17" s="195">
        <f t="shared" si="1"/>
        <v>12500</v>
      </c>
      <c r="F17" s="8">
        <v>12</v>
      </c>
      <c r="G17" s="215">
        <f t="shared" si="2"/>
        <v>150000</v>
      </c>
      <c r="H17" s="8" t="s">
        <v>598</v>
      </c>
      <c r="I17" s="5" t="s">
        <v>603</v>
      </c>
      <c r="J17" s="195">
        <f t="shared" si="3"/>
        <v>22500</v>
      </c>
      <c r="K17" s="195">
        <f t="shared" si="4"/>
        <v>0</v>
      </c>
      <c r="L17" s="195">
        <f t="shared" si="5"/>
        <v>7500</v>
      </c>
      <c r="M17" s="196">
        <f t="shared" si="6"/>
        <v>135000</v>
      </c>
    </row>
    <row r="18" spans="2:13">
      <c r="B18" s="197">
        <v>10</v>
      </c>
      <c r="C18" s="8" t="s">
        <v>600</v>
      </c>
      <c r="D18" s="37" t="str">
        <f t="shared" si="0"/>
        <v>Decolsin</v>
      </c>
      <c r="E18" s="195">
        <f t="shared" si="1"/>
        <v>14550</v>
      </c>
      <c r="F18" s="8">
        <v>66</v>
      </c>
      <c r="G18" s="215">
        <f t="shared" si="2"/>
        <v>960300</v>
      </c>
      <c r="H18" s="8" t="s">
        <v>598</v>
      </c>
      <c r="I18" s="5" t="s">
        <v>605</v>
      </c>
      <c r="J18" s="195">
        <f t="shared" si="3"/>
        <v>144045</v>
      </c>
      <c r="K18" s="195">
        <f t="shared" si="4"/>
        <v>96030</v>
      </c>
      <c r="L18" s="195">
        <f t="shared" si="5"/>
        <v>48015</v>
      </c>
      <c r="M18" s="196">
        <f t="shared" si="6"/>
        <v>768240</v>
      </c>
    </row>
    <row r="19" spans="2:13">
      <c r="B19" s="197">
        <v>11</v>
      </c>
      <c r="C19" s="8" t="s">
        <v>604</v>
      </c>
      <c r="D19" s="37" t="str">
        <f t="shared" si="0"/>
        <v>Balsem</v>
      </c>
      <c r="E19" s="195">
        <f t="shared" si="1"/>
        <v>10000</v>
      </c>
      <c r="F19" s="8">
        <v>69</v>
      </c>
      <c r="G19" s="215">
        <f t="shared" si="2"/>
        <v>690000</v>
      </c>
      <c r="H19" s="8" t="s">
        <v>601</v>
      </c>
      <c r="I19" s="5" t="s">
        <v>606</v>
      </c>
      <c r="J19" s="195">
        <f t="shared" si="3"/>
        <v>0</v>
      </c>
      <c r="K19" s="195">
        <f t="shared" si="4"/>
        <v>69000</v>
      </c>
      <c r="L19" s="195">
        <f t="shared" si="5"/>
        <v>34500</v>
      </c>
      <c r="M19" s="196">
        <f t="shared" si="6"/>
        <v>655500</v>
      </c>
    </row>
    <row r="20" spans="2:13">
      <c r="B20" s="197">
        <v>12</v>
      </c>
      <c r="C20" s="8" t="s">
        <v>604</v>
      </c>
      <c r="D20" s="37" t="str">
        <f t="shared" si="0"/>
        <v>Balsem</v>
      </c>
      <c r="E20" s="195">
        <f t="shared" si="1"/>
        <v>10000</v>
      </c>
      <c r="F20" s="8">
        <v>125</v>
      </c>
      <c r="G20" s="215">
        <f t="shared" si="2"/>
        <v>1250000</v>
      </c>
      <c r="H20" s="8" t="s">
        <v>598</v>
      </c>
      <c r="I20" s="5" t="s">
        <v>607</v>
      </c>
      <c r="J20" s="195">
        <f t="shared" si="3"/>
        <v>187500</v>
      </c>
      <c r="K20" s="195">
        <f t="shared" si="4"/>
        <v>125000</v>
      </c>
      <c r="L20" s="195">
        <f t="shared" si="5"/>
        <v>62500</v>
      </c>
      <c r="M20" s="196">
        <f t="shared" si="6"/>
        <v>1000000</v>
      </c>
    </row>
    <row r="21" spans="2:13">
      <c r="B21" s="197">
        <v>13</v>
      </c>
      <c r="C21" s="8" t="s">
        <v>597</v>
      </c>
      <c r="D21" s="37" t="str">
        <f t="shared" si="0"/>
        <v>Aspirin</v>
      </c>
      <c r="E21" s="195">
        <f t="shared" si="1"/>
        <v>12500</v>
      </c>
      <c r="F21" s="8">
        <v>150</v>
      </c>
      <c r="G21" s="215">
        <f t="shared" si="2"/>
        <v>1875000</v>
      </c>
      <c r="H21" s="8" t="s">
        <v>601</v>
      </c>
      <c r="I21" s="5" t="s">
        <v>602</v>
      </c>
      <c r="J21" s="195">
        <f t="shared" si="3"/>
        <v>0</v>
      </c>
      <c r="K21" s="195">
        <f t="shared" si="4"/>
        <v>187500</v>
      </c>
      <c r="L21" s="195">
        <f t="shared" si="5"/>
        <v>93750</v>
      </c>
      <c r="M21" s="196">
        <f t="shared" si="6"/>
        <v>1781250</v>
      </c>
    </row>
    <row r="22" spans="2:13">
      <c r="B22" s="197">
        <v>14</v>
      </c>
      <c r="C22" s="8" t="s">
        <v>597</v>
      </c>
      <c r="D22" s="37" t="str">
        <f t="shared" si="0"/>
        <v>Aspirin</v>
      </c>
      <c r="E22" s="195">
        <f t="shared" si="1"/>
        <v>12500</v>
      </c>
      <c r="F22" s="8">
        <v>64</v>
      </c>
      <c r="G22" s="215">
        <f t="shared" si="2"/>
        <v>800000</v>
      </c>
      <c r="H22" s="8" t="s">
        <v>601</v>
      </c>
      <c r="I22" s="5" t="s">
        <v>606</v>
      </c>
      <c r="J22" s="195">
        <f t="shared" si="3"/>
        <v>0</v>
      </c>
      <c r="K22" s="195">
        <f t="shared" si="4"/>
        <v>80000</v>
      </c>
      <c r="L22" s="195">
        <f t="shared" si="5"/>
        <v>40000</v>
      </c>
      <c r="M22" s="196">
        <f t="shared" si="6"/>
        <v>760000</v>
      </c>
    </row>
    <row r="23" spans="2:13" ht="13.5" thickBot="1">
      <c r="B23" s="198">
        <v>15</v>
      </c>
      <c r="C23" s="200" t="s">
        <v>600</v>
      </c>
      <c r="D23" s="37" t="str">
        <f>VLOOKUP(C23,$C$28:$D$30,2,TRUE)</f>
        <v>Decolsin</v>
      </c>
      <c r="E23" s="195">
        <f t="shared" si="1"/>
        <v>14550</v>
      </c>
      <c r="F23" s="200">
        <v>200</v>
      </c>
      <c r="G23" s="215">
        <f t="shared" si="2"/>
        <v>2910000</v>
      </c>
      <c r="H23" s="200" t="s">
        <v>598</v>
      </c>
      <c r="I23" s="5" t="s">
        <v>607</v>
      </c>
      <c r="J23" s="195">
        <f t="shared" si="3"/>
        <v>436500</v>
      </c>
      <c r="K23" s="195">
        <f t="shared" si="4"/>
        <v>291000</v>
      </c>
      <c r="L23" s="195">
        <f t="shared" si="5"/>
        <v>145500</v>
      </c>
      <c r="M23" s="196">
        <f t="shared" si="6"/>
        <v>2328000</v>
      </c>
    </row>
    <row r="24" spans="2:13" ht="14.25" thickTop="1" thickBot="1">
      <c r="B24" s="333" t="s">
        <v>51</v>
      </c>
      <c r="C24" s="334"/>
      <c r="D24" s="334"/>
      <c r="E24" s="334"/>
      <c r="F24" s="335"/>
      <c r="G24" s="216">
        <f>SUM(G9:G23)</f>
        <v>14689550</v>
      </c>
      <c r="H24" s="336"/>
      <c r="I24" s="335"/>
      <c r="J24" s="216">
        <f>SUM(J9:J23)</f>
        <v>1107607.5</v>
      </c>
      <c r="K24" s="216">
        <f>SUM(K9:K23)</f>
        <v>1317580</v>
      </c>
      <c r="L24" s="216">
        <f>SUM(L9:L23)</f>
        <v>734477.5</v>
      </c>
      <c r="M24" s="217">
        <f>SUM(M9:M23)</f>
        <v>12998840</v>
      </c>
    </row>
    <row r="25" spans="2:13" ht="13.5" thickTop="1"/>
    <row r="26" spans="2:13" ht="13.5" thickBot="1">
      <c r="C26" s="38" t="s">
        <v>609</v>
      </c>
      <c r="D26" s="38"/>
    </row>
    <row r="27" spans="2:13" ht="26.25" thickTop="1">
      <c r="C27" s="218" t="s">
        <v>586</v>
      </c>
      <c r="D27" s="219" t="s">
        <v>587</v>
      </c>
      <c r="E27" s="220" t="s">
        <v>588</v>
      </c>
    </row>
    <row r="28" spans="2:13">
      <c r="C28" s="197" t="s">
        <v>597</v>
      </c>
      <c r="D28" s="5" t="s">
        <v>610</v>
      </c>
      <c r="E28" s="209">
        <v>12500</v>
      </c>
      <c r="G28" t="s">
        <v>611</v>
      </c>
    </row>
    <row r="29" spans="2:13">
      <c r="C29" s="197" t="s">
        <v>600</v>
      </c>
      <c r="D29" s="5" t="s">
        <v>612</v>
      </c>
      <c r="E29" s="209">
        <v>14550</v>
      </c>
      <c r="G29" s="36" t="s">
        <v>50</v>
      </c>
      <c r="H29" t="s">
        <v>613</v>
      </c>
    </row>
    <row r="30" spans="2:13" ht="13.5" thickBot="1">
      <c r="C30" s="198" t="s">
        <v>604</v>
      </c>
      <c r="D30" s="199" t="s">
        <v>614</v>
      </c>
      <c r="E30" s="210">
        <v>10000</v>
      </c>
      <c r="G30" s="36" t="s">
        <v>50</v>
      </c>
      <c r="H30" t="s">
        <v>615</v>
      </c>
    </row>
    <row r="31" spans="2:13" ht="13.5" thickTop="1">
      <c r="G31" s="36"/>
      <c r="H31" t="s">
        <v>616</v>
      </c>
    </row>
    <row r="32" spans="2:13">
      <c r="G32" s="36"/>
      <c r="H32" t="s">
        <v>617</v>
      </c>
    </row>
    <row r="33" spans="7:8">
      <c r="G33" s="36" t="s">
        <v>50</v>
      </c>
      <c r="H33" t="s">
        <v>618</v>
      </c>
    </row>
    <row r="34" spans="7:8">
      <c r="G34" s="36"/>
      <c r="H34" t="s">
        <v>619</v>
      </c>
    </row>
    <row r="35" spans="7:8">
      <c r="H35" t="s">
        <v>620</v>
      </c>
    </row>
    <row r="36" spans="7:8">
      <c r="G36" s="36" t="s">
        <v>50</v>
      </c>
      <c r="H36" t="s">
        <v>621</v>
      </c>
    </row>
    <row r="37" spans="7:8">
      <c r="G37" s="36" t="s">
        <v>50</v>
      </c>
      <c r="H37" t="s">
        <v>622</v>
      </c>
    </row>
  </sheetData>
  <mergeCells count="2">
    <mergeCell ref="B24:F24"/>
    <mergeCell ref="H24:I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5"/>
  <sheetViews>
    <sheetView workbookViewId="0">
      <selection activeCell="D12" sqref="D12"/>
    </sheetView>
  </sheetViews>
  <sheetFormatPr defaultRowHeight="12.75"/>
  <cols>
    <col min="1" max="1" width="5.140625" customWidth="1"/>
    <col min="2" max="2" width="28.85546875" customWidth="1"/>
    <col min="3" max="3" width="27.7109375" customWidth="1"/>
    <col min="4" max="4" width="18.7109375" customWidth="1"/>
    <col min="5" max="5" width="35.28515625" customWidth="1"/>
    <col min="6" max="6" width="24.7109375" customWidth="1"/>
    <col min="7" max="7" width="20.7109375" customWidth="1"/>
    <col min="8" max="8" width="18.85546875" customWidth="1"/>
    <col min="9" max="9" width="16.7109375" customWidth="1"/>
    <col min="10" max="10" width="16.85546875" customWidth="1"/>
    <col min="11" max="11" width="22.5703125" customWidth="1"/>
    <col min="12" max="12" width="20.140625" bestFit="1" customWidth="1"/>
    <col min="13" max="13" width="29.7109375" customWidth="1"/>
    <col min="14" max="14" width="20.42578125" customWidth="1"/>
  </cols>
  <sheetData>
    <row r="1" spans="1:14" ht="23.25">
      <c r="A1" s="337" t="s">
        <v>623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</row>
    <row r="2" spans="1:14" s="222" customFormat="1" ht="30">
      <c r="A2" s="221" t="s">
        <v>271</v>
      </c>
      <c r="B2" s="221" t="s">
        <v>624</v>
      </c>
      <c r="C2" s="221" t="s">
        <v>625</v>
      </c>
      <c r="D2" s="221" t="s">
        <v>626</v>
      </c>
      <c r="E2" s="221" t="s">
        <v>627</v>
      </c>
      <c r="F2" s="221" t="s">
        <v>628</v>
      </c>
      <c r="G2" s="221" t="s">
        <v>629</v>
      </c>
      <c r="H2" s="221" t="s">
        <v>630</v>
      </c>
      <c r="I2" s="221" t="s">
        <v>631</v>
      </c>
      <c r="J2" s="221" t="s">
        <v>632</v>
      </c>
      <c r="K2" s="221" t="s">
        <v>633</v>
      </c>
      <c r="L2" s="221" t="s">
        <v>634</v>
      </c>
      <c r="M2" s="221" t="s">
        <v>64</v>
      </c>
      <c r="N2" s="221" t="s">
        <v>286</v>
      </c>
    </row>
    <row r="3" spans="1:14">
      <c r="A3" s="8">
        <v>1</v>
      </c>
      <c r="B3" s="5" t="s">
        <v>635</v>
      </c>
      <c r="C3" s="5" t="s">
        <v>636</v>
      </c>
      <c r="D3" s="223" t="s">
        <v>637</v>
      </c>
      <c r="E3" s="5" t="str">
        <f>VLOOKUP(MID(B3,6,5),$B$19:$E$30,2,FALSE)&amp;"-"&amp;HLOOKUP(MID(B3,12,2),$C$33:$G$35,2,FALSE)</f>
        <v>UNIVERSAL-CV. PURNOMO</v>
      </c>
      <c r="F3" s="5" t="str">
        <f>IF(MID(B3,3,2)="AY","AYAM",IF(MID(B3,3,2)="SL","SALMON",IF(MID(B3,3,2)="OR","ORIGINAL",IF(MID(B3,3,2)="UD","UDANG","BEBEK"))))</f>
        <v>AYAM</v>
      </c>
      <c r="G3" s="8" t="str">
        <f>VLOOKUP(MID(B3,6,5),$B$19:$E$30,3,FALSE)&amp; "kg"</f>
        <v>2.5kg</v>
      </c>
      <c r="H3" s="8">
        <v>25</v>
      </c>
      <c r="I3" s="8" t="str">
        <f>HLOOKUP(MID(B3,12,2),$C$33:$G$35,3,FALSE)</f>
        <v>PAK</v>
      </c>
      <c r="J3" s="224">
        <f>VLOOKUP(MID(B3,6,5),$B$19:$E$30,4,FALSE)</f>
        <v>80000</v>
      </c>
      <c r="K3" s="5" t="str">
        <f>IF(AND(H3&gt;=30,J3&gt;=10000),"KALUNG KUCING",IF(AND(H3&gt;=20,J3&gt;=5000),"KANDANG KUCING","TEMPAT MAKAN"))</f>
        <v>KANDANG KUCING</v>
      </c>
      <c r="L3" s="224">
        <f>H3*J3*(IF(I3="DUS",48,IF(I3="PAK",24,IF(I3="KODI",20,IF(I3="LUSIN",12,1)))))</f>
        <v>48000000</v>
      </c>
      <c r="M3" s="224">
        <f>IF(RIGHT(B3,3)="002",20%*L3,10%*L3)</f>
        <v>9600000</v>
      </c>
      <c r="N3" s="224">
        <f>L3-M3</f>
        <v>38400000</v>
      </c>
    </row>
    <row r="4" spans="1:14">
      <c r="A4" s="8">
        <v>2</v>
      </c>
      <c r="B4" s="5" t="s">
        <v>638</v>
      </c>
      <c r="C4" s="5" t="s">
        <v>639</v>
      </c>
      <c r="D4" s="223" t="s">
        <v>637</v>
      </c>
      <c r="E4" s="5" t="str">
        <f t="shared" ref="E4:E15" si="0">VLOOKUP(MID(B4,6,5),$B$19:$E$30,2,FALSE)&amp;"-"&amp;HLOOKUP(MID(B4,12,2),$C$33:$G$35,2,FALSE)</f>
        <v>ME-O-PT. MITRA</v>
      </c>
      <c r="F4" s="5" t="str">
        <f t="shared" ref="F4:F15" si="1">IF(MID(B4,3,2)="AY","AYAM",IF(MID(B4,3,2)="SL","SALMON",IF(MID(B4,3,2)="OR","ORIGINAL",IF(MID(B4,3,2)="UD","UDANG","BEBEK"))))</f>
        <v>BEBEK</v>
      </c>
      <c r="G4" s="8" t="str">
        <f t="shared" ref="G4:G15" si="2">VLOOKUP(MID(B4,6,5),$B$19:$E$30,3,FALSE)&amp; "kg"</f>
        <v>0.8kg</v>
      </c>
      <c r="H4" s="8">
        <v>17</v>
      </c>
      <c r="I4" s="8" t="str">
        <f t="shared" ref="I4:I15" si="3">HLOOKUP(MID(B4,12,2),$C$33:$G$35,3,FALSE)</f>
        <v>DUS</v>
      </c>
      <c r="J4" s="224">
        <f t="shared" ref="J4:J15" si="4">VLOOKUP(MID(B4,6,5),$B$19:$E$30,4,FALSE)</f>
        <v>50000</v>
      </c>
      <c r="K4" s="5" t="str">
        <f t="shared" ref="K4:K15" si="5">IF(AND(H4&gt;=30,J4&gt;=10000),"KALUNG KUCING",IF(AND(H4&gt;=20,J4&gt;=5000),"KANDANG KUCING","TEMPAT MAKAN"))</f>
        <v>TEMPAT MAKAN</v>
      </c>
      <c r="L4" s="224">
        <f t="shared" ref="L4:L15" si="6">H4*J4*(IF(I4="DUS",48,IF(I4="PAK",24,IF(I4="KODI",20,IF(I4="LUSIN",12,1)))))</f>
        <v>40800000</v>
      </c>
      <c r="M4" s="224">
        <f t="shared" ref="M4:M15" si="7">IF(RIGHT(B4,3)="002",20%*L4,10%*L4)</f>
        <v>4080000</v>
      </c>
      <c r="N4" s="224">
        <f t="shared" ref="N4:N15" si="8">L4-M4</f>
        <v>36720000</v>
      </c>
    </row>
    <row r="5" spans="1:14">
      <c r="A5" s="8">
        <v>3</v>
      </c>
      <c r="B5" s="5" t="s">
        <v>640</v>
      </c>
      <c r="C5" s="5" t="s">
        <v>641</v>
      </c>
      <c r="D5" s="223" t="s">
        <v>637</v>
      </c>
      <c r="E5" s="5" t="str">
        <f t="shared" si="0"/>
        <v>WHISKAS-PT. GEMMA</v>
      </c>
      <c r="F5" s="5" t="str">
        <f t="shared" si="1"/>
        <v>SALMON</v>
      </c>
      <c r="G5" s="8" t="str">
        <f t="shared" si="2"/>
        <v>0.5kg</v>
      </c>
      <c r="H5" s="8">
        <v>18</v>
      </c>
      <c r="I5" s="8" t="str">
        <f t="shared" si="3"/>
        <v>KODI</v>
      </c>
      <c r="J5" s="224">
        <f t="shared" si="4"/>
        <v>40000</v>
      </c>
      <c r="K5" s="5" t="str">
        <f t="shared" si="5"/>
        <v>TEMPAT MAKAN</v>
      </c>
      <c r="L5" s="224">
        <f t="shared" si="6"/>
        <v>14400000</v>
      </c>
      <c r="M5" s="224">
        <f t="shared" si="7"/>
        <v>2880000</v>
      </c>
      <c r="N5" s="224">
        <f t="shared" si="8"/>
        <v>11520000</v>
      </c>
    </row>
    <row r="6" spans="1:14">
      <c r="A6" s="8">
        <v>4</v>
      </c>
      <c r="B6" s="5" t="s">
        <v>642</v>
      </c>
      <c r="C6" s="5" t="s">
        <v>643</v>
      </c>
      <c r="D6" s="223" t="s">
        <v>637</v>
      </c>
      <c r="E6" s="5" t="str">
        <f t="shared" si="0"/>
        <v>FRIESKIES-CV. JAYA LAKSANA</v>
      </c>
      <c r="F6" s="5" t="str">
        <f t="shared" si="1"/>
        <v>UDANG</v>
      </c>
      <c r="G6" s="8" t="str">
        <f t="shared" si="2"/>
        <v>3kg</v>
      </c>
      <c r="H6" s="8">
        <v>19</v>
      </c>
      <c r="I6" s="8" t="str">
        <f t="shared" si="3"/>
        <v>PCS</v>
      </c>
      <c r="J6" s="224">
        <f t="shared" si="4"/>
        <v>120000</v>
      </c>
      <c r="K6" s="5" t="str">
        <f t="shared" si="5"/>
        <v>TEMPAT MAKAN</v>
      </c>
      <c r="L6" s="224">
        <f t="shared" si="6"/>
        <v>2280000</v>
      </c>
      <c r="M6" s="224">
        <f t="shared" si="7"/>
        <v>228000</v>
      </c>
      <c r="N6" s="224">
        <f t="shared" si="8"/>
        <v>2052000</v>
      </c>
    </row>
    <row r="7" spans="1:14">
      <c r="A7" s="8">
        <v>5</v>
      </c>
      <c r="B7" s="5" t="s">
        <v>644</v>
      </c>
      <c r="C7" s="5" t="s">
        <v>645</v>
      </c>
      <c r="D7" s="223" t="s">
        <v>646</v>
      </c>
      <c r="E7" s="5" t="str">
        <f t="shared" si="0"/>
        <v>MAXI-CV. TIRTA SAKTI</v>
      </c>
      <c r="F7" s="5" t="str">
        <f t="shared" si="1"/>
        <v>ORIGINAL</v>
      </c>
      <c r="G7" s="8" t="str">
        <f t="shared" si="2"/>
        <v>8kg</v>
      </c>
      <c r="H7" s="8">
        <v>30</v>
      </c>
      <c r="I7" s="8" t="str">
        <f t="shared" si="3"/>
        <v>LUSIN</v>
      </c>
      <c r="J7" s="224">
        <f t="shared" si="4"/>
        <v>200000</v>
      </c>
      <c r="K7" s="5" t="str">
        <f t="shared" si="5"/>
        <v>KALUNG KUCING</v>
      </c>
      <c r="L7" s="224">
        <f t="shared" si="6"/>
        <v>72000000</v>
      </c>
      <c r="M7" s="224">
        <f t="shared" si="7"/>
        <v>7200000</v>
      </c>
      <c r="N7" s="224">
        <f t="shared" si="8"/>
        <v>64800000</v>
      </c>
    </row>
    <row r="8" spans="1:14">
      <c r="A8" s="8">
        <v>6</v>
      </c>
      <c r="B8" s="5" t="s">
        <v>647</v>
      </c>
      <c r="C8" s="5" t="s">
        <v>648</v>
      </c>
      <c r="D8" s="223" t="s">
        <v>646</v>
      </c>
      <c r="E8" s="5" t="str">
        <f t="shared" si="0"/>
        <v>EQUILIBRIO-CV. JAYA LAKSANA</v>
      </c>
      <c r="F8" s="5" t="str">
        <f t="shared" si="1"/>
        <v>AYAM</v>
      </c>
      <c r="G8" s="8" t="str">
        <f t="shared" si="2"/>
        <v>2kg</v>
      </c>
      <c r="H8" s="8">
        <v>30</v>
      </c>
      <c r="I8" s="8" t="str">
        <f t="shared" si="3"/>
        <v>PCS</v>
      </c>
      <c r="J8" s="224">
        <f t="shared" si="4"/>
        <v>200000</v>
      </c>
      <c r="K8" s="5" t="str">
        <f t="shared" si="5"/>
        <v>KALUNG KUCING</v>
      </c>
      <c r="L8" s="224">
        <f t="shared" si="6"/>
        <v>6000000</v>
      </c>
      <c r="M8" s="224">
        <f t="shared" si="7"/>
        <v>1200000</v>
      </c>
      <c r="N8" s="224">
        <f t="shared" si="8"/>
        <v>4800000</v>
      </c>
    </row>
    <row r="9" spans="1:14">
      <c r="A9" s="8">
        <v>7</v>
      </c>
      <c r="B9" s="5" t="s">
        <v>649</v>
      </c>
      <c r="C9" s="5" t="s">
        <v>650</v>
      </c>
      <c r="D9" s="223" t="s">
        <v>646</v>
      </c>
      <c r="E9" s="5" t="str">
        <f t="shared" si="0"/>
        <v>EUKANUBA-PT. GEMMA</v>
      </c>
      <c r="F9" s="5" t="str">
        <f t="shared" si="1"/>
        <v>SALMON</v>
      </c>
      <c r="G9" s="8" t="str">
        <f t="shared" si="2"/>
        <v>1.5kg</v>
      </c>
      <c r="H9" s="8">
        <v>16</v>
      </c>
      <c r="I9" s="8" t="str">
        <f t="shared" si="3"/>
        <v>KODI</v>
      </c>
      <c r="J9" s="224">
        <f t="shared" si="4"/>
        <v>150000</v>
      </c>
      <c r="K9" s="5" t="str">
        <f t="shared" si="5"/>
        <v>TEMPAT MAKAN</v>
      </c>
      <c r="L9" s="224">
        <f t="shared" si="6"/>
        <v>48000000</v>
      </c>
      <c r="M9" s="224">
        <f t="shared" si="7"/>
        <v>9600000</v>
      </c>
      <c r="N9" s="224">
        <f t="shared" si="8"/>
        <v>38400000</v>
      </c>
    </row>
    <row r="10" spans="1:14">
      <c r="A10" s="8">
        <v>8</v>
      </c>
      <c r="B10" s="5" t="s">
        <v>651</v>
      </c>
      <c r="C10" s="5" t="s">
        <v>652</v>
      </c>
      <c r="D10" s="223" t="s">
        <v>653</v>
      </c>
      <c r="E10" s="5" t="str">
        <f t="shared" si="0"/>
        <v>ROYAL CANIN-CV. TIRTA SAKTI</v>
      </c>
      <c r="F10" s="5" t="str">
        <f t="shared" si="1"/>
        <v>AYAM</v>
      </c>
      <c r="G10" s="8" t="str">
        <f t="shared" si="2"/>
        <v>2kg</v>
      </c>
      <c r="H10" s="8">
        <v>12</v>
      </c>
      <c r="I10" s="8" t="str">
        <f t="shared" si="3"/>
        <v>LUSIN</v>
      </c>
      <c r="J10" s="224">
        <f t="shared" si="4"/>
        <v>200000</v>
      </c>
      <c r="K10" s="5" t="str">
        <f t="shared" si="5"/>
        <v>TEMPAT MAKAN</v>
      </c>
      <c r="L10" s="224">
        <f t="shared" si="6"/>
        <v>28800000</v>
      </c>
      <c r="M10" s="224">
        <f t="shared" si="7"/>
        <v>5760000</v>
      </c>
      <c r="N10" s="224">
        <f t="shared" si="8"/>
        <v>23040000</v>
      </c>
    </row>
    <row r="11" spans="1:14">
      <c r="A11" s="8">
        <v>9</v>
      </c>
      <c r="B11" s="5" t="s">
        <v>654</v>
      </c>
      <c r="C11" s="5" t="s">
        <v>655</v>
      </c>
      <c r="D11" s="223" t="s">
        <v>656</v>
      </c>
      <c r="E11" s="5" t="str">
        <f t="shared" si="0"/>
        <v>NUTRI SOURCE-PT. MITRA</v>
      </c>
      <c r="F11" s="5" t="str">
        <f t="shared" si="1"/>
        <v>SALMON</v>
      </c>
      <c r="G11" s="8" t="str">
        <f t="shared" si="2"/>
        <v>3kg</v>
      </c>
      <c r="H11" s="8">
        <v>18</v>
      </c>
      <c r="I11" s="8" t="str">
        <f t="shared" si="3"/>
        <v>DUS</v>
      </c>
      <c r="J11" s="224">
        <f t="shared" si="4"/>
        <v>250000</v>
      </c>
      <c r="K11" s="5" t="str">
        <f t="shared" si="5"/>
        <v>TEMPAT MAKAN</v>
      </c>
      <c r="L11" s="224">
        <f t="shared" si="6"/>
        <v>216000000</v>
      </c>
      <c r="M11" s="224">
        <f t="shared" si="7"/>
        <v>21600000</v>
      </c>
      <c r="N11" s="224">
        <f t="shared" si="8"/>
        <v>194400000</v>
      </c>
    </row>
    <row r="12" spans="1:14">
      <c r="A12" s="8">
        <v>10</v>
      </c>
      <c r="B12" s="5" t="s">
        <v>657</v>
      </c>
      <c r="C12" s="5" t="s">
        <v>658</v>
      </c>
      <c r="D12" s="223" t="s">
        <v>656</v>
      </c>
      <c r="E12" s="5" t="str">
        <f t="shared" si="0"/>
        <v>PRO PLAN-CV. PURNOMO</v>
      </c>
      <c r="F12" s="5" t="str">
        <f t="shared" si="1"/>
        <v>UDANG</v>
      </c>
      <c r="G12" s="8" t="str">
        <f t="shared" si="2"/>
        <v>1.5kg</v>
      </c>
      <c r="H12" s="8">
        <v>28</v>
      </c>
      <c r="I12" s="8" t="str">
        <f t="shared" si="3"/>
        <v>PAK</v>
      </c>
      <c r="J12" s="224">
        <f t="shared" si="4"/>
        <v>150000</v>
      </c>
      <c r="K12" s="5" t="str">
        <f t="shared" si="5"/>
        <v>KANDANG KUCING</v>
      </c>
      <c r="L12" s="224">
        <f t="shared" si="6"/>
        <v>100800000</v>
      </c>
      <c r="M12" s="224">
        <f t="shared" si="7"/>
        <v>10080000</v>
      </c>
      <c r="N12" s="224">
        <f t="shared" si="8"/>
        <v>90720000</v>
      </c>
    </row>
    <row r="13" spans="1:14">
      <c r="A13" s="8">
        <v>11</v>
      </c>
      <c r="B13" s="5" t="s">
        <v>659</v>
      </c>
      <c r="C13" s="5" t="s">
        <v>660</v>
      </c>
      <c r="D13" s="223" t="s">
        <v>661</v>
      </c>
      <c r="E13" s="5" t="str">
        <f t="shared" si="0"/>
        <v>BLACK WOOD-CV. JAYA LAKSANA</v>
      </c>
      <c r="F13" s="5" t="str">
        <f t="shared" si="1"/>
        <v>BEBEK</v>
      </c>
      <c r="G13" s="8" t="str">
        <f t="shared" si="2"/>
        <v>2kg</v>
      </c>
      <c r="H13" s="8">
        <v>34</v>
      </c>
      <c r="I13" s="8" t="str">
        <f t="shared" si="3"/>
        <v>PCS</v>
      </c>
      <c r="J13" s="224">
        <f t="shared" si="4"/>
        <v>200000</v>
      </c>
      <c r="K13" s="5" t="str">
        <f t="shared" si="5"/>
        <v>KALUNG KUCING</v>
      </c>
      <c r="L13" s="224">
        <f t="shared" si="6"/>
        <v>6800000</v>
      </c>
      <c r="M13" s="224">
        <f t="shared" si="7"/>
        <v>1360000</v>
      </c>
      <c r="N13" s="224">
        <f t="shared" si="8"/>
        <v>5440000</v>
      </c>
    </row>
    <row r="14" spans="1:14">
      <c r="A14" s="8">
        <v>12</v>
      </c>
      <c r="B14" s="5" t="s">
        <v>662</v>
      </c>
      <c r="C14" s="5" t="s">
        <v>663</v>
      </c>
      <c r="D14" s="223" t="s">
        <v>664</v>
      </c>
      <c r="E14" s="5" t="str">
        <f t="shared" si="0"/>
        <v>PURE VITA-CV. PURNOMO</v>
      </c>
      <c r="F14" s="5" t="str">
        <f t="shared" si="1"/>
        <v>AYAM</v>
      </c>
      <c r="G14" s="8" t="str">
        <f t="shared" si="2"/>
        <v>3kg</v>
      </c>
      <c r="H14" s="8">
        <v>31</v>
      </c>
      <c r="I14" s="8" t="str">
        <f t="shared" si="3"/>
        <v>PAK</v>
      </c>
      <c r="J14" s="224">
        <f t="shared" si="4"/>
        <v>260000</v>
      </c>
      <c r="K14" s="5" t="str">
        <f t="shared" si="5"/>
        <v>KALUNG KUCING</v>
      </c>
      <c r="L14" s="224">
        <f t="shared" si="6"/>
        <v>193440000</v>
      </c>
      <c r="M14" s="224">
        <f t="shared" si="7"/>
        <v>19344000</v>
      </c>
      <c r="N14" s="224">
        <f t="shared" si="8"/>
        <v>174096000</v>
      </c>
    </row>
    <row r="15" spans="1:14">
      <c r="A15" s="8">
        <v>13</v>
      </c>
      <c r="B15" s="5" t="s">
        <v>665</v>
      </c>
      <c r="C15" s="5" t="s">
        <v>666</v>
      </c>
      <c r="D15" s="223" t="s">
        <v>664</v>
      </c>
      <c r="E15" s="5" t="str">
        <f t="shared" si="0"/>
        <v>ME-O-PT. MITRA</v>
      </c>
      <c r="F15" s="5" t="str">
        <f t="shared" si="1"/>
        <v>SALMON</v>
      </c>
      <c r="G15" s="8" t="str">
        <f t="shared" si="2"/>
        <v>0.8kg</v>
      </c>
      <c r="H15" s="8">
        <v>23</v>
      </c>
      <c r="I15" s="8" t="str">
        <f t="shared" si="3"/>
        <v>DUS</v>
      </c>
      <c r="J15" s="224">
        <f t="shared" si="4"/>
        <v>50000</v>
      </c>
      <c r="K15" s="5" t="str">
        <f t="shared" si="5"/>
        <v>KANDANG KUCING</v>
      </c>
      <c r="L15" s="224">
        <f t="shared" si="6"/>
        <v>55200000</v>
      </c>
      <c r="M15" s="224">
        <f t="shared" si="7"/>
        <v>11040000</v>
      </c>
      <c r="N15" s="224">
        <f t="shared" si="8"/>
        <v>44160000</v>
      </c>
    </row>
    <row r="16" spans="1:14">
      <c r="G16" s="8"/>
    </row>
    <row r="17" spans="2:5" ht="15">
      <c r="B17" s="225" t="s">
        <v>319</v>
      </c>
    </row>
    <row r="18" spans="2:5" s="222" customFormat="1" ht="30">
      <c r="B18" s="221" t="s">
        <v>624</v>
      </c>
      <c r="C18" s="221" t="s">
        <v>667</v>
      </c>
      <c r="D18" s="226" t="s">
        <v>668</v>
      </c>
      <c r="E18" s="221" t="s">
        <v>632</v>
      </c>
    </row>
    <row r="19" spans="2:5">
      <c r="B19" s="8" t="s">
        <v>669</v>
      </c>
      <c r="C19" s="5" t="s">
        <v>670</v>
      </c>
      <c r="D19" s="8">
        <v>0.8</v>
      </c>
      <c r="E19" s="224">
        <v>50000</v>
      </c>
    </row>
    <row r="20" spans="2:5">
      <c r="B20" s="8" t="s">
        <v>671</v>
      </c>
      <c r="C20" s="5" t="s">
        <v>672</v>
      </c>
      <c r="D20" s="8">
        <v>2</v>
      </c>
      <c r="E20" s="224">
        <v>200000</v>
      </c>
    </row>
    <row r="21" spans="2:5">
      <c r="B21" s="8" t="s">
        <v>673</v>
      </c>
      <c r="C21" s="5" t="s">
        <v>674</v>
      </c>
      <c r="D21" s="8">
        <v>1.5</v>
      </c>
      <c r="E21" s="224">
        <v>150000</v>
      </c>
    </row>
    <row r="22" spans="2:5">
      <c r="B22" s="8" t="s">
        <v>675</v>
      </c>
      <c r="C22" s="5" t="s">
        <v>676</v>
      </c>
      <c r="D22" s="8">
        <v>3</v>
      </c>
      <c r="E22" s="224">
        <v>120000</v>
      </c>
    </row>
    <row r="23" spans="2:5">
      <c r="B23" s="8" t="s">
        <v>677</v>
      </c>
      <c r="C23" s="5" t="s">
        <v>678</v>
      </c>
      <c r="D23" s="8">
        <v>0.5</v>
      </c>
      <c r="E23" s="224">
        <v>40000</v>
      </c>
    </row>
    <row r="24" spans="2:5">
      <c r="B24" s="8" t="s">
        <v>679</v>
      </c>
      <c r="C24" s="5" t="s">
        <v>680</v>
      </c>
      <c r="D24" s="8">
        <v>8</v>
      </c>
      <c r="E24" s="224">
        <v>200000</v>
      </c>
    </row>
    <row r="25" spans="2:5">
      <c r="B25" s="8" t="s">
        <v>681</v>
      </c>
      <c r="C25" s="5" t="s">
        <v>682</v>
      </c>
      <c r="D25" s="8">
        <v>2</v>
      </c>
      <c r="E25" s="224">
        <v>200000</v>
      </c>
    </row>
    <row r="26" spans="2:5">
      <c r="B26" s="8" t="s">
        <v>683</v>
      </c>
      <c r="C26" s="5" t="s">
        <v>684</v>
      </c>
      <c r="D26" s="8">
        <v>3</v>
      </c>
      <c r="E26" s="224">
        <v>250000</v>
      </c>
    </row>
    <row r="27" spans="2:5">
      <c r="B27" s="8" t="s">
        <v>685</v>
      </c>
      <c r="C27" s="5" t="s">
        <v>686</v>
      </c>
      <c r="D27" s="8">
        <v>3</v>
      </c>
      <c r="E27" s="224">
        <v>260000</v>
      </c>
    </row>
    <row r="28" spans="2:5">
      <c r="B28" s="8" t="s">
        <v>687</v>
      </c>
      <c r="C28" s="5" t="s">
        <v>688</v>
      </c>
      <c r="D28" s="8">
        <v>2.5</v>
      </c>
      <c r="E28" s="224">
        <v>80000</v>
      </c>
    </row>
    <row r="29" spans="2:5">
      <c r="B29" s="8" t="s">
        <v>689</v>
      </c>
      <c r="C29" s="5" t="s">
        <v>690</v>
      </c>
      <c r="D29" s="8">
        <v>2</v>
      </c>
      <c r="E29" s="224">
        <v>200000</v>
      </c>
    </row>
    <row r="30" spans="2:5">
      <c r="B30" s="8" t="s">
        <v>691</v>
      </c>
      <c r="C30" s="5" t="s">
        <v>692</v>
      </c>
      <c r="D30" s="8">
        <v>1.5</v>
      </c>
      <c r="E30" s="224">
        <v>150000</v>
      </c>
    </row>
    <row r="32" spans="2:5" ht="15">
      <c r="B32" s="225" t="s">
        <v>345</v>
      </c>
    </row>
    <row r="33" spans="2:7" ht="15">
      <c r="B33" s="227" t="s">
        <v>693</v>
      </c>
      <c r="C33" s="8" t="s">
        <v>694</v>
      </c>
      <c r="D33" s="8" t="s">
        <v>695</v>
      </c>
      <c r="E33" s="8" t="s">
        <v>696</v>
      </c>
      <c r="F33" s="8" t="s">
        <v>697</v>
      </c>
      <c r="G33" s="8" t="s">
        <v>698</v>
      </c>
    </row>
    <row r="34" spans="2:7" ht="15">
      <c r="B34" s="227" t="s">
        <v>699</v>
      </c>
      <c r="C34" s="8" t="s">
        <v>700</v>
      </c>
      <c r="D34" s="8" t="s">
        <v>701</v>
      </c>
      <c r="E34" s="8" t="s">
        <v>702</v>
      </c>
      <c r="F34" s="8" t="s">
        <v>703</v>
      </c>
      <c r="G34" s="8" t="s">
        <v>704</v>
      </c>
    </row>
    <row r="35" spans="2:7" ht="15">
      <c r="B35" s="227" t="s">
        <v>705</v>
      </c>
      <c r="C35" s="8" t="s">
        <v>706</v>
      </c>
      <c r="D35" s="8" t="s">
        <v>707</v>
      </c>
      <c r="E35" s="8" t="s">
        <v>708</v>
      </c>
      <c r="F35" s="8" t="s">
        <v>709</v>
      </c>
      <c r="G35" s="8" t="s">
        <v>710</v>
      </c>
    </row>
  </sheetData>
  <mergeCells count="1">
    <mergeCell ref="A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topLeftCell="A28" workbookViewId="0">
      <selection activeCell="J22" sqref="J22"/>
    </sheetView>
  </sheetViews>
  <sheetFormatPr defaultRowHeight="12.75"/>
  <cols>
    <col min="1" max="1" width="5.7109375" customWidth="1"/>
    <col min="2" max="2" width="11.85546875" customWidth="1"/>
    <col min="3" max="3" width="18.5703125" customWidth="1"/>
    <col min="4" max="4" width="14.28515625" customWidth="1"/>
    <col min="5" max="6" width="11.7109375" customWidth="1"/>
    <col min="7" max="7" width="11.5703125" customWidth="1"/>
    <col min="8" max="8" width="13" customWidth="1"/>
    <col min="9" max="9" width="15.5703125" customWidth="1"/>
    <col min="10" max="10" width="11.7109375" customWidth="1"/>
    <col min="11" max="11" width="18.28515625" customWidth="1"/>
    <col min="14" max="14" width="14.5703125" customWidth="1"/>
    <col min="15" max="15" width="9.140625" bestFit="1" customWidth="1"/>
  </cols>
  <sheetData>
    <row r="1" spans="1:16">
      <c r="I1" s="58"/>
    </row>
    <row r="2" spans="1:16" ht="15">
      <c r="A2" s="225" t="s">
        <v>711</v>
      </c>
      <c r="M2" s="225"/>
    </row>
    <row r="3" spans="1:16">
      <c r="M3" s="58"/>
      <c r="N3" s="58"/>
      <c r="O3" s="58"/>
      <c r="P3" s="58"/>
    </row>
    <row r="4" spans="1:16">
      <c r="A4" s="228" t="s">
        <v>271</v>
      </c>
      <c r="B4" s="228" t="s">
        <v>712</v>
      </c>
      <c r="C4" s="228" t="s">
        <v>713</v>
      </c>
      <c r="D4" s="228" t="s">
        <v>714</v>
      </c>
      <c r="E4" s="228" t="s">
        <v>715</v>
      </c>
      <c r="F4" s="228" t="s">
        <v>10</v>
      </c>
      <c r="G4" s="228" t="s">
        <v>716</v>
      </c>
      <c r="H4" s="228" t="s">
        <v>717</v>
      </c>
      <c r="I4" s="228" t="s">
        <v>718</v>
      </c>
      <c r="J4" s="228" t="s">
        <v>719</v>
      </c>
      <c r="K4" s="228" t="s">
        <v>720</v>
      </c>
      <c r="M4" s="229"/>
      <c r="N4" s="229"/>
      <c r="O4" s="229"/>
      <c r="P4" s="58"/>
    </row>
    <row r="5" spans="1:16">
      <c r="A5" s="8">
        <v>1</v>
      </c>
      <c r="B5" s="230" t="s">
        <v>721</v>
      </c>
      <c r="C5" s="231" t="str">
        <f>VLOOKUP(LEFT(B5,2),$B$24:$C$30,2,0)</f>
        <v>Yamaha</v>
      </c>
      <c r="D5" s="231" t="str">
        <f>IF(MID(B5,4,2)="01","125 CC",IF(MID(B5,4,2)="02","250 CC",IF(MID(B5,4,2)="03","500 CC")))</f>
        <v>250 CC</v>
      </c>
      <c r="E5" s="232">
        <v>4500</v>
      </c>
      <c r="F5" s="233">
        <f>MID(B5,7,1)%*E5</f>
        <v>180</v>
      </c>
      <c r="G5" s="234">
        <f>25%*E5</f>
        <v>1125</v>
      </c>
      <c r="H5" s="234">
        <f>5%*E5</f>
        <v>225</v>
      </c>
      <c r="I5" s="234">
        <f>F5+G5+H5</f>
        <v>1530</v>
      </c>
      <c r="J5" s="234">
        <f>E5+I5</f>
        <v>6030</v>
      </c>
      <c r="K5" s="235">
        <f>J5*15000</f>
        <v>90450000</v>
      </c>
      <c r="M5" s="236"/>
      <c r="N5" s="58"/>
      <c r="O5" s="58"/>
      <c r="P5" s="58"/>
    </row>
    <row r="6" spans="1:16">
      <c r="A6" s="8">
        <v>2</v>
      </c>
      <c r="B6" s="230" t="s">
        <v>722</v>
      </c>
      <c r="C6" s="231" t="str">
        <f t="shared" ref="C6:C19" si="0">VLOOKUP(LEFT(B6,2),$B$24:$C$30,2,0)</f>
        <v>Suzuki</v>
      </c>
      <c r="D6" s="231" t="str">
        <f t="shared" ref="D6:D19" si="1">IF(MID(B6,4,2)="01","125 CC",IF(MID(B6,4,2)="02","250 CC",IF(MID(B6,4,2)="03","500 CC")))</f>
        <v>125 CC</v>
      </c>
      <c r="E6" s="232">
        <v>3250</v>
      </c>
      <c r="F6" s="233">
        <f t="shared" ref="F6:F19" si="2">MID(B6,7,1)%*E6</f>
        <v>97.5</v>
      </c>
      <c r="G6" s="234">
        <f t="shared" ref="G6:G19" si="3">25%*E6</f>
        <v>812.5</v>
      </c>
      <c r="H6" s="234">
        <f t="shared" ref="H6:H19" si="4">5%*E6</f>
        <v>162.5</v>
      </c>
      <c r="I6" s="234">
        <f t="shared" ref="I6:I19" si="5">F6+G6+H6</f>
        <v>1072.5</v>
      </c>
      <c r="J6" s="234">
        <f t="shared" ref="J6:J19" si="6">E6+I6</f>
        <v>4322.5</v>
      </c>
      <c r="K6" s="235">
        <f t="shared" ref="K6:K19" si="7">J6*15000</f>
        <v>64837500</v>
      </c>
      <c r="M6" s="236"/>
      <c r="N6" s="58"/>
      <c r="O6" s="58"/>
      <c r="P6" s="58"/>
    </row>
    <row r="7" spans="1:16">
      <c r="A7" s="8">
        <v>3</v>
      </c>
      <c r="B7" s="230" t="s">
        <v>723</v>
      </c>
      <c r="C7" s="231" t="str">
        <f t="shared" si="0"/>
        <v>Suzuki</v>
      </c>
      <c r="D7" s="231" t="str">
        <f t="shared" si="1"/>
        <v>500 CC</v>
      </c>
      <c r="E7" s="232">
        <v>7800</v>
      </c>
      <c r="F7" s="233">
        <f t="shared" si="2"/>
        <v>702</v>
      </c>
      <c r="G7" s="234">
        <f t="shared" si="3"/>
        <v>1950</v>
      </c>
      <c r="H7" s="234">
        <f t="shared" si="4"/>
        <v>390</v>
      </c>
      <c r="I7" s="234">
        <f t="shared" si="5"/>
        <v>3042</v>
      </c>
      <c r="J7" s="234">
        <f t="shared" si="6"/>
        <v>10842</v>
      </c>
      <c r="K7" s="235">
        <f t="shared" si="7"/>
        <v>162630000</v>
      </c>
      <c r="M7" s="236"/>
      <c r="N7" s="58"/>
      <c r="O7" s="58"/>
      <c r="P7" s="58"/>
    </row>
    <row r="8" spans="1:16">
      <c r="A8" s="8">
        <v>4</v>
      </c>
      <c r="B8" s="230" t="s">
        <v>724</v>
      </c>
      <c r="C8" s="231" t="str">
        <f t="shared" si="0"/>
        <v>Honda</v>
      </c>
      <c r="D8" s="231" t="str">
        <f t="shared" si="1"/>
        <v>250 CC</v>
      </c>
      <c r="E8" s="232">
        <v>5100</v>
      </c>
      <c r="F8" s="233">
        <f t="shared" si="2"/>
        <v>153</v>
      </c>
      <c r="G8" s="234">
        <f t="shared" si="3"/>
        <v>1275</v>
      </c>
      <c r="H8" s="234">
        <f t="shared" si="4"/>
        <v>255</v>
      </c>
      <c r="I8" s="234">
        <f t="shared" si="5"/>
        <v>1683</v>
      </c>
      <c r="J8" s="234">
        <f t="shared" si="6"/>
        <v>6783</v>
      </c>
      <c r="K8" s="235">
        <f t="shared" si="7"/>
        <v>101745000</v>
      </c>
      <c r="M8" s="236"/>
      <c r="N8" s="58"/>
      <c r="O8" s="58"/>
      <c r="P8" s="58"/>
    </row>
    <row r="9" spans="1:16">
      <c r="A9" s="8">
        <v>5</v>
      </c>
      <c r="B9" s="230" t="s">
        <v>725</v>
      </c>
      <c r="C9" s="231" t="str">
        <f t="shared" si="0"/>
        <v>Betrix</v>
      </c>
      <c r="D9" s="231" t="str">
        <f t="shared" si="1"/>
        <v>250 CC</v>
      </c>
      <c r="E9" s="232">
        <v>4850</v>
      </c>
      <c r="F9" s="233">
        <f t="shared" si="2"/>
        <v>388</v>
      </c>
      <c r="G9" s="234">
        <f t="shared" si="3"/>
        <v>1212.5</v>
      </c>
      <c r="H9" s="234">
        <f t="shared" si="4"/>
        <v>242.5</v>
      </c>
      <c r="I9" s="234">
        <f t="shared" si="5"/>
        <v>1843</v>
      </c>
      <c r="J9" s="234">
        <f t="shared" si="6"/>
        <v>6693</v>
      </c>
      <c r="K9" s="235">
        <f t="shared" si="7"/>
        <v>100395000</v>
      </c>
      <c r="M9" s="236"/>
      <c r="N9" s="58"/>
      <c r="O9" s="58"/>
      <c r="P9" s="58"/>
    </row>
    <row r="10" spans="1:16">
      <c r="A10" s="8">
        <v>6</v>
      </c>
      <c r="B10" s="230" t="s">
        <v>726</v>
      </c>
      <c r="C10" s="231" t="str">
        <f t="shared" si="0"/>
        <v>Kawasaki</v>
      </c>
      <c r="D10" s="231" t="str">
        <f t="shared" si="1"/>
        <v>125 CC</v>
      </c>
      <c r="E10" s="232">
        <v>3400</v>
      </c>
      <c r="F10" s="233">
        <f t="shared" si="2"/>
        <v>306</v>
      </c>
      <c r="G10" s="234">
        <f t="shared" si="3"/>
        <v>850</v>
      </c>
      <c r="H10" s="234">
        <f t="shared" si="4"/>
        <v>170</v>
      </c>
      <c r="I10" s="234">
        <f t="shared" si="5"/>
        <v>1326</v>
      </c>
      <c r="J10" s="234">
        <f t="shared" si="6"/>
        <v>4726</v>
      </c>
      <c r="K10" s="235">
        <f t="shared" si="7"/>
        <v>70890000</v>
      </c>
      <c r="M10" s="236"/>
      <c r="N10" s="58"/>
      <c r="O10" s="58"/>
      <c r="P10" s="58"/>
    </row>
    <row r="11" spans="1:16">
      <c r="A11" s="8">
        <v>7</v>
      </c>
      <c r="B11" s="230" t="s">
        <v>727</v>
      </c>
      <c r="C11" s="231" t="str">
        <f t="shared" si="0"/>
        <v>Yamaha</v>
      </c>
      <c r="D11" s="231" t="str">
        <f t="shared" si="1"/>
        <v>125 CC</v>
      </c>
      <c r="E11" s="232">
        <v>3450</v>
      </c>
      <c r="F11" s="233">
        <f t="shared" si="2"/>
        <v>241.50000000000003</v>
      </c>
      <c r="G11" s="234">
        <f t="shared" si="3"/>
        <v>862.5</v>
      </c>
      <c r="H11" s="234">
        <f t="shared" si="4"/>
        <v>172.5</v>
      </c>
      <c r="I11" s="234">
        <f t="shared" si="5"/>
        <v>1276.5</v>
      </c>
      <c r="J11" s="234">
        <f t="shared" si="6"/>
        <v>4726.5</v>
      </c>
      <c r="K11" s="235">
        <f t="shared" si="7"/>
        <v>70897500</v>
      </c>
      <c r="M11" s="236"/>
      <c r="N11" s="58"/>
      <c r="O11" s="58"/>
      <c r="P11" s="58"/>
    </row>
    <row r="12" spans="1:16">
      <c r="A12" s="8">
        <v>8</v>
      </c>
      <c r="B12" s="230" t="s">
        <v>728</v>
      </c>
      <c r="C12" s="231" t="str">
        <f t="shared" si="0"/>
        <v>Yamaha</v>
      </c>
      <c r="D12" s="231" t="str">
        <f t="shared" si="1"/>
        <v>125 CC</v>
      </c>
      <c r="E12" s="232">
        <v>3050</v>
      </c>
      <c r="F12" s="233">
        <f t="shared" si="2"/>
        <v>244</v>
      </c>
      <c r="G12" s="234">
        <f t="shared" si="3"/>
        <v>762.5</v>
      </c>
      <c r="H12" s="234">
        <f t="shared" si="4"/>
        <v>152.5</v>
      </c>
      <c r="I12" s="234">
        <f t="shared" si="5"/>
        <v>1159</v>
      </c>
      <c r="J12" s="234">
        <f t="shared" si="6"/>
        <v>4209</v>
      </c>
      <c r="K12" s="235">
        <f t="shared" si="7"/>
        <v>63135000</v>
      </c>
      <c r="M12" s="58"/>
      <c r="N12" s="58"/>
      <c r="O12" s="58"/>
      <c r="P12" s="58"/>
    </row>
    <row r="13" spans="1:16">
      <c r="A13" s="8">
        <v>9</v>
      </c>
      <c r="B13" s="230" t="s">
        <v>729</v>
      </c>
      <c r="C13" s="231" t="str">
        <f t="shared" si="0"/>
        <v>Suzuki</v>
      </c>
      <c r="D13" s="231" t="str">
        <f t="shared" si="1"/>
        <v>500 CC</v>
      </c>
      <c r="E13" s="232">
        <v>6700</v>
      </c>
      <c r="F13" s="233">
        <f t="shared" si="2"/>
        <v>268</v>
      </c>
      <c r="G13" s="234">
        <f t="shared" si="3"/>
        <v>1675</v>
      </c>
      <c r="H13" s="234">
        <f t="shared" si="4"/>
        <v>335</v>
      </c>
      <c r="I13" s="234">
        <f t="shared" si="5"/>
        <v>2278</v>
      </c>
      <c r="J13" s="234">
        <f t="shared" si="6"/>
        <v>8978</v>
      </c>
      <c r="K13" s="235">
        <f t="shared" si="7"/>
        <v>134670000</v>
      </c>
      <c r="M13" s="58"/>
      <c r="N13" s="58"/>
      <c r="O13" s="58"/>
      <c r="P13" s="58"/>
    </row>
    <row r="14" spans="1:16">
      <c r="A14" s="8">
        <v>10</v>
      </c>
      <c r="B14" s="230" t="s">
        <v>730</v>
      </c>
      <c r="C14" s="231" t="str">
        <f t="shared" si="0"/>
        <v>Ducati</v>
      </c>
      <c r="D14" s="231" t="str">
        <f t="shared" si="1"/>
        <v>250 CC</v>
      </c>
      <c r="E14" s="232">
        <v>5025</v>
      </c>
      <c r="F14" s="233">
        <f t="shared" si="2"/>
        <v>201</v>
      </c>
      <c r="G14" s="234">
        <f t="shared" si="3"/>
        <v>1256.25</v>
      </c>
      <c r="H14" s="234">
        <f t="shared" si="4"/>
        <v>251.25</v>
      </c>
      <c r="I14" s="234">
        <f t="shared" si="5"/>
        <v>1708.5</v>
      </c>
      <c r="J14" s="234">
        <f t="shared" si="6"/>
        <v>6733.5</v>
      </c>
      <c r="K14" s="235">
        <f t="shared" si="7"/>
        <v>101002500</v>
      </c>
    </row>
    <row r="15" spans="1:16">
      <c r="A15" s="8">
        <v>11</v>
      </c>
      <c r="B15" s="230" t="s">
        <v>731</v>
      </c>
      <c r="C15" s="231" t="str">
        <f t="shared" si="0"/>
        <v>Bajaj</v>
      </c>
      <c r="D15" s="231" t="str">
        <f t="shared" si="1"/>
        <v>500 CC</v>
      </c>
      <c r="E15" s="232">
        <v>7125</v>
      </c>
      <c r="F15" s="233">
        <f t="shared" si="2"/>
        <v>498.75000000000006</v>
      </c>
      <c r="G15" s="234">
        <f t="shared" si="3"/>
        <v>1781.25</v>
      </c>
      <c r="H15" s="234">
        <f t="shared" si="4"/>
        <v>356.25</v>
      </c>
      <c r="I15" s="234">
        <f t="shared" si="5"/>
        <v>2636.25</v>
      </c>
      <c r="J15" s="234">
        <f t="shared" si="6"/>
        <v>9761.25</v>
      </c>
      <c r="K15" s="235">
        <f t="shared" si="7"/>
        <v>146418750</v>
      </c>
    </row>
    <row r="16" spans="1:16">
      <c r="A16" s="8">
        <v>12</v>
      </c>
      <c r="B16" s="230" t="s">
        <v>732</v>
      </c>
      <c r="C16" s="231" t="str">
        <f t="shared" si="0"/>
        <v>Betrix</v>
      </c>
      <c r="D16" s="231" t="str">
        <f t="shared" si="1"/>
        <v>500 CC</v>
      </c>
      <c r="E16" s="232">
        <v>7200</v>
      </c>
      <c r="F16" s="233">
        <f t="shared" si="2"/>
        <v>576</v>
      </c>
      <c r="G16" s="234">
        <f t="shared" si="3"/>
        <v>1800</v>
      </c>
      <c r="H16" s="234">
        <f t="shared" si="4"/>
        <v>360</v>
      </c>
      <c r="I16" s="234">
        <f t="shared" si="5"/>
        <v>2736</v>
      </c>
      <c r="J16" s="234">
        <f t="shared" si="6"/>
        <v>9936</v>
      </c>
      <c r="K16" s="235">
        <f t="shared" si="7"/>
        <v>149040000</v>
      </c>
    </row>
    <row r="17" spans="1:11">
      <c r="A17" s="8">
        <v>13</v>
      </c>
      <c r="B17" s="230" t="s">
        <v>733</v>
      </c>
      <c r="C17" s="231" t="str">
        <f t="shared" si="0"/>
        <v>Honda</v>
      </c>
      <c r="D17" s="231" t="str">
        <f t="shared" si="1"/>
        <v>250 CC</v>
      </c>
      <c r="E17" s="232">
        <v>3300</v>
      </c>
      <c r="F17" s="233">
        <f t="shared" si="2"/>
        <v>165</v>
      </c>
      <c r="G17" s="234">
        <f t="shared" si="3"/>
        <v>825</v>
      </c>
      <c r="H17" s="234">
        <f t="shared" si="4"/>
        <v>165</v>
      </c>
      <c r="I17" s="234">
        <f t="shared" si="5"/>
        <v>1155</v>
      </c>
      <c r="J17" s="234">
        <f t="shared" si="6"/>
        <v>4455</v>
      </c>
      <c r="K17" s="235">
        <f t="shared" si="7"/>
        <v>66825000</v>
      </c>
    </row>
    <row r="18" spans="1:11">
      <c r="A18" s="8">
        <v>14</v>
      </c>
      <c r="B18" s="230" t="s">
        <v>734</v>
      </c>
      <c r="C18" s="231" t="str">
        <f t="shared" si="0"/>
        <v>Ducati</v>
      </c>
      <c r="D18" s="231" t="str">
        <f t="shared" si="1"/>
        <v>500 CC</v>
      </c>
      <c r="E18" s="232">
        <v>6980</v>
      </c>
      <c r="F18" s="233">
        <f t="shared" si="2"/>
        <v>418.8</v>
      </c>
      <c r="G18" s="234">
        <f t="shared" si="3"/>
        <v>1745</v>
      </c>
      <c r="H18" s="234">
        <f t="shared" si="4"/>
        <v>349</v>
      </c>
      <c r="I18" s="234">
        <f t="shared" si="5"/>
        <v>2512.8000000000002</v>
      </c>
      <c r="J18" s="234">
        <f t="shared" si="6"/>
        <v>9492.7999999999993</v>
      </c>
      <c r="K18" s="235">
        <f t="shared" si="7"/>
        <v>142392000</v>
      </c>
    </row>
    <row r="19" spans="1:11">
      <c r="A19" s="8">
        <v>15</v>
      </c>
      <c r="B19" s="230" t="s">
        <v>735</v>
      </c>
      <c r="C19" s="231" t="str">
        <f t="shared" si="0"/>
        <v>Suzuki</v>
      </c>
      <c r="D19" s="231" t="str">
        <f t="shared" si="1"/>
        <v>500 CC</v>
      </c>
      <c r="E19" s="232">
        <v>7400</v>
      </c>
      <c r="F19" s="233">
        <f t="shared" si="2"/>
        <v>296</v>
      </c>
      <c r="G19" s="234">
        <f t="shared" si="3"/>
        <v>1850</v>
      </c>
      <c r="H19" s="234">
        <f t="shared" si="4"/>
        <v>370</v>
      </c>
      <c r="I19" s="234">
        <f t="shared" si="5"/>
        <v>2516</v>
      </c>
      <c r="J19" s="234">
        <f t="shared" si="6"/>
        <v>9916</v>
      </c>
      <c r="K19" s="235">
        <f t="shared" si="7"/>
        <v>148740000</v>
      </c>
    </row>
    <row r="20" spans="1:1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1:11" ht="15">
      <c r="A21" s="225" t="s">
        <v>736</v>
      </c>
    </row>
    <row r="22" spans="1:11" ht="15">
      <c r="E22" s="237"/>
      <c r="F22" s="238"/>
      <c r="G22" s="238"/>
      <c r="H22" s="238"/>
      <c r="I22" s="238"/>
    </row>
    <row r="23" spans="1:11">
      <c r="A23" s="239" t="s">
        <v>271</v>
      </c>
      <c r="B23" s="338" t="s">
        <v>737</v>
      </c>
      <c r="C23" s="339"/>
      <c r="E23" s="238"/>
      <c r="F23" s="238"/>
      <c r="G23" s="238"/>
      <c r="H23" s="238"/>
      <c r="I23" s="238"/>
    </row>
    <row r="24" spans="1:11">
      <c r="A24" s="240">
        <v>1</v>
      </c>
      <c r="B24" s="241" t="s">
        <v>738</v>
      </c>
      <c r="C24" s="242" t="s">
        <v>739</v>
      </c>
      <c r="E24" s="238"/>
      <c r="F24" s="238"/>
      <c r="G24" s="238"/>
      <c r="H24" s="238"/>
      <c r="I24" s="238"/>
    </row>
    <row r="25" spans="1:11">
      <c r="A25" s="8">
        <v>2</v>
      </c>
      <c r="B25" s="5" t="s">
        <v>740</v>
      </c>
      <c r="C25" s="243" t="s">
        <v>741</v>
      </c>
      <c r="E25" s="238"/>
      <c r="F25" s="238"/>
      <c r="G25" s="238"/>
      <c r="H25" s="238"/>
      <c r="I25" s="238"/>
    </row>
    <row r="26" spans="1:11">
      <c r="A26" s="8">
        <v>3</v>
      </c>
      <c r="B26" s="243" t="s">
        <v>742</v>
      </c>
      <c r="C26" s="5" t="s">
        <v>743</v>
      </c>
    </row>
    <row r="27" spans="1:11">
      <c r="A27" s="8">
        <v>4</v>
      </c>
      <c r="B27" s="5" t="s">
        <v>744</v>
      </c>
      <c r="C27" s="5" t="s">
        <v>745</v>
      </c>
    </row>
    <row r="28" spans="1:11">
      <c r="A28" s="8">
        <v>5</v>
      </c>
      <c r="B28" s="5" t="s">
        <v>489</v>
      </c>
      <c r="C28" s="5" t="s">
        <v>746</v>
      </c>
    </row>
    <row r="29" spans="1:11">
      <c r="A29" s="8">
        <v>6</v>
      </c>
      <c r="B29" s="5" t="s">
        <v>747</v>
      </c>
      <c r="C29" s="5" t="s">
        <v>748</v>
      </c>
    </row>
    <row r="30" spans="1:11">
      <c r="A30" s="8">
        <v>7</v>
      </c>
      <c r="B30" s="5" t="s">
        <v>749</v>
      </c>
      <c r="C30" s="5" t="s">
        <v>750</v>
      </c>
    </row>
  </sheetData>
  <mergeCells count="1">
    <mergeCell ref="B23:C2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8"/>
  <sheetViews>
    <sheetView tabSelected="1" topLeftCell="H1" workbookViewId="0">
      <selection activeCell="L2" sqref="L2"/>
    </sheetView>
  </sheetViews>
  <sheetFormatPr defaultRowHeight="12.75"/>
  <cols>
    <col min="2" max="2" width="17.85546875" customWidth="1"/>
    <col min="3" max="3" width="17.42578125" customWidth="1"/>
    <col min="4" max="4" width="15.7109375" customWidth="1"/>
    <col min="5" max="5" width="17.7109375" customWidth="1"/>
    <col min="6" max="6" width="18.140625" customWidth="1"/>
    <col min="7" max="7" width="14" customWidth="1"/>
    <col min="8" max="8" width="21.140625" customWidth="1"/>
    <col min="9" max="9" width="12.42578125" customWidth="1"/>
    <col min="10" max="11" width="16.5703125" customWidth="1"/>
    <col min="12" max="12" width="16.140625" customWidth="1"/>
    <col min="13" max="13" width="14.7109375" customWidth="1"/>
    <col min="14" max="14" width="13.7109375" customWidth="1"/>
    <col min="15" max="15" width="13.85546875" customWidth="1"/>
    <col min="17" max="17" width="11.85546875" customWidth="1"/>
    <col min="18" max="18" width="17" customWidth="1"/>
    <col min="19" max="19" width="15.28515625" customWidth="1"/>
  </cols>
  <sheetData>
    <row r="1" spans="1:20">
      <c r="A1" s="228" t="s">
        <v>271</v>
      </c>
      <c r="B1" s="228" t="s">
        <v>751</v>
      </c>
      <c r="C1" s="244" t="s">
        <v>752</v>
      </c>
      <c r="D1" s="228" t="s">
        <v>470</v>
      </c>
      <c r="E1" s="228" t="s">
        <v>753</v>
      </c>
      <c r="F1" s="228" t="s">
        <v>754</v>
      </c>
      <c r="G1" s="245" t="s">
        <v>755</v>
      </c>
      <c r="H1" s="228" t="s">
        <v>756</v>
      </c>
      <c r="I1" s="228" t="s">
        <v>757</v>
      </c>
      <c r="J1" s="228" t="s">
        <v>758</v>
      </c>
      <c r="K1" s="228" t="s">
        <v>759</v>
      </c>
      <c r="L1" s="228" t="s">
        <v>760</v>
      </c>
      <c r="M1" s="228" t="s">
        <v>761</v>
      </c>
      <c r="N1" s="228" t="s">
        <v>762</v>
      </c>
      <c r="O1" s="228" t="s">
        <v>763</v>
      </c>
      <c r="P1" s="228" t="s">
        <v>10</v>
      </c>
      <c r="Q1" s="245" t="s">
        <v>764</v>
      </c>
      <c r="R1" s="228" t="s">
        <v>765</v>
      </c>
      <c r="S1" s="246" t="s">
        <v>766</v>
      </c>
      <c r="T1" s="247"/>
    </row>
    <row r="2" spans="1:20">
      <c r="A2" s="240">
        <v>1</v>
      </c>
      <c r="B2" s="248" t="s">
        <v>767</v>
      </c>
      <c r="C2" s="249">
        <v>43498</v>
      </c>
      <c r="D2" s="245" t="s">
        <v>768</v>
      </c>
      <c r="E2" s="8" t="str">
        <f>VLOOKUP(D2,$A$20:$E$25,2,0)</f>
        <v>Sukamto</v>
      </c>
      <c r="F2" s="250" t="str">
        <f>VLOOKUP(D2,$A$20:$E$25,3,0)</f>
        <v>SNSL</v>
      </c>
      <c r="G2" s="251">
        <v>104800</v>
      </c>
      <c r="H2" s="252">
        <f>VLOOKUP(D2,$A$20:$E$25,4,0)</f>
        <v>3200</v>
      </c>
      <c r="I2" s="253">
        <f>HLOOKUP(F2,$G$19:$K$20,2,0)</f>
        <v>1500</v>
      </c>
      <c r="J2" s="8">
        <f>VLOOKUP(D2,$A$20:$E$25,5,0)</f>
        <v>2</v>
      </c>
      <c r="K2" s="5">
        <f>J2*100</f>
        <v>200</v>
      </c>
      <c r="L2" s="254">
        <f>IF(AND(G2&gt;50000,G2&lt;=100000),G2*0.01,IF(AND(G2&gt;100000,G2&lt;=130000),G2*0.02,IF(G2&gt;130000,G2*0.025)))</f>
        <v>2096</v>
      </c>
      <c r="M2" s="255">
        <f>H2+I2+K2+L2</f>
        <v>6996</v>
      </c>
      <c r="N2" s="256">
        <f>M2*0.01</f>
        <v>69.960000000000008</v>
      </c>
      <c r="O2" s="256">
        <f>M2*0.025</f>
        <v>174.9</v>
      </c>
      <c r="P2" s="257">
        <f>M2*0.075</f>
        <v>524.69999999999993</v>
      </c>
      <c r="Q2" s="245">
        <v>1000</v>
      </c>
      <c r="R2" s="256">
        <f>N2+O2+P2+Q2</f>
        <v>1769.56</v>
      </c>
      <c r="S2" s="258">
        <f>M2-R2</f>
        <v>5226.4400000000005</v>
      </c>
    </row>
    <row r="3" spans="1:20">
      <c r="A3" s="8">
        <v>2</v>
      </c>
      <c r="B3" s="248" t="s">
        <v>769</v>
      </c>
      <c r="C3" s="259">
        <v>43499</v>
      </c>
      <c r="D3" s="245" t="s">
        <v>770</v>
      </c>
      <c r="E3" s="8" t="str">
        <f t="shared" ref="E3:E13" si="0">VLOOKUP(D3,$A$20:$E$25,2,0)</f>
        <v>Bambang Indra</v>
      </c>
      <c r="F3" s="250" t="str">
        <f t="shared" ref="F3:F13" si="1">VLOOKUP(D3,$A$20:$E$25,3,0)</f>
        <v>SNSL</v>
      </c>
      <c r="G3" s="260">
        <v>152700</v>
      </c>
      <c r="H3" s="252">
        <f>VLOOKUP(D3,$A$20:$E$25,4,0)</f>
        <v>3500</v>
      </c>
      <c r="I3" s="253">
        <f t="shared" ref="I3:I13" si="2">HLOOKUP(F3,$G$19:$K$20,2,0)</f>
        <v>1500</v>
      </c>
      <c r="J3" s="8">
        <f t="shared" ref="J3:J13" si="3">VLOOKUP(D3,$A$20:$E$25,5,0)</f>
        <v>2</v>
      </c>
      <c r="K3" s="5">
        <f t="shared" ref="K3:K13" si="4">J3*100</f>
        <v>200</v>
      </c>
      <c r="L3" s="254">
        <f t="shared" ref="L3:L13" si="5">IF(AND(G3&gt;50000,G3&lt;=100000),G3*0.01,IF(AND(G3&gt;100000,G3&lt;=130000),G3*0.02,IF(G3&gt;130000,G3*0.025)))</f>
        <v>3817.5</v>
      </c>
      <c r="M3" s="255">
        <f t="shared" ref="M3:M13" si="6">H3+I3+K3+L3</f>
        <v>9017.5</v>
      </c>
      <c r="N3" s="256">
        <f t="shared" ref="N3:N13" si="7">M3*0.01</f>
        <v>90.174999999999997</v>
      </c>
      <c r="O3" s="256">
        <f t="shared" ref="O3:O13" si="8">M3*0.025</f>
        <v>225.4375</v>
      </c>
      <c r="P3" s="257">
        <f t="shared" ref="P3:P13" si="9">M3*0.075</f>
        <v>676.3125</v>
      </c>
      <c r="Q3" s="245">
        <v>800</v>
      </c>
      <c r="R3" s="256">
        <f t="shared" ref="R3:R13" si="10">N3+O3+P3+Q3</f>
        <v>1791.925</v>
      </c>
      <c r="S3" s="258">
        <f t="shared" ref="S3:S13" si="11">M3-R3</f>
        <v>7225.5749999999998</v>
      </c>
    </row>
    <row r="4" spans="1:20">
      <c r="A4" s="8">
        <v>3</v>
      </c>
      <c r="B4" s="248" t="s">
        <v>771</v>
      </c>
      <c r="C4" s="259">
        <v>43499</v>
      </c>
      <c r="D4" s="245" t="s">
        <v>772</v>
      </c>
      <c r="E4" s="8" t="str">
        <f t="shared" si="0"/>
        <v>Awang Pangestu</v>
      </c>
      <c r="F4" s="250" t="str">
        <f t="shared" si="1"/>
        <v>SPV</v>
      </c>
      <c r="G4" s="260">
        <v>80540</v>
      </c>
      <c r="H4" s="252">
        <f t="shared" ref="H3:H13" si="12">VLOOKUP(D4,$A$20:$E$25,4,0)</f>
        <v>4100</v>
      </c>
      <c r="I4" s="253">
        <f t="shared" si="2"/>
        <v>2000</v>
      </c>
      <c r="J4" s="8">
        <f t="shared" si="3"/>
        <v>3</v>
      </c>
      <c r="K4" s="5">
        <f t="shared" si="4"/>
        <v>300</v>
      </c>
      <c r="L4" s="254">
        <f t="shared" si="5"/>
        <v>805.4</v>
      </c>
      <c r="M4" s="255">
        <f t="shared" si="6"/>
        <v>7205.4</v>
      </c>
      <c r="N4" s="256">
        <f t="shared" si="7"/>
        <v>72.054000000000002</v>
      </c>
      <c r="O4" s="256">
        <f t="shared" si="8"/>
        <v>180.13499999999999</v>
      </c>
      <c r="P4" s="257">
        <f t="shared" si="9"/>
        <v>540.40499999999997</v>
      </c>
      <c r="Q4" s="245">
        <v>1500</v>
      </c>
      <c r="R4" s="256">
        <f t="shared" si="10"/>
        <v>2292.5940000000001</v>
      </c>
      <c r="S4" s="258">
        <f t="shared" si="11"/>
        <v>4912.8059999999996</v>
      </c>
    </row>
    <row r="5" spans="1:20">
      <c r="A5" s="8">
        <v>4</v>
      </c>
      <c r="B5" s="248" t="s">
        <v>773</v>
      </c>
      <c r="C5" s="259">
        <v>43499</v>
      </c>
      <c r="D5" s="245" t="s">
        <v>774</v>
      </c>
      <c r="E5" s="8" t="str">
        <f t="shared" si="0"/>
        <v>Dimyanti</v>
      </c>
      <c r="F5" s="250" t="str">
        <f t="shared" si="1"/>
        <v>JNSL</v>
      </c>
      <c r="G5" s="260">
        <v>114400</v>
      </c>
      <c r="H5" s="252">
        <f t="shared" si="12"/>
        <v>2400</v>
      </c>
      <c r="I5" s="253">
        <f t="shared" si="2"/>
        <v>1000</v>
      </c>
      <c r="J5" s="8">
        <f t="shared" si="3"/>
        <v>1</v>
      </c>
      <c r="K5" s="5">
        <f t="shared" si="4"/>
        <v>100</v>
      </c>
      <c r="L5" s="254">
        <f t="shared" si="5"/>
        <v>2288</v>
      </c>
      <c r="M5" s="255">
        <f t="shared" si="6"/>
        <v>5788</v>
      </c>
      <c r="N5" s="256">
        <f t="shared" si="7"/>
        <v>57.88</v>
      </c>
      <c r="O5" s="256">
        <f t="shared" si="8"/>
        <v>144.70000000000002</v>
      </c>
      <c r="P5" s="257">
        <f t="shared" si="9"/>
        <v>434.09999999999997</v>
      </c>
      <c r="Q5" s="245">
        <v>1320</v>
      </c>
      <c r="R5" s="256">
        <f t="shared" si="10"/>
        <v>1956.6799999999998</v>
      </c>
      <c r="S5" s="258">
        <f t="shared" si="11"/>
        <v>3831.32</v>
      </c>
    </row>
    <row r="6" spans="1:20">
      <c r="A6" s="8">
        <v>5</v>
      </c>
      <c r="B6" s="248" t="s">
        <v>775</v>
      </c>
      <c r="C6" s="259">
        <v>47152</v>
      </c>
      <c r="D6" s="245" t="s">
        <v>776</v>
      </c>
      <c r="E6" s="8" t="str">
        <f t="shared" si="0"/>
        <v>Iin Nurlina</v>
      </c>
      <c r="F6" s="250" t="str">
        <f t="shared" si="1"/>
        <v>TRN</v>
      </c>
      <c r="G6" s="260">
        <v>89350</v>
      </c>
      <c r="H6" s="252">
        <f t="shared" si="12"/>
        <v>1500</v>
      </c>
      <c r="I6" s="253">
        <f t="shared" si="2"/>
        <v>800</v>
      </c>
      <c r="J6" s="8">
        <f t="shared" si="3"/>
        <v>1</v>
      </c>
      <c r="K6" s="5">
        <f t="shared" si="4"/>
        <v>100</v>
      </c>
      <c r="L6" s="254">
        <f t="shared" si="5"/>
        <v>893.5</v>
      </c>
      <c r="M6" s="255">
        <f t="shared" si="6"/>
        <v>3293.5</v>
      </c>
      <c r="N6" s="256">
        <f t="shared" si="7"/>
        <v>32.935000000000002</v>
      </c>
      <c r="O6" s="256">
        <f t="shared" si="8"/>
        <v>82.337500000000006</v>
      </c>
      <c r="P6" s="257">
        <f t="shared" si="9"/>
        <v>247.01249999999999</v>
      </c>
      <c r="Q6" s="245">
        <v>300</v>
      </c>
      <c r="R6" s="256">
        <f t="shared" si="10"/>
        <v>662.28499999999997</v>
      </c>
      <c r="S6" s="258">
        <f t="shared" si="11"/>
        <v>2631.2150000000001</v>
      </c>
    </row>
    <row r="7" spans="1:20">
      <c r="A7" s="8">
        <v>6</v>
      </c>
      <c r="B7" s="248" t="s">
        <v>777</v>
      </c>
      <c r="C7" s="259">
        <v>47152</v>
      </c>
      <c r="D7" s="245" t="s">
        <v>778</v>
      </c>
      <c r="E7" s="8" t="str">
        <f t="shared" si="0"/>
        <v>Erhandi</v>
      </c>
      <c r="F7" s="250" t="str">
        <f t="shared" si="1"/>
        <v>JNSL</v>
      </c>
      <c r="G7" s="260">
        <v>90880</v>
      </c>
      <c r="H7" s="252">
        <f t="shared" si="12"/>
        <v>2500</v>
      </c>
      <c r="I7" s="253">
        <f t="shared" si="2"/>
        <v>1000</v>
      </c>
      <c r="J7" s="8">
        <f t="shared" si="3"/>
        <v>0</v>
      </c>
      <c r="K7" s="5">
        <f t="shared" si="4"/>
        <v>0</v>
      </c>
      <c r="L7" s="254">
        <f t="shared" si="5"/>
        <v>908.80000000000007</v>
      </c>
      <c r="M7" s="255">
        <f t="shared" si="6"/>
        <v>4408.8</v>
      </c>
      <c r="N7" s="256">
        <f t="shared" si="7"/>
        <v>44.088000000000001</v>
      </c>
      <c r="O7" s="256">
        <f t="shared" si="8"/>
        <v>110.22000000000001</v>
      </c>
      <c r="P7" s="257">
        <f t="shared" si="9"/>
        <v>330.66</v>
      </c>
      <c r="Q7" s="245">
        <v>0</v>
      </c>
      <c r="R7" s="256">
        <f t="shared" si="10"/>
        <v>484.96800000000007</v>
      </c>
      <c r="S7" s="258">
        <f t="shared" si="11"/>
        <v>3923.8320000000003</v>
      </c>
    </row>
    <row r="8" spans="1:20">
      <c r="A8" s="8">
        <v>7</v>
      </c>
      <c r="B8" s="248" t="s">
        <v>779</v>
      </c>
      <c r="C8" s="259">
        <v>43525</v>
      </c>
      <c r="D8" s="245" t="s">
        <v>774</v>
      </c>
      <c r="E8" s="8" t="str">
        <f t="shared" si="0"/>
        <v>Dimyanti</v>
      </c>
      <c r="F8" s="250" t="str">
        <f t="shared" si="1"/>
        <v>JNSL</v>
      </c>
      <c r="G8" s="260">
        <v>104800</v>
      </c>
      <c r="H8" s="252">
        <f t="shared" si="12"/>
        <v>2400</v>
      </c>
      <c r="I8" s="253">
        <f t="shared" si="2"/>
        <v>1000</v>
      </c>
      <c r="J8" s="8">
        <f t="shared" si="3"/>
        <v>1</v>
      </c>
      <c r="K8" s="5">
        <f t="shared" si="4"/>
        <v>100</v>
      </c>
      <c r="L8" s="254">
        <f t="shared" si="5"/>
        <v>2096</v>
      </c>
      <c r="M8" s="255">
        <f t="shared" si="6"/>
        <v>5596</v>
      </c>
      <c r="N8" s="256">
        <f t="shared" si="7"/>
        <v>55.96</v>
      </c>
      <c r="O8" s="256">
        <f t="shared" si="8"/>
        <v>139.9</v>
      </c>
      <c r="P8" s="257">
        <f t="shared" si="9"/>
        <v>419.7</v>
      </c>
      <c r="Q8" s="245">
        <v>0</v>
      </c>
      <c r="R8" s="256">
        <f t="shared" si="10"/>
        <v>615.55999999999995</v>
      </c>
      <c r="S8" s="258">
        <f t="shared" si="11"/>
        <v>4980.4400000000005</v>
      </c>
    </row>
    <row r="9" spans="1:20">
      <c r="A9" s="8">
        <v>8</v>
      </c>
      <c r="B9" s="248" t="s">
        <v>780</v>
      </c>
      <c r="C9" s="259">
        <v>43525</v>
      </c>
      <c r="D9" s="245" t="s">
        <v>778</v>
      </c>
      <c r="E9" s="8" t="str">
        <f t="shared" si="0"/>
        <v>Erhandi</v>
      </c>
      <c r="F9" s="250" t="str">
        <f t="shared" si="1"/>
        <v>JNSL</v>
      </c>
      <c r="G9" s="260">
        <v>101950</v>
      </c>
      <c r="H9" s="252">
        <f t="shared" si="12"/>
        <v>2500</v>
      </c>
      <c r="I9" s="253">
        <f t="shared" si="2"/>
        <v>1000</v>
      </c>
      <c r="J9" s="8">
        <f t="shared" si="3"/>
        <v>0</v>
      </c>
      <c r="K9" s="5">
        <f t="shared" si="4"/>
        <v>0</v>
      </c>
      <c r="L9" s="254">
        <f t="shared" si="5"/>
        <v>2039</v>
      </c>
      <c r="M9" s="255">
        <f t="shared" si="6"/>
        <v>5539</v>
      </c>
      <c r="N9" s="256">
        <f t="shared" si="7"/>
        <v>55.39</v>
      </c>
      <c r="O9" s="256">
        <f t="shared" si="8"/>
        <v>138.47499999999999</v>
      </c>
      <c r="P9" s="257">
        <f t="shared" si="9"/>
        <v>415.42500000000001</v>
      </c>
      <c r="Q9" s="245">
        <v>1200</v>
      </c>
      <c r="R9" s="256">
        <f t="shared" si="10"/>
        <v>1809.29</v>
      </c>
      <c r="S9" s="258">
        <f t="shared" si="11"/>
        <v>3729.71</v>
      </c>
    </row>
    <row r="10" spans="1:20">
      <c r="A10" s="8">
        <v>9</v>
      </c>
      <c r="B10" s="248" t="s">
        <v>781</v>
      </c>
      <c r="C10" s="259">
        <v>43526</v>
      </c>
      <c r="D10" s="245" t="s">
        <v>776</v>
      </c>
      <c r="E10" s="8" t="str">
        <f t="shared" si="0"/>
        <v>Iin Nurlina</v>
      </c>
      <c r="F10" s="250" t="str">
        <f t="shared" si="1"/>
        <v>TRN</v>
      </c>
      <c r="G10" s="260">
        <v>98700</v>
      </c>
      <c r="H10" s="252">
        <f t="shared" si="12"/>
        <v>1500</v>
      </c>
      <c r="I10" s="253">
        <f t="shared" si="2"/>
        <v>800</v>
      </c>
      <c r="J10" s="8">
        <f t="shared" si="3"/>
        <v>1</v>
      </c>
      <c r="K10" s="5">
        <f t="shared" si="4"/>
        <v>100</v>
      </c>
      <c r="L10" s="254">
        <f t="shared" si="5"/>
        <v>987</v>
      </c>
      <c r="M10" s="255">
        <f t="shared" si="6"/>
        <v>3387</v>
      </c>
      <c r="N10" s="256">
        <f t="shared" si="7"/>
        <v>33.869999999999997</v>
      </c>
      <c r="O10" s="256">
        <f t="shared" si="8"/>
        <v>84.675000000000011</v>
      </c>
      <c r="P10" s="257">
        <f t="shared" si="9"/>
        <v>254.02499999999998</v>
      </c>
      <c r="Q10" s="261">
        <v>800</v>
      </c>
      <c r="R10" s="256">
        <f t="shared" si="10"/>
        <v>1172.57</v>
      </c>
      <c r="S10" s="258">
        <f t="shared" si="11"/>
        <v>2214.4300000000003</v>
      </c>
    </row>
    <row r="11" spans="1:20">
      <c r="A11" s="262">
        <v>10</v>
      </c>
      <c r="B11" s="263" t="s">
        <v>782</v>
      </c>
      <c r="C11" s="249">
        <v>47179</v>
      </c>
      <c r="D11" s="264" t="s">
        <v>770</v>
      </c>
      <c r="E11" s="8" t="str">
        <f t="shared" si="0"/>
        <v>Bambang Indra</v>
      </c>
      <c r="F11" s="250" t="str">
        <f t="shared" si="1"/>
        <v>SNSL</v>
      </c>
      <c r="G11" s="265">
        <v>124800</v>
      </c>
      <c r="H11" s="252">
        <f t="shared" si="12"/>
        <v>3500</v>
      </c>
      <c r="I11" s="253">
        <f t="shared" si="2"/>
        <v>1500</v>
      </c>
      <c r="J11" s="8">
        <f t="shared" si="3"/>
        <v>2</v>
      </c>
      <c r="K11" s="5">
        <f t="shared" si="4"/>
        <v>200</v>
      </c>
      <c r="L11" s="254">
        <f>IF(G11&lt;=50000,0,IF(G11&lt;=100000,G11*1%,IF(G11&lt;=130000,G11*2%,G11*2.5%)))</f>
        <v>2496</v>
      </c>
      <c r="M11" s="255">
        <f t="shared" si="6"/>
        <v>7696</v>
      </c>
      <c r="N11" s="256">
        <f t="shared" si="7"/>
        <v>76.960000000000008</v>
      </c>
      <c r="O11" s="256">
        <f t="shared" si="8"/>
        <v>192.4</v>
      </c>
      <c r="P11" s="257">
        <f t="shared" si="9"/>
        <v>577.19999999999993</v>
      </c>
      <c r="Q11" s="264">
        <v>900</v>
      </c>
      <c r="R11" s="256">
        <f t="shared" si="10"/>
        <v>1746.56</v>
      </c>
      <c r="S11" s="258">
        <f t="shared" si="11"/>
        <v>5949.4400000000005</v>
      </c>
    </row>
    <row r="12" spans="1:20">
      <c r="A12" s="8">
        <v>11</v>
      </c>
      <c r="B12" s="248" t="s">
        <v>783</v>
      </c>
      <c r="C12" s="259">
        <v>43526</v>
      </c>
      <c r="D12" s="261" t="s">
        <v>768</v>
      </c>
      <c r="E12" s="8" t="str">
        <f t="shared" si="0"/>
        <v>Sukamto</v>
      </c>
      <c r="F12" s="250" t="str">
        <f t="shared" si="1"/>
        <v>SNSL</v>
      </c>
      <c r="G12" s="260">
        <v>138440</v>
      </c>
      <c r="H12" s="252">
        <f t="shared" si="12"/>
        <v>3200</v>
      </c>
      <c r="I12" s="253">
        <f t="shared" si="2"/>
        <v>1500</v>
      </c>
      <c r="J12" s="8">
        <f t="shared" si="3"/>
        <v>2</v>
      </c>
      <c r="K12" s="5">
        <f t="shared" si="4"/>
        <v>200</v>
      </c>
      <c r="L12" s="254">
        <f t="shared" si="5"/>
        <v>3461</v>
      </c>
      <c r="M12" s="255">
        <f t="shared" si="6"/>
        <v>8361</v>
      </c>
      <c r="N12" s="256">
        <f t="shared" si="7"/>
        <v>83.61</v>
      </c>
      <c r="O12" s="256">
        <f t="shared" si="8"/>
        <v>209.02500000000001</v>
      </c>
      <c r="P12" s="257">
        <f t="shared" si="9"/>
        <v>627.07499999999993</v>
      </c>
      <c r="Q12" s="261">
        <v>1050</v>
      </c>
      <c r="R12" s="256">
        <f t="shared" si="10"/>
        <v>1969.71</v>
      </c>
      <c r="S12" s="258">
        <f t="shared" si="11"/>
        <v>6391.29</v>
      </c>
    </row>
    <row r="13" spans="1:20">
      <c r="A13" s="194">
        <v>12</v>
      </c>
      <c r="B13" s="266" t="s">
        <v>784</v>
      </c>
      <c r="C13" s="267">
        <v>43527</v>
      </c>
      <c r="D13" s="268" t="s">
        <v>772</v>
      </c>
      <c r="E13" s="8" t="str">
        <f t="shared" si="0"/>
        <v>Awang Pangestu</v>
      </c>
      <c r="F13" s="250" t="str">
        <f t="shared" si="1"/>
        <v>SPV</v>
      </c>
      <c r="G13" s="269">
        <v>132800</v>
      </c>
      <c r="H13" s="252">
        <f t="shared" si="12"/>
        <v>4100</v>
      </c>
      <c r="I13" s="253">
        <f t="shared" si="2"/>
        <v>2000</v>
      </c>
      <c r="J13" s="8">
        <f t="shared" si="3"/>
        <v>3</v>
      </c>
      <c r="K13" s="5">
        <f t="shared" si="4"/>
        <v>300</v>
      </c>
      <c r="L13" s="254">
        <f t="shared" si="5"/>
        <v>3320</v>
      </c>
      <c r="M13" s="255">
        <f t="shared" si="6"/>
        <v>9720</v>
      </c>
      <c r="N13" s="256">
        <f t="shared" si="7"/>
        <v>97.2</v>
      </c>
      <c r="O13" s="256">
        <f t="shared" si="8"/>
        <v>243</v>
      </c>
      <c r="P13" s="257">
        <f t="shared" si="9"/>
        <v>729</v>
      </c>
      <c r="Q13" s="268">
        <v>1000</v>
      </c>
      <c r="R13" s="256">
        <f t="shared" si="10"/>
        <v>2069.1999999999998</v>
      </c>
      <c r="S13" s="258">
        <f t="shared" si="11"/>
        <v>7650.8</v>
      </c>
    </row>
    <row r="14" spans="1:20">
      <c r="C14" s="58"/>
      <c r="I14" s="270"/>
    </row>
    <row r="15" spans="1:20">
      <c r="I15" s="58"/>
    </row>
    <row r="16" spans="1:20">
      <c r="A16" s="58" t="s">
        <v>785</v>
      </c>
      <c r="B16" s="58"/>
      <c r="C16" s="58"/>
      <c r="D16" s="58"/>
      <c r="E16" s="58"/>
      <c r="F16" s="58"/>
    </row>
    <row r="17" spans="1:16">
      <c r="A17" s="58"/>
      <c r="B17" s="58"/>
      <c r="C17" s="58"/>
      <c r="D17" s="58"/>
      <c r="E17" s="58"/>
      <c r="F17" s="58"/>
      <c r="G17" s="58" t="s">
        <v>786</v>
      </c>
      <c r="H17" s="58"/>
      <c r="I17" s="58"/>
      <c r="J17" s="58"/>
      <c r="K17" s="58"/>
      <c r="P17" s="58"/>
    </row>
    <row r="18" spans="1:16">
      <c r="A18" s="271" t="s">
        <v>470</v>
      </c>
      <c r="B18" s="272" t="s">
        <v>123</v>
      </c>
      <c r="C18" s="273" t="s">
        <v>543</v>
      </c>
      <c r="D18" s="271" t="s">
        <v>787</v>
      </c>
      <c r="E18" s="271" t="s">
        <v>788</v>
      </c>
      <c r="F18" s="229"/>
      <c r="G18" s="58"/>
      <c r="H18" s="58"/>
      <c r="I18" s="58"/>
      <c r="J18" s="58"/>
      <c r="K18" s="58"/>
      <c r="L18" s="58"/>
    </row>
    <row r="19" spans="1:16">
      <c r="A19" s="274"/>
      <c r="B19" s="272" t="s">
        <v>523</v>
      </c>
      <c r="C19" s="273" t="s">
        <v>789</v>
      </c>
      <c r="D19" s="274" t="s">
        <v>790</v>
      </c>
      <c r="E19" s="274" t="s">
        <v>791</v>
      </c>
      <c r="F19" s="229"/>
      <c r="G19" s="275" t="s">
        <v>792</v>
      </c>
      <c r="H19" s="275" t="s">
        <v>793</v>
      </c>
      <c r="I19" s="275" t="s">
        <v>794</v>
      </c>
      <c r="J19" s="275" t="s">
        <v>795</v>
      </c>
      <c r="K19" s="275" t="s">
        <v>796</v>
      </c>
      <c r="L19" s="58"/>
    </row>
    <row r="20" spans="1:16">
      <c r="A20" s="276" t="s">
        <v>770</v>
      </c>
      <c r="B20" s="37" t="s">
        <v>797</v>
      </c>
      <c r="C20" s="277" t="s">
        <v>793</v>
      </c>
      <c r="D20" s="278">
        <v>3500</v>
      </c>
      <c r="E20" s="279">
        <v>2</v>
      </c>
      <c r="F20" s="280"/>
      <c r="G20" s="281">
        <v>2000</v>
      </c>
      <c r="H20" s="281">
        <v>1500</v>
      </c>
      <c r="I20" s="281">
        <v>1000</v>
      </c>
      <c r="J20" s="281">
        <v>800</v>
      </c>
      <c r="K20" s="281">
        <v>700</v>
      </c>
      <c r="L20" s="282"/>
    </row>
    <row r="21" spans="1:16">
      <c r="A21" s="5" t="s">
        <v>768</v>
      </c>
      <c r="B21" s="5" t="s">
        <v>798</v>
      </c>
      <c r="C21" s="283" t="s">
        <v>793</v>
      </c>
      <c r="D21" s="278">
        <v>3200</v>
      </c>
      <c r="E21" s="279">
        <v>2</v>
      </c>
      <c r="F21" s="280"/>
      <c r="H21" s="284"/>
      <c r="I21" s="284"/>
      <c r="J21" s="284"/>
      <c r="K21" s="284"/>
      <c r="L21" s="284"/>
    </row>
    <row r="22" spans="1:16">
      <c r="A22" s="5" t="s">
        <v>774</v>
      </c>
      <c r="B22" s="5" t="s">
        <v>799</v>
      </c>
      <c r="C22" s="283" t="s">
        <v>794</v>
      </c>
      <c r="D22" s="278">
        <v>2400</v>
      </c>
      <c r="E22" s="279">
        <v>1</v>
      </c>
      <c r="F22" s="280"/>
    </row>
    <row r="23" spans="1:16">
      <c r="A23" s="5" t="s">
        <v>778</v>
      </c>
      <c r="B23" s="5" t="s">
        <v>800</v>
      </c>
      <c r="C23" s="283" t="s">
        <v>794</v>
      </c>
      <c r="D23" s="278">
        <v>2500</v>
      </c>
      <c r="E23" s="279">
        <v>0</v>
      </c>
      <c r="F23" s="280"/>
    </row>
    <row r="24" spans="1:16">
      <c r="A24" s="5" t="s">
        <v>772</v>
      </c>
      <c r="B24" s="5" t="s">
        <v>801</v>
      </c>
      <c r="C24" s="283" t="s">
        <v>792</v>
      </c>
      <c r="D24" s="278">
        <v>4100</v>
      </c>
      <c r="E24" s="279">
        <v>3</v>
      </c>
      <c r="F24" s="280"/>
    </row>
    <row r="25" spans="1:16">
      <c r="A25" s="5" t="s">
        <v>776</v>
      </c>
      <c r="B25" s="5" t="s">
        <v>802</v>
      </c>
      <c r="C25" s="283" t="s">
        <v>795</v>
      </c>
      <c r="D25" s="278">
        <v>1500</v>
      </c>
      <c r="E25" s="279">
        <v>1</v>
      </c>
      <c r="F25" s="280"/>
      <c r="G25" s="58"/>
      <c r="H25" s="58"/>
      <c r="I25" s="58"/>
      <c r="J25" s="58"/>
      <c r="K25" s="58"/>
    </row>
    <row r="26" spans="1:16">
      <c r="C26" s="58"/>
      <c r="G26" s="58"/>
      <c r="H26" s="58"/>
      <c r="I26" s="58"/>
      <c r="J26" s="58"/>
      <c r="K26" s="58"/>
    </row>
    <row r="27" spans="1:16">
      <c r="G27" s="282"/>
      <c r="H27" s="282"/>
      <c r="I27" s="282"/>
      <c r="J27" s="282"/>
      <c r="K27" s="282"/>
    </row>
    <row r="28" spans="1:16">
      <c r="G28" s="284"/>
      <c r="H28" s="284"/>
      <c r="I28" s="284"/>
      <c r="J28" s="284"/>
      <c r="K28" s="28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6"/>
  <sheetViews>
    <sheetView showGridLines="0" zoomScale="90" zoomScaleNormal="90" workbookViewId="0">
      <selection activeCell="C3" sqref="C3"/>
    </sheetView>
  </sheetViews>
  <sheetFormatPr defaultRowHeight="12.75"/>
  <cols>
    <col min="1" max="1" width="5.7109375" customWidth="1"/>
    <col min="2" max="2" width="14.28515625" customWidth="1"/>
    <col min="3" max="3" width="11.42578125" customWidth="1"/>
    <col min="4" max="4" width="17.28515625" customWidth="1"/>
    <col min="5" max="5" width="16.85546875" customWidth="1"/>
    <col min="6" max="6" width="25" bestFit="1" customWidth="1"/>
    <col min="7" max="8" width="26.140625" bestFit="1" customWidth="1"/>
    <col min="9" max="9" width="12.28515625" customWidth="1"/>
  </cols>
  <sheetData>
    <row r="2" spans="1:12">
      <c r="A2" s="34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>
      <c r="A3" s="34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>
      <c r="A4" s="34" t="s">
        <v>122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6" spans="1:12" ht="25.5">
      <c r="A6" s="69" t="s">
        <v>48</v>
      </c>
      <c r="B6" s="70" t="s">
        <v>123</v>
      </c>
      <c r="C6" s="70" t="s">
        <v>124</v>
      </c>
      <c r="D6" s="70" t="s">
        <v>125</v>
      </c>
      <c r="E6" s="70" t="s">
        <v>126</v>
      </c>
      <c r="F6" s="70" t="s">
        <v>127</v>
      </c>
      <c r="G6" s="70" t="s">
        <v>128</v>
      </c>
      <c r="H6" s="70" t="s">
        <v>129</v>
      </c>
      <c r="I6" s="70" t="s">
        <v>130</v>
      </c>
      <c r="J6" s="70" t="s">
        <v>131</v>
      </c>
      <c r="K6" s="70" t="s">
        <v>132</v>
      </c>
      <c r="L6" s="70" t="s">
        <v>133</v>
      </c>
    </row>
    <row r="7" spans="1:12">
      <c r="A7" s="5">
        <v>1</v>
      </c>
      <c r="B7" s="5" t="s">
        <v>134</v>
      </c>
      <c r="C7" s="5" t="s">
        <v>135</v>
      </c>
      <c r="D7" s="71" t="str">
        <f>VLOOKUP(LEFT(C7,2),$B$21:$E$23,2,0)&amp;" "&amp;IF(RIGHT(C7,1)="1","Baru","Lama")</f>
        <v>Indonesia Baru</v>
      </c>
      <c r="E7" s="5" t="s">
        <v>136</v>
      </c>
      <c r="F7" s="72">
        <v>38780</v>
      </c>
      <c r="G7" s="72">
        <f>IF(RIGHT(C7,1)="1",F7+2,F7+3)</f>
        <v>38782</v>
      </c>
      <c r="H7" s="72">
        <v>38784</v>
      </c>
      <c r="I7" s="73">
        <f>H7-G7</f>
        <v>2</v>
      </c>
      <c r="J7" s="71">
        <f>IF(RIGHT(C7,1)="1",VLOOKUP(LEFT(C7,2),$B$21:$E$23,4,0),VLOOKUP(LEFT(C7,2),$B$21:$E$23,3,0))</f>
        <v>7500</v>
      </c>
      <c r="K7" s="71">
        <f>IF(I7&lt;3,5000*I7,10000+(I7-2)*2000)</f>
        <v>10000</v>
      </c>
      <c r="L7" s="5">
        <f>J7+K7</f>
        <v>17500</v>
      </c>
    </row>
    <row r="8" spans="1:12">
      <c r="A8" s="5">
        <v>2</v>
      </c>
      <c r="B8" s="5" t="s">
        <v>137</v>
      </c>
      <c r="C8" s="5" t="s">
        <v>138</v>
      </c>
      <c r="D8" s="71" t="str">
        <f t="shared" ref="D8:D16" si="0">VLOOKUP(LEFT(C8,2),$B$21:$E$23,2,0)&amp;" "&amp;IF(RIGHT(C8,1)="1","Baru","Lama")</f>
        <v>Barat Baru</v>
      </c>
      <c r="E8" s="5" t="s">
        <v>139</v>
      </c>
      <c r="F8" s="72">
        <v>38780</v>
      </c>
      <c r="G8" s="72">
        <f t="shared" ref="G8:G16" si="1">IF(RIGHT(C8,1)="1",F8+2,F8+3)</f>
        <v>38782</v>
      </c>
      <c r="H8" s="72">
        <v>38785</v>
      </c>
      <c r="I8" s="73">
        <f t="shared" ref="I8:I16" si="2">H8-G8</f>
        <v>3</v>
      </c>
      <c r="J8" s="71">
        <f t="shared" ref="J8:J16" si="3">IF(RIGHT(C8,1)="1",VLOOKUP(LEFT(C8,2),$B$21:$E$23,4,0),VLOOKUP(LEFT(C8,2),$B$21:$E$23,3,0))</f>
        <v>10000</v>
      </c>
      <c r="K8" s="71">
        <f t="shared" ref="K8:K16" si="4">IF(I8&lt;3,5000*I8,10000+(I8-2)*2000)</f>
        <v>12000</v>
      </c>
      <c r="L8" s="5">
        <f t="shared" ref="L8:L16" si="5">J8+K8</f>
        <v>22000</v>
      </c>
    </row>
    <row r="9" spans="1:12">
      <c r="A9" s="5">
        <v>3</v>
      </c>
      <c r="B9" s="5" t="s">
        <v>140</v>
      </c>
      <c r="C9" s="5" t="s">
        <v>141</v>
      </c>
      <c r="D9" s="71" t="str">
        <f t="shared" si="0"/>
        <v>Mandarin Baru</v>
      </c>
      <c r="E9" s="5" t="s">
        <v>142</v>
      </c>
      <c r="F9" s="72">
        <v>38781</v>
      </c>
      <c r="G9" s="72">
        <f t="shared" si="1"/>
        <v>38783</v>
      </c>
      <c r="H9" s="72">
        <v>38785</v>
      </c>
      <c r="I9" s="73">
        <f t="shared" si="2"/>
        <v>2</v>
      </c>
      <c r="J9" s="71">
        <f t="shared" si="3"/>
        <v>8000</v>
      </c>
      <c r="K9" s="71">
        <f t="shared" si="4"/>
        <v>10000</v>
      </c>
      <c r="L9" s="5">
        <f t="shared" si="5"/>
        <v>18000</v>
      </c>
    </row>
    <row r="10" spans="1:12">
      <c r="A10" s="5">
        <v>4</v>
      </c>
      <c r="B10" s="5" t="s">
        <v>143</v>
      </c>
      <c r="C10" s="5" t="s">
        <v>144</v>
      </c>
      <c r="D10" s="71" t="str">
        <f t="shared" si="0"/>
        <v>Mandarin Lama</v>
      </c>
      <c r="E10" s="5" t="s">
        <v>145</v>
      </c>
      <c r="F10" s="72">
        <v>38782</v>
      </c>
      <c r="G10" s="72">
        <f t="shared" si="1"/>
        <v>38785</v>
      </c>
      <c r="H10" s="72">
        <v>38790</v>
      </c>
      <c r="I10" s="73">
        <f t="shared" si="2"/>
        <v>5</v>
      </c>
      <c r="J10" s="71">
        <f t="shared" si="3"/>
        <v>7500</v>
      </c>
      <c r="K10" s="71">
        <f t="shared" si="4"/>
        <v>16000</v>
      </c>
      <c r="L10" s="5">
        <f t="shared" si="5"/>
        <v>23500</v>
      </c>
    </row>
    <row r="11" spans="1:12">
      <c r="A11" s="5">
        <v>5</v>
      </c>
      <c r="B11" s="5" t="s">
        <v>146</v>
      </c>
      <c r="C11" s="5" t="s">
        <v>147</v>
      </c>
      <c r="D11" s="71" t="str">
        <f t="shared" si="0"/>
        <v>Barat Lama</v>
      </c>
      <c r="E11" s="5" t="s">
        <v>148</v>
      </c>
      <c r="F11" s="72">
        <v>38782</v>
      </c>
      <c r="G11" s="72">
        <f t="shared" si="1"/>
        <v>38785</v>
      </c>
      <c r="H11" s="72">
        <v>38785</v>
      </c>
      <c r="I11" s="73">
        <f t="shared" si="2"/>
        <v>0</v>
      </c>
      <c r="J11" s="71">
        <f t="shared" si="3"/>
        <v>9000</v>
      </c>
      <c r="K11" s="71">
        <f t="shared" si="4"/>
        <v>0</v>
      </c>
      <c r="L11" s="5">
        <f t="shared" si="5"/>
        <v>9000</v>
      </c>
    </row>
    <row r="12" spans="1:12">
      <c r="A12" s="5">
        <v>6</v>
      </c>
      <c r="B12" s="5" t="s">
        <v>149</v>
      </c>
      <c r="C12" s="5" t="s">
        <v>147</v>
      </c>
      <c r="D12" s="71" t="str">
        <f t="shared" si="0"/>
        <v>Barat Lama</v>
      </c>
      <c r="E12" s="5" t="s">
        <v>150</v>
      </c>
      <c r="F12" s="72">
        <v>38784</v>
      </c>
      <c r="G12" s="72">
        <f t="shared" si="1"/>
        <v>38787</v>
      </c>
      <c r="H12" s="72">
        <v>38787</v>
      </c>
      <c r="I12" s="73">
        <f t="shared" si="2"/>
        <v>0</v>
      </c>
      <c r="J12" s="71">
        <f t="shared" si="3"/>
        <v>9000</v>
      </c>
      <c r="K12" s="71">
        <f t="shared" si="4"/>
        <v>0</v>
      </c>
      <c r="L12" s="5">
        <f t="shared" si="5"/>
        <v>9000</v>
      </c>
    </row>
    <row r="13" spans="1:12">
      <c r="A13" s="5">
        <v>7</v>
      </c>
      <c r="B13" s="5" t="s">
        <v>151</v>
      </c>
      <c r="C13" s="5" t="s">
        <v>152</v>
      </c>
      <c r="D13" s="71" t="str">
        <f t="shared" si="0"/>
        <v>Indonesia Lama</v>
      </c>
      <c r="E13" s="5" t="s">
        <v>153</v>
      </c>
      <c r="F13" s="72">
        <v>38785</v>
      </c>
      <c r="G13" s="72">
        <f t="shared" si="1"/>
        <v>38788</v>
      </c>
      <c r="H13" s="72">
        <v>38789</v>
      </c>
      <c r="I13" s="73">
        <f t="shared" si="2"/>
        <v>1</v>
      </c>
      <c r="J13" s="71">
        <f t="shared" si="3"/>
        <v>7000</v>
      </c>
      <c r="K13" s="71">
        <f t="shared" si="4"/>
        <v>5000</v>
      </c>
      <c r="L13" s="5">
        <f t="shared" si="5"/>
        <v>12000</v>
      </c>
    </row>
    <row r="14" spans="1:12">
      <c r="A14" s="5">
        <v>8</v>
      </c>
      <c r="B14" s="5" t="s">
        <v>154</v>
      </c>
      <c r="C14" s="5" t="s">
        <v>138</v>
      </c>
      <c r="D14" s="71" t="str">
        <f t="shared" si="0"/>
        <v>Barat Baru</v>
      </c>
      <c r="E14" s="5" t="s">
        <v>155</v>
      </c>
      <c r="F14" s="72">
        <v>38787</v>
      </c>
      <c r="G14" s="72">
        <f t="shared" si="1"/>
        <v>38789</v>
      </c>
      <c r="H14" s="72">
        <v>38791</v>
      </c>
      <c r="I14" s="73">
        <f t="shared" si="2"/>
        <v>2</v>
      </c>
      <c r="J14" s="71">
        <f t="shared" si="3"/>
        <v>10000</v>
      </c>
      <c r="K14" s="71">
        <f t="shared" si="4"/>
        <v>10000</v>
      </c>
      <c r="L14" s="5">
        <f t="shared" si="5"/>
        <v>20000</v>
      </c>
    </row>
    <row r="15" spans="1:12">
      <c r="A15" s="5">
        <v>9</v>
      </c>
      <c r="B15" s="5" t="s">
        <v>156</v>
      </c>
      <c r="C15" s="5" t="s">
        <v>144</v>
      </c>
      <c r="D15" s="71" t="str">
        <f t="shared" si="0"/>
        <v>Mandarin Lama</v>
      </c>
      <c r="E15" s="5" t="s">
        <v>157</v>
      </c>
      <c r="F15" s="72">
        <v>38787</v>
      </c>
      <c r="G15" s="72">
        <f t="shared" si="1"/>
        <v>38790</v>
      </c>
      <c r="H15" s="72">
        <v>38791</v>
      </c>
      <c r="I15" s="73">
        <f t="shared" si="2"/>
        <v>1</v>
      </c>
      <c r="J15" s="71">
        <f t="shared" si="3"/>
        <v>7500</v>
      </c>
      <c r="K15" s="71">
        <f t="shared" si="4"/>
        <v>5000</v>
      </c>
      <c r="L15" s="5">
        <f t="shared" si="5"/>
        <v>12500</v>
      </c>
    </row>
    <row r="16" spans="1:12">
      <c r="A16" s="5">
        <v>10</v>
      </c>
      <c r="B16" s="5" t="s">
        <v>158</v>
      </c>
      <c r="C16" s="5" t="s">
        <v>138</v>
      </c>
      <c r="D16" s="71" t="str">
        <f t="shared" si="0"/>
        <v>Barat Baru</v>
      </c>
      <c r="E16" s="5" t="s">
        <v>159</v>
      </c>
      <c r="F16" s="72">
        <v>38789</v>
      </c>
      <c r="G16" s="72">
        <f t="shared" si="1"/>
        <v>38791</v>
      </c>
      <c r="H16" s="72">
        <v>38796</v>
      </c>
      <c r="I16" s="73">
        <f t="shared" si="2"/>
        <v>5</v>
      </c>
      <c r="J16" s="71">
        <f t="shared" si="3"/>
        <v>10000</v>
      </c>
      <c r="K16" s="71">
        <f t="shared" si="4"/>
        <v>16000</v>
      </c>
      <c r="L16" s="5">
        <f t="shared" si="5"/>
        <v>26000</v>
      </c>
    </row>
    <row r="17" spans="1:12">
      <c r="A17" s="285" t="s">
        <v>51</v>
      </c>
      <c r="B17" s="286"/>
      <c r="C17" s="286"/>
      <c r="D17" s="286"/>
      <c r="E17" s="286"/>
      <c r="F17" s="286"/>
      <c r="G17" s="286"/>
      <c r="H17" s="286"/>
      <c r="I17" s="286"/>
      <c r="J17" s="287"/>
      <c r="K17" s="5">
        <f>SUM(K7:K16)</f>
        <v>84000</v>
      </c>
      <c r="L17" s="5">
        <f>SUM(L7:L16)</f>
        <v>169500</v>
      </c>
    </row>
    <row r="18" spans="1:12">
      <c r="A18" s="58"/>
      <c r="B18" s="58"/>
      <c r="C18" s="58"/>
      <c r="D18" s="74"/>
      <c r="E18" s="58"/>
      <c r="F18" s="58"/>
      <c r="G18" s="58"/>
      <c r="H18" s="58"/>
      <c r="I18" s="58"/>
      <c r="J18" s="58"/>
      <c r="K18" s="58"/>
      <c r="L18" s="58"/>
    </row>
    <row r="19" spans="1:12">
      <c r="B19" s="5" t="s">
        <v>28</v>
      </c>
      <c r="C19" s="5"/>
      <c r="D19" s="5" t="s">
        <v>160</v>
      </c>
      <c r="E19" s="5"/>
    </row>
    <row r="20" spans="1:12">
      <c r="B20" s="5" t="s">
        <v>124</v>
      </c>
      <c r="C20" s="5" t="s">
        <v>161</v>
      </c>
      <c r="D20" s="5" t="s">
        <v>162</v>
      </c>
      <c r="E20" s="5" t="s">
        <v>163</v>
      </c>
    </row>
    <row r="21" spans="1:12">
      <c r="B21" s="5" t="s">
        <v>164</v>
      </c>
      <c r="C21" s="5" t="s">
        <v>165</v>
      </c>
      <c r="D21" s="5">
        <v>9000</v>
      </c>
      <c r="E21" s="5">
        <v>10000</v>
      </c>
    </row>
    <row r="22" spans="1:12">
      <c r="B22" s="5" t="s">
        <v>166</v>
      </c>
      <c r="C22" s="5" t="s">
        <v>167</v>
      </c>
      <c r="D22" s="5">
        <v>7000</v>
      </c>
      <c r="E22" s="5">
        <v>7500</v>
      </c>
    </row>
    <row r="23" spans="1:12">
      <c r="B23" s="5" t="s">
        <v>168</v>
      </c>
      <c r="C23" s="5" t="s">
        <v>169</v>
      </c>
      <c r="D23" s="5">
        <v>7500</v>
      </c>
      <c r="E23" s="5">
        <v>8000</v>
      </c>
    </row>
    <row r="25" spans="1:12">
      <c r="B25" t="s">
        <v>170</v>
      </c>
    </row>
    <row r="26" spans="1:12">
      <c r="B26" s="36" t="s">
        <v>50</v>
      </c>
      <c r="C26" s="29" t="s">
        <v>125</v>
      </c>
    </row>
    <row r="27" spans="1:12">
      <c r="C27" t="s">
        <v>171</v>
      </c>
    </row>
    <row r="28" spans="1:12">
      <c r="C28" t="s">
        <v>172</v>
      </c>
      <c r="I28" s="75" t="s">
        <v>173</v>
      </c>
    </row>
    <row r="29" spans="1:12">
      <c r="B29" s="36" t="s">
        <v>50</v>
      </c>
      <c r="C29" s="29" t="s">
        <v>128</v>
      </c>
    </row>
    <row r="30" spans="1:12">
      <c r="C30" t="s">
        <v>174</v>
      </c>
    </row>
    <row r="31" spans="1:12">
      <c r="C31" t="s">
        <v>175</v>
      </c>
    </row>
    <row r="32" spans="1:12">
      <c r="B32" s="36" t="s">
        <v>50</v>
      </c>
      <c r="C32" s="29" t="s">
        <v>176</v>
      </c>
    </row>
    <row r="33" spans="2:9">
      <c r="B33" s="36" t="s">
        <v>50</v>
      </c>
      <c r="C33" s="29" t="s">
        <v>177</v>
      </c>
      <c r="I33" s="76" t="s">
        <v>178</v>
      </c>
    </row>
    <row r="34" spans="2:9">
      <c r="B34" s="36" t="s">
        <v>50</v>
      </c>
      <c r="C34" s="29" t="s">
        <v>179</v>
      </c>
      <c r="I34" s="76" t="s">
        <v>180</v>
      </c>
    </row>
    <row r="35" spans="2:9">
      <c r="B35" s="36" t="s">
        <v>50</v>
      </c>
      <c r="C35" s="29" t="s">
        <v>181</v>
      </c>
    </row>
    <row r="36" spans="2:9">
      <c r="C36" s="29" t="s">
        <v>182</v>
      </c>
    </row>
  </sheetData>
  <mergeCells count="1">
    <mergeCell ref="A17:J17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4"/>
  <sheetViews>
    <sheetView showGridLines="0" workbookViewId="0">
      <selection activeCell="D1" sqref="D1"/>
    </sheetView>
  </sheetViews>
  <sheetFormatPr defaultRowHeight="12.75"/>
  <cols>
    <col min="3" max="3" width="11.28515625" bestFit="1" customWidth="1"/>
    <col min="4" max="4" width="16.28515625" bestFit="1" customWidth="1"/>
    <col min="5" max="5" width="9.85546875" bestFit="1" customWidth="1"/>
    <col min="6" max="6" width="14.28515625" customWidth="1"/>
    <col min="7" max="7" width="12.28515625" bestFit="1" customWidth="1"/>
    <col min="8" max="8" width="8.42578125" customWidth="1"/>
    <col min="9" max="9" width="12.85546875" bestFit="1" customWidth="1"/>
    <col min="11" max="11" width="9.85546875" customWidth="1"/>
    <col min="12" max="12" width="10.28515625" bestFit="1" customWidth="1"/>
    <col min="14" max="14" width="10.28515625" bestFit="1" customWidth="1"/>
  </cols>
  <sheetData>
    <row r="2" spans="2:14" ht="2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4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4" ht="13.5" thickBot="1">
      <c r="D4" s="5" t="s">
        <v>183</v>
      </c>
      <c r="E4" s="5">
        <v>550000</v>
      </c>
      <c r="F4" s="6">
        <v>39086</v>
      </c>
      <c r="G4" s="7">
        <v>39092</v>
      </c>
      <c r="H4" s="8" t="s">
        <v>184</v>
      </c>
      <c r="I4" s="9">
        <v>3300000</v>
      </c>
      <c r="J4" s="5">
        <v>27500</v>
      </c>
      <c r="K4" s="5">
        <v>165000</v>
      </c>
      <c r="L4" s="10">
        <v>3162500</v>
      </c>
    </row>
    <row r="5" spans="2:14" ht="25.5">
      <c r="B5" s="30" t="s">
        <v>2</v>
      </c>
      <c r="C5" s="31" t="s">
        <v>3</v>
      </c>
      <c r="D5" s="31" t="s">
        <v>4</v>
      </c>
      <c r="E5" s="31" t="s">
        <v>5</v>
      </c>
      <c r="F5" s="31" t="s">
        <v>6</v>
      </c>
      <c r="G5" s="31" t="s">
        <v>7</v>
      </c>
      <c r="H5" s="31" t="s">
        <v>8</v>
      </c>
      <c r="I5" s="31" t="s">
        <v>9</v>
      </c>
      <c r="J5" s="31" t="s">
        <v>10</v>
      </c>
      <c r="K5" s="31" t="s">
        <v>11</v>
      </c>
      <c r="L5" s="32" t="s">
        <v>12</v>
      </c>
    </row>
    <row r="6" spans="2:14">
      <c r="B6" s="3" t="s">
        <v>16</v>
      </c>
      <c r="C6" s="4" t="s">
        <v>19</v>
      </c>
      <c r="D6" s="5" t="str">
        <f>VLOOKUP(LEFT(B6,3),$B$19:$E$21,4,0)&amp; " " &amp;IF(RIGHT(B6,1)="1","Singgle","Double")</f>
        <v>Eksekutif Singgle</v>
      </c>
      <c r="E6" s="5">
        <f>IF(RIGHT(B6,1)="1",VLOOKUP(LEFT(B6,3),$B$19:$E$21,2,0),VLOOKUP(LEFT(B6,3),$B$19:$E$21,3,0))</f>
        <v>550000</v>
      </c>
      <c r="F6" s="6">
        <v>39086</v>
      </c>
      <c r="G6" s="7">
        <v>39092</v>
      </c>
      <c r="H6" s="8" t="str">
        <f>G6-F6&amp; " hari"</f>
        <v>6 hari</v>
      </c>
      <c r="I6" s="9">
        <f>E6*LEFT(H6,1)</f>
        <v>3300000</v>
      </c>
      <c r="J6" s="5">
        <f>IF(RIGHT(B6,1)="1",I6*0.05,I6*0.1)</f>
        <v>165000</v>
      </c>
      <c r="K6" s="5">
        <f>IF(VALUE(LEFT(H6,2))&gt;10,I6*0.05,IF(VALUE(LEFT(H6,2))&gt;=6,I6*0.03,0))</f>
        <v>99000</v>
      </c>
      <c r="L6" s="10">
        <f>I6+J6-K6</f>
        <v>3366000</v>
      </c>
    </row>
    <row r="7" spans="2:14">
      <c r="B7" s="3" t="s">
        <v>13</v>
      </c>
      <c r="C7" s="4" t="s">
        <v>20</v>
      </c>
      <c r="D7" s="5" t="str">
        <f t="shared" ref="D7:D14" si="0">VLOOKUP(LEFT(B7,3),$B$19:$E$21,4,0)&amp; " " &amp;IF(RIGHT(B7,1)="1","Singgle","Double")</f>
        <v>Ekonomi Double</v>
      </c>
      <c r="E7" s="5">
        <f t="shared" ref="E7:E14" si="1">IF(RIGHT(B7,1)="1",VLOOKUP(LEFT(B7,3),$B$19:$E$21,2,0),VLOOKUP(LEFT(B7,3),$B$19:$E$21,3,0))</f>
        <v>400000</v>
      </c>
      <c r="F7" s="6">
        <v>39117</v>
      </c>
      <c r="G7" s="7">
        <v>39121</v>
      </c>
      <c r="H7" s="8" t="str">
        <f t="shared" ref="H7:H14" si="2">G7-F7&amp; " hari"</f>
        <v>4 hari</v>
      </c>
      <c r="I7" s="9">
        <f t="shared" ref="I7:I14" si="3">E7*LEFT(H7,1)</f>
        <v>1600000</v>
      </c>
      <c r="J7" s="5">
        <f t="shared" ref="J7:J14" si="4">IF(RIGHT(B7,1)="1",I7*0.05,I7*0.1)</f>
        <v>160000</v>
      </c>
      <c r="K7" s="5">
        <f t="shared" ref="K7:K14" si="5">IF(VALUE(LEFT(H7,2))&gt;10,I7*0.05,IF(VALUE(LEFT(H7,2))&gt;=6,I7*0.03,0))</f>
        <v>0</v>
      </c>
      <c r="L7" s="10">
        <f t="shared" ref="L7:L14" si="6">I7+J7-K7</f>
        <v>1760000</v>
      </c>
      <c r="N7" s="106"/>
    </row>
    <row r="8" spans="2:14">
      <c r="B8" s="3" t="s">
        <v>14</v>
      </c>
      <c r="C8" s="4" t="s">
        <v>21</v>
      </c>
      <c r="D8" s="5" t="str">
        <f t="shared" si="0"/>
        <v>Mewah Singgle</v>
      </c>
      <c r="E8" s="5">
        <f t="shared" si="1"/>
        <v>800000</v>
      </c>
      <c r="F8" s="6">
        <v>39115</v>
      </c>
      <c r="G8" s="7">
        <v>39128</v>
      </c>
      <c r="H8" s="8" t="str">
        <f t="shared" si="2"/>
        <v>13 hari</v>
      </c>
      <c r="I8" s="9">
        <f t="shared" si="3"/>
        <v>800000</v>
      </c>
      <c r="J8" s="5">
        <f t="shared" si="4"/>
        <v>40000</v>
      </c>
      <c r="K8" s="5">
        <f t="shared" si="5"/>
        <v>40000</v>
      </c>
      <c r="L8" s="10">
        <f t="shared" si="6"/>
        <v>800000</v>
      </c>
    </row>
    <row r="9" spans="2:14">
      <c r="B9" s="3" t="s">
        <v>13</v>
      </c>
      <c r="C9" s="4" t="s">
        <v>22</v>
      </c>
      <c r="D9" s="5" t="str">
        <f t="shared" si="0"/>
        <v>Ekonomi Double</v>
      </c>
      <c r="E9" s="5">
        <f t="shared" si="1"/>
        <v>400000</v>
      </c>
      <c r="F9" s="6">
        <v>39084</v>
      </c>
      <c r="G9" s="7">
        <v>39087</v>
      </c>
      <c r="H9" s="8" t="str">
        <f t="shared" si="2"/>
        <v>3 hari</v>
      </c>
      <c r="I9" s="9">
        <f t="shared" si="3"/>
        <v>1200000</v>
      </c>
      <c r="J9" s="5">
        <f t="shared" si="4"/>
        <v>120000</v>
      </c>
      <c r="K9" s="5">
        <f t="shared" si="5"/>
        <v>0</v>
      </c>
      <c r="L9" s="10">
        <f t="shared" si="6"/>
        <v>1320000</v>
      </c>
    </row>
    <row r="10" spans="2:14">
      <c r="B10" s="3" t="s">
        <v>15</v>
      </c>
      <c r="C10" s="4" t="s">
        <v>23</v>
      </c>
      <c r="D10" s="5" t="str">
        <f t="shared" si="0"/>
        <v>Mewah Double</v>
      </c>
      <c r="E10" s="5">
        <f t="shared" si="1"/>
        <v>900000</v>
      </c>
      <c r="F10" s="6">
        <v>39084</v>
      </c>
      <c r="G10" s="7">
        <v>39090</v>
      </c>
      <c r="H10" s="8" t="str">
        <f t="shared" si="2"/>
        <v>6 hari</v>
      </c>
      <c r="I10" s="9">
        <f t="shared" si="3"/>
        <v>5400000</v>
      </c>
      <c r="J10" s="5">
        <f t="shared" si="4"/>
        <v>540000</v>
      </c>
      <c r="K10" s="5">
        <f t="shared" si="5"/>
        <v>162000</v>
      </c>
      <c r="L10" s="10">
        <f t="shared" si="6"/>
        <v>5778000</v>
      </c>
    </row>
    <row r="11" spans="2:14">
      <c r="B11" s="3" t="s">
        <v>16</v>
      </c>
      <c r="C11" s="4" t="s">
        <v>24</v>
      </c>
      <c r="D11" s="5" t="str">
        <f t="shared" si="0"/>
        <v>Eksekutif Singgle</v>
      </c>
      <c r="E11" s="5">
        <f t="shared" si="1"/>
        <v>550000</v>
      </c>
      <c r="F11" s="6">
        <v>39087</v>
      </c>
      <c r="G11" s="7">
        <v>39092</v>
      </c>
      <c r="H11" s="8" t="str">
        <f t="shared" si="2"/>
        <v>5 hari</v>
      </c>
      <c r="I11" s="9">
        <f t="shared" si="3"/>
        <v>2750000</v>
      </c>
      <c r="J11" s="5">
        <f t="shared" si="4"/>
        <v>137500</v>
      </c>
      <c r="K11" s="5">
        <f t="shared" si="5"/>
        <v>0</v>
      </c>
      <c r="L11" s="10">
        <f t="shared" si="6"/>
        <v>2887500</v>
      </c>
    </row>
    <row r="12" spans="2:14">
      <c r="B12" s="3" t="s">
        <v>17</v>
      </c>
      <c r="C12" s="4" t="s">
        <v>25</v>
      </c>
      <c r="D12" s="5" t="str">
        <f t="shared" si="0"/>
        <v>Ekonomi Singgle</v>
      </c>
      <c r="E12" s="5">
        <f t="shared" si="1"/>
        <v>300000</v>
      </c>
      <c r="F12" s="6">
        <v>39087</v>
      </c>
      <c r="G12" s="7">
        <v>39098</v>
      </c>
      <c r="H12" s="8" t="str">
        <f t="shared" si="2"/>
        <v>11 hari</v>
      </c>
      <c r="I12" s="9">
        <f t="shared" si="3"/>
        <v>300000</v>
      </c>
      <c r="J12" s="5">
        <f t="shared" si="4"/>
        <v>15000</v>
      </c>
      <c r="K12" s="5">
        <f t="shared" si="5"/>
        <v>15000</v>
      </c>
      <c r="L12" s="10">
        <f t="shared" si="6"/>
        <v>300000</v>
      </c>
    </row>
    <row r="13" spans="2:14">
      <c r="B13" s="3" t="s">
        <v>18</v>
      </c>
      <c r="C13" s="4" t="s">
        <v>26</v>
      </c>
      <c r="D13" s="5" t="str">
        <f t="shared" si="0"/>
        <v>Eksekutif Double</v>
      </c>
      <c r="E13" s="5">
        <f t="shared" si="1"/>
        <v>650000</v>
      </c>
      <c r="F13" s="6">
        <v>39114</v>
      </c>
      <c r="G13" s="7">
        <v>39116</v>
      </c>
      <c r="H13" s="8" t="str">
        <f t="shared" si="2"/>
        <v>2 hari</v>
      </c>
      <c r="I13" s="9">
        <f t="shared" si="3"/>
        <v>1300000</v>
      </c>
      <c r="J13" s="5">
        <f t="shared" si="4"/>
        <v>130000</v>
      </c>
      <c r="K13" s="5">
        <f t="shared" si="5"/>
        <v>0</v>
      </c>
      <c r="L13" s="10">
        <f t="shared" si="6"/>
        <v>1430000</v>
      </c>
    </row>
    <row r="14" spans="2:14" ht="13.5" thickBot="1">
      <c r="B14" s="11" t="s">
        <v>14</v>
      </c>
      <c r="C14" s="12" t="s">
        <v>27</v>
      </c>
      <c r="D14" s="5" t="str">
        <f t="shared" si="0"/>
        <v>Mewah Singgle</v>
      </c>
      <c r="E14" s="5">
        <f t="shared" si="1"/>
        <v>800000</v>
      </c>
      <c r="F14" s="14">
        <v>39102</v>
      </c>
      <c r="G14" s="15">
        <v>39105</v>
      </c>
      <c r="H14" s="8" t="str">
        <f t="shared" si="2"/>
        <v>3 hari</v>
      </c>
      <c r="I14" s="9">
        <f t="shared" si="3"/>
        <v>2400000</v>
      </c>
      <c r="J14" s="5">
        <f t="shared" si="4"/>
        <v>120000</v>
      </c>
      <c r="K14" s="5">
        <f t="shared" si="5"/>
        <v>0</v>
      </c>
      <c r="L14" s="10">
        <f t="shared" si="6"/>
        <v>2520000</v>
      </c>
    </row>
    <row r="17" spans="2:5" ht="13.5" thickBot="1">
      <c r="B17" s="29" t="s">
        <v>28</v>
      </c>
    </row>
    <row r="18" spans="2:5" ht="26.25" thickTop="1">
      <c r="B18" s="26" t="s">
        <v>2</v>
      </c>
      <c r="C18" s="27" t="s">
        <v>31</v>
      </c>
      <c r="D18" s="27" t="s">
        <v>32</v>
      </c>
      <c r="E18" s="28" t="s">
        <v>4</v>
      </c>
    </row>
    <row r="19" spans="2:5">
      <c r="B19" s="23" t="s">
        <v>29</v>
      </c>
      <c r="C19" s="24">
        <v>300000</v>
      </c>
      <c r="D19" s="24">
        <v>400000</v>
      </c>
      <c r="E19" s="25" t="s">
        <v>33</v>
      </c>
    </row>
    <row r="20" spans="2:5">
      <c r="B20" s="17" t="s">
        <v>36</v>
      </c>
      <c r="C20" s="18">
        <v>550000</v>
      </c>
      <c r="D20" s="18">
        <v>650000</v>
      </c>
      <c r="E20" s="19" t="s">
        <v>34</v>
      </c>
    </row>
    <row r="21" spans="2:5" ht="13.5" thickBot="1">
      <c r="B21" s="20" t="s">
        <v>30</v>
      </c>
      <c r="C21" s="21">
        <v>800000</v>
      </c>
      <c r="D21" s="21">
        <v>900000</v>
      </c>
      <c r="E21" s="22" t="s">
        <v>35</v>
      </c>
    </row>
    <row r="22" spans="2:5" ht="13.5" thickTop="1"/>
    <row r="23" spans="2:5">
      <c r="B23" s="33" t="s">
        <v>37</v>
      </c>
    </row>
    <row r="24" spans="2:5">
      <c r="B24" t="s">
        <v>38</v>
      </c>
    </row>
    <row r="25" spans="2:5">
      <c r="B25" t="s">
        <v>39</v>
      </c>
    </row>
    <row r="27" spans="2:5">
      <c r="B27" s="33" t="s">
        <v>40</v>
      </c>
    </row>
    <row r="28" spans="2:5">
      <c r="B28" s="29" t="s">
        <v>42</v>
      </c>
    </row>
    <row r="29" spans="2:5">
      <c r="B29" s="29" t="s">
        <v>43</v>
      </c>
    </row>
    <row r="30" spans="2:5">
      <c r="B30" s="29" t="s">
        <v>44</v>
      </c>
    </row>
    <row r="31" spans="2:5">
      <c r="B31" s="29" t="s">
        <v>45</v>
      </c>
    </row>
    <row r="32" spans="2:5">
      <c r="B32" s="29" t="s">
        <v>46</v>
      </c>
    </row>
    <row r="33" spans="2:2">
      <c r="B33" s="29" t="s">
        <v>47</v>
      </c>
    </row>
    <row r="34" spans="2:2">
      <c r="B34" t="s">
        <v>41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N62"/>
  <sheetViews>
    <sheetView workbookViewId="0">
      <selection activeCell="H12" sqref="H12"/>
    </sheetView>
  </sheetViews>
  <sheetFormatPr defaultRowHeight="12.75"/>
  <cols>
    <col min="3" max="3" width="12.85546875" bestFit="1" customWidth="1"/>
    <col min="5" max="5" width="13.85546875" bestFit="1" customWidth="1"/>
    <col min="6" max="6" width="9.42578125" bestFit="1" customWidth="1"/>
    <col min="7" max="7" width="11" bestFit="1" customWidth="1"/>
    <col min="8" max="8" width="13.5703125" customWidth="1"/>
    <col min="9" max="9" width="13.7109375" bestFit="1" customWidth="1"/>
    <col min="10" max="10" width="15.28515625" bestFit="1" customWidth="1"/>
    <col min="12" max="12" width="16.28515625" bestFit="1" customWidth="1"/>
    <col min="13" max="13" width="15.28515625" bestFit="1" customWidth="1"/>
    <col min="14" max="14" width="16.28515625" bestFit="1" customWidth="1"/>
  </cols>
  <sheetData>
    <row r="7" spans="2:14" ht="20.25">
      <c r="B7" s="77" t="s">
        <v>185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2:14">
      <c r="B8" s="78" t="s">
        <v>186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10" spans="2:14" ht="13.5" thickBot="1">
      <c r="D10" s="5" t="s">
        <v>202</v>
      </c>
      <c r="E10" s="5" t="s">
        <v>203</v>
      </c>
      <c r="F10" s="83">
        <v>37378</v>
      </c>
      <c r="G10" s="83">
        <v>37480</v>
      </c>
      <c r="H10" s="99">
        <v>96</v>
      </c>
      <c r="I10" s="84">
        <v>14400000</v>
      </c>
      <c r="J10" s="85">
        <v>7200000</v>
      </c>
      <c r="K10" s="5">
        <v>700000</v>
      </c>
      <c r="L10" s="85">
        <v>22300000</v>
      </c>
      <c r="M10" s="85">
        <v>2230000</v>
      </c>
      <c r="N10" s="86">
        <v>24530000</v>
      </c>
    </row>
    <row r="11" spans="2:14" ht="45">
      <c r="B11" s="79" t="s">
        <v>187</v>
      </c>
      <c r="C11" s="80" t="s">
        <v>188</v>
      </c>
      <c r="D11" s="80" t="s">
        <v>189</v>
      </c>
      <c r="E11" s="80" t="s">
        <v>190</v>
      </c>
      <c r="F11" s="80" t="s">
        <v>191</v>
      </c>
      <c r="G11" s="80" t="s">
        <v>192</v>
      </c>
      <c r="H11" s="80" t="s">
        <v>193</v>
      </c>
      <c r="I11" s="80" t="s">
        <v>194</v>
      </c>
      <c r="J11" s="80" t="s">
        <v>195</v>
      </c>
      <c r="K11" s="80" t="s">
        <v>196</v>
      </c>
      <c r="L11" s="80" t="s">
        <v>197</v>
      </c>
      <c r="M11" s="80" t="s">
        <v>198</v>
      </c>
      <c r="N11" s="81" t="s">
        <v>199</v>
      </c>
    </row>
    <row r="12" spans="2:14">
      <c r="B12" s="82" t="s">
        <v>200</v>
      </c>
      <c r="C12" s="8" t="s">
        <v>201</v>
      </c>
      <c r="D12" s="5" t="str">
        <f>VLOOKUP(LEFT(C12,1),$B$30:$F$33,2,0)</f>
        <v>Kelas I</v>
      </c>
      <c r="E12" s="5" t="str">
        <f>HLOOKUP(MID(C12,12,1),$J$29:$L$30,2,0)&amp; " " &amp;IF(RIGHT(C12,1)="B","Berat", "Ringan")</f>
        <v>Internis Berat</v>
      </c>
      <c r="F12" s="83">
        <f>DATEVALUE(MID(C12,3,8))</f>
        <v>37384</v>
      </c>
      <c r="G12" s="83">
        <v>37480</v>
      </c>
      <c r="H12" s="99">
        <f>G12-F12</f>
        <v>96</v>
      </c>
      <c r="I12" s="84">
        <f>VLOOKUP(LEFT(C12,1),$B$30:$F$33,3,0) *H12</f>
        <v>14400000</v>
      </c>
      <c r="J12" s="85">
        <f>IF(RIGHT(C12,1)="B",VLOOKUP(LEFT(C12,1),$B$30:$F$33,4,0),VLOOKUP(LEFT(C12,1),$B$30:$F$33,5,0))*H12</f>
        <v>7200000</v>
      </c>
      <c r="K12" s="5">
        <v>700000</v>
      </c>
      <c r="L12" s="85">
        <f>I12+J12+K12</f>
        <v>22300000</v>
      </c>
      <c r="M12" s="85">
        <f>L12*0.1</f>
        <v>2230000</v>
      </c>
      <c r="N12" s="86">
        <f>L12+M12</f>
        <v>24530000</v>
      </c>
    </row>
    <row r="13" spans="2:14">
      <c r="B13" s="82" t="s">
        <v>204</v>
      </c>
      <c r="C13" s="8" t="s">
        <v>205</v>
      </c>
      <c r="D13" s="5" t="str">
        <f t="shared" ref="D13:D21" si="0">VLOOKUP(LEFT(C13,1),$B$30:$F$33,2,0)</f>
        <v>Kelas II</v>
      </c>
      <c r="E13" s="5" t="str">
        <f t="shared" ref="E13:E21" si="1">HLOOKUP(MID(C13,12,1),$J$29:$L$30,2,0)&amp; " " &amp;IF(RIGHT(C13,1)="B","Berat", "Ringan")</f>
        <v>Internis Ringan</v>
      </c>
      <c r="F13" s="83">
        <f t="shared" ref="F13:F21" si="2">DATEVALUE(MID(C13,3,8))</f>
        <v>37473</v>
      </c>
      <c r="G13" s="83">
        <v>37477</v>
      </c>
      <c r="H13" s="99">
        <f t="shared" ref="H13:H21" si="3">G13-F13</f>
        <v>4</v>
      </c>
      <c r="I13" s="84">
        <f t="shared" ref="I13:I21" si="4">VLOOKUP(LEFT(C13,1),$B$30:$F$33,3,0) *H13</f>
        <v>400000</v>
      </c>
      <c r="J13" s="85">
        <f t="shared" ref="J13:J21" si="5">IF(RIGHT(C13,1)="B",VLOOKUP(LEFT(C13,1),$B$30:$F$33,4,0),VLOOKUP(LEFT(C13,1),$B$30:$F$33,5,0))*H13</f>
        <v>120000</v>
      </c>
      <c r="K13" s="5">
        <v>325000</v>
      </c>
      <c r="L13" s="85">
        <f t="shared" ref="L13:L21" si="6">I13+J13+K13</f>
        <v>845000</v>
      </c>
      <c r="M13" s="85">
        <f t="shared" ref="M13:M21" si="7">L13*0.1</f>
        <v>84500</v>
      </c>
      <c r="N13" s="86">
        <f t="shared" ref="N13:N21" si="8">L13+M13</f>
        <v>929500</v>
      </c>
    </row>
    <row r="14" spans="2:14">
      <c r="B14" s="82" t="s">
        <v>206</v>
      </c>
      <c r="C14" s="8" t="s">
        <v>207</v>
      </c>
      <c r="D14" s="5" t="str">
        <f t="shared" si="0"/>
        <v>Kelas III</v>
      </c>
      <c r="E14" s="5" t="str">
        <f t="shared" si="1"/>
        <v>Saraf Ringan</v>
      </c>
      <c r="F14" s="83">
        <f t="shared" si="2"/>
        <v>37474</v>
      </c>
      <c r="G14" s="83">
        <v>37478</v>
      </c>
      <c r="H14" s="99">
        <f t="shared" si="3"/>
        <v>4</v>
      </c>
      <c r="I14" s="84">
        <f t="shared" si="4"/>
        <v>300000</v>
      </c>
      <c r="J14" s="85">
        <f t="shared" si="5"/>
        <v>80000</v>
      </c>
      <c r="K14" s="5">
        <v>450000</v>
      </c>
      <c r="L14" s="85">
        <f t="shared" si="6"/>
        <v>830000</v>
      </c>
      <c r="M14" s="85">
        <f t="shared" si="7"/>
        <v>83000</v>
      </c>
      <c r="N14" s="86">
        <f t="shared" si="8"/>
        <v>913000</v>
      </c>
    </row>
    <row r="15" spans="2:14">
      <c r="B15" s="82" t="s">
        <v>208</v>
      </c>
      <c r="C15" s="8" t="s">
        <v>209</v>
      </c>
      <c r="D15" s="5" t="str">
        <f t="shared" si="0"/>
        <v>VIP</v>
      </c>
      <c r="E15" s="5" t="str">
        <f t="shared" si="1"/>
        <v>Jantung Berat</v>
      </c>
      <c r="F15" s="83">
        <f t="shared" si="2"/>
        <v>37474</v>
      </c>
      <c r="G15" s="83">
        <v>37481</v>
      </c>
      <c r="H15" s="99">
        <f t="shared" si="3"/>
        <v>7</v>
      </c>
      <c r="I15" s="84">
        <f t="shared" si="4"/>
        <v>1400000</v>
      </c>
      <c r="J15" s="85">
        <f t="shared" si="5"/>
        <v>665000</v>
      </c>
      <c r="K15" s="5">
        <v>1250000</v>
      </c>
      <c r="L15" s="85">
        <f t="shared" si="6"/>
        <v>3315000</v>
      </c>
      <c r="M15" s="85">
        <f t="shared" si="7"/>
        <v>331500</v>
      </c>
      <c r="N15" s="86">
        <f t="shared" si="8"/>
        <v>3646500</v>
      </c>
    </row>
    <row r="16" spans="2:14">
      <c r="B16" s="82" t="s">
        <v>210</v>
      </c>
      <c r="C16" s="8" t="s">
        <v>211</v>
      </c>
      <c r="D16" s="5" t="str">
        <f t="shared" si="0"/>
        <v>Kelas I</v>
      </c>
      <c r="E16" s="5" t="str">
        <f t="shared" si="1"/>
        <v>Jantung Ringan</v>
      </c>
      <c r="F16" s="83">
        <f t="shared" si="2"/>
        <v>37475</v>
      </c>
      <c r="G16" s="83">
        <v>37478</v>
      </c>
      <c r="H16" s="99">
        <f t="shared" si="3"/>
        <v>3</v>
      </c>
      <c r="I16" s="84">
        <f t="shared" si="4"/>
        <v>450000</v>
      </c>
      <c r="J16" s="85">
        <f t="shared" si="5"/>
        <v>135000</v>
      </c>
      <c r="K16" s="5">
        <v>615000</v>
      </c>
      <c r="L16" s="85">
        <f t="shared" si="6"/>
        <v>1200000</v>
      </c>
      <c r="M16" s="85">
        <f t="shared" si="7"/>
        <v>120000</v>
      </c>
      <c r="N16" s="86">
        <f t="shared" si="8"/>
        <v>1320000</v>
      </c>
    </row>
    <row r="17" spans="2:14">
      <c r="B17" s="82" t="s">
        <v>212</v>
      </c>
      <c r="C17" s="8" t="s">
        <v>213</v>
      </c>
      <c r="D17" s="5" t="str">
        <f t="shared" si="0"/>
        <v>VIP</v>
      </c>
      <c r="E17" s="5" t="str">
        <f t="shared" si="1"/>
        <v>Saraf Berat</v>
      </c>
      <c r="F17" s="83">
        <f t="shared" si="2"/>
        <v>37475</v>
      </c>
      <c r="G17" s="83">
        <v>37496</v>
      </c>
      <c r="H17" s="99">
        <f t="shared" si="3"/>
        <v>21</v>
      </c>
      <c r="I17" s="84">
        <f t="shared" si="4"/>
        <v>4200000</v>
      </c>
      <c r="J17" s="85">
        <f t="shared" si="5"/>
        <v>1995000</v>
      </c>
      <c r="K17" s="5">
        <v>925000</v>
      </c>
      <c r="L17" s="85">
        <f t="shared" si="6"/>
        <v>7120000</v>
      </c>
      <c r="M17" s="85">
        <f t="shared" si="7"/>
        <v>712000</v>
      </c>
      <c r="N17" s="86">
        <f t="shared" si="8"/>
        <v>7832000</v>
      </c>
    </row>
    <row r="18" spans="2:14">
      <c r="B18" s="82" t="s">
        <v>214</v>
      </c>
      <c r="C18" s="8" t="s">
        <v>215</v>
      </c>
      <c r="D18" s="5" t="str">
        <f t="shared" si="0"/>
        <v>Kelas III</v>
      </c>
      <c r="E18" s="5" t="str">
        <f t="shared" si="1"/>
        <v>Internis Berat</v>
      </c>
      <c r="F18" s="83">
        <f t="shared" si="2"/>
        <v>37476</v>
      </c>
      <c r="G18" s="83">
        <v>37488</v>
      </c>
      <c r="H18" s="99">
        <f t="shared" si="3"/>
        <v>12</v>
      </c>
      <c r="I18" s="84">
        <f t="shared" si="4"/>
        <v>900000</v>
      </c>
      <c r="J18" s="85">
        <f t="shared" si="5"/>
        <v>540000</v>
      </c>
      <c r="K18" s="5">
        <v>720000</v>
      </c>
      <c r="L18" s="85">
        <f t="shared" si="6"/>
        <v>2160000</v>
      </c>
      <c r="M18" s="85">
        <f t="shared" si="7"/>
        <v>216000</v>
      </c>
      <c r="N18" s="86">
        <f t="shared" si="8"/>
        <v>2376000</v>
      </c>
    </row>
    <row r="19" spans="2:14">
      <c r="B19" s="82" t="s">
        <v>216</v>
      </c>
      <c r="C19" s="8" t="s">
        <v>217</v>
      </c>
      <c r="D19" s="5" t="str">
        <f t="shared" si="0"/>
        <v>VIP</v>
      </c>
      <c r="E19" s="5" t="str">
        <f t="shared" si="1"/>
        <v>Saraf Ringan</v>
      </c>
      <c r="F19" s="83">
        <f t="shared" si="2"/>
        <v>37476</v>
      </c>
      <c r="G19" s="83">
        <v>37483</v>
      </c>
      <c r="H19" s="99">
        <f t="shared" si="3"/>
        <v>7</v>
      </c>
      <c r="I19" s="84">
        <f t="shared" si="4"/>
        <v>1400000</v>
      </c>
      <c r="J19" s="85">
        <f t="shared" si="5"/>
        <v>560000</v>
      </c>
      <c r="K19" s="5">
        <v>300000</v>
      </c>
      <c r="L19" s="85">
        <f t="shared" si="6"/>
        <v>2260000</v>
      </c>
      <c r="M19" s="85">
        <f t="shared" si="7"/>
        <v>226000</v>
      </c>
      <c r="N19" s="86">
        <f t="shared" si="8"/>
        <v>2486000</v>
      </c>
    </row>
    <row r="20" spans="2:14">
      <c r="B20" s="82" t="s">
        <v>218</v>
      </c>
      <c r="C20" s="8" t="s">
        <v>219</v>
      </c>
      <c r="D20" s="5" t="str">
        <f t="shared" si="0"/>
        <v>Kelas II</v>
      </c>
      <c r="E20" s="5" t="str">
        <f t="shared" si="1"/>
        <v>Jantung Ringan</v>
      </c>
      <c r="F20" s="83">
        <f t="shared" si="2"/>
        <v>37477</v>
      </c>
      <c r="G20" s="83">
        <v>37483</v>
      </c>
      <c r="H20" s="99">
        <f t="shared" si="3"/>
        <v>6</v>
      </c>
      <c r="I20" s="84">
        <f t="shared" si="4"/>
        <v>600000</v>
      </c>
      <c r="J20" s="85">
        <f t="shared" si="5"/>
        <v>180000</v>
      </c>
      <c r="K20" s="5">
        <v>475000</v>
      </c>
      <c r="L20" s="85">
        <f t="shared" si="6"/>
        <v>1255000</v>
      </c>
      <c r="M20" s="85">
        <f t="shared" si="7"/>
        <v>125500</v>
      </c>
      <c r="N20" s="86">
        <f t="shared" si="8"/>
        <v>1380500</v>
      </c>
    </row>
    <row r="21" spans="2:14" ht="13.5" thickBot="1">
      <c r="B21" s="87" t="s">
        <v>220</v>
      </c>
      <c r="C21" s="13" t="s">
        <v>221</v>
      </c>
      <c r="D21" s="5" t="str">
        <f t="shared" si="0"/>
        <v>VIP</v>
      </c>
      <c r="E21" s="5" t="str">
        <f t="shared" si="1"/>
        <v>Internis Berat</v>
      </c>
      <c r="F21" s="83">
        <f t="shared" si="2"/>
        <v>37478</v>
      </c>
      <c r="G21" s="88">
        <v>37485</v>
      </c>
      <c r="H21" s="99">
        <f t="shared" si="3"/>
        <v>7</v>
      </c>
      <c r="I21" s="84">
        <f t="shared" si="4"/>
        <v>1400000</v>
      </c>
      <c r="J21" s="85">
        <f t="shared" si="5"/>
        <v>665000</v>
      </c>
      <c r="K21" s="13">
        <v>755000</v>
      </c>
      <c r="L21" s="85">
        <f t="shared" si="6"/>
        <v>2820000</v>
      </c>
      <c r="M21" s="85">
        <f t="shared" si="7"/>
        <v>282000</v>
      </c>
      <c r="N21" s="86">
        <f t="shared" si="8"/>
        <v>3102000</v>
      </c>
    </row>
    <row r="22" spans="2:14">
      <c r="B22" s="290" t="s">
        <v>222</v>
      </c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2"/>
      <c r="N22" s="107">
        <f>SUM(N12:N21)</f>
        <v>48515500</v>
      </c>
    </row>
    <row r="23" spans="2:14">
      <c r="B23" s="293" t="s">
        <v>223</v>
      </c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86">
        <f>SUM(N12:N21)*0.1</f>
        <v>4851550</v>
      </c>
    </row>
    <row r="24" spans="2:14" ht="13.5" thickBot="1">
      <c r="B24" s="294" t="s">
        <v>224</v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6"/>
      <c r="N24" s="108">
        <f>N22-N23</f>
        <v>43663950</v>
      </c>
    </row>
    <row r="27" spans="2:14" ht="13.5" thickBot="1">
      <c r="B27" t="s">
        <v>225</v>
      </c>
    </row>
    <row r="28" spans="2:14" ht="13.5" thickBot="1">
      <c r="B28" s="297" t="s">
        <v>188</v>
      </c>
      <c r="C28" s="299" t="s">
        <v>226</v>
      </c>
      <c r="D28" s="299" t="s">
        <v>227</v>
      </c>
      <c r="E28" s="301" t="s">
        <v>228</v>
      </c>
      <c r="F28" s="302"/>
      <c r="H28" s="29" t="s">
        <v>229</v>
      </c>
    </row>
    <row r="29" spans="2:14">
      <c r="B29" s="298"/>
      <c r="C29" s="300"/>
      <c r="D29" s="300"/>
      <c r="E29" s="91" t="s">
        <v>230</v>
      </c>
      <c r="F29" s="92" t="s">
        <v>231</v>
      </c>
      <c r="H29" s="303" t="s">
        <v>232</v>
      </c>
      <c r="I29" s="304"/>
      <c r="J29" s="93" t="s">
        <v>233</v>
      </c>
      <c r="K29" s="93" t="s">
        <v>234</v>
      </c>
      <c r="L29" s="94" t="s">
        <v>235</v>
      </c>
    </row>
    <row r="30" spans="2:14" ht="13.5" thickBot="1">
      <c r="B30" s="95" t="s">
        <v>68</v>
      </c>
      <c r="C30" s="5" t="s">
        <v>202</v>
      </c>
      <c r="D30" s="5">
        <v>150000</v>
      </c>
      <c r="E30" s="5">
        <v>75000</v>
      </c>
      <c r="F30" s="89">
        <v>45000</v>
      </c>
      <c r="H30" s="288" t="s">
        <v>236</v>
      </c>
      <c r="I30" s="289"/>
      <c r="J30" s="16" t="s">
        <v>237</v>
      </c>
      <c r="K30" s="16" t="s">
        <v>238</v>
      </c>
      <c r="L30" s="96" t="s">
        <v>239</v>
      </c>
    </row>
    <row r="31" spans="2:14">
      <c r="B31" s="95" t="s">
        <v>49</v>
      </c>
      <c r="C31" s="5" t="s">
        <v>240</v>
      </c>
      <c r="D31" s="5">
        <v>100000</v>
      </c>
      <c r="E31" s="5">
        <v>60000</v>
      </c>
      <c r="F31" s="89">
        <v>30000</v>
      </c>
    </row>
    <row r="32" spans="2:14">
      <c r="B32" s="95" t="s">
        <v>73</v>
      </c>
      <c r="C32" s="5" t="s">
        <v>241</v>
      </c>
      <c r="D32" s="5">
        <v>75000</v>
      </c>
      <c r="E32" s="5">
        <v>45000</v>
      </c>
      <c r="F32" s="89">
        <v>20000</v>
      </c>
    </row>
    <row r="33" spans="2:6" ht="13.5" thickBot="1">
      <c r="B33" s="97" t="s">
        <v>242</v>
      </c>
      <c r="C33" s="13" t="s">
        <v>243</v>
      </c>
      <c r="D33" s="13">
        <v>200000</v>
      </c>
      <c r="E33" s="13">
        <v>95000</v>
      </c>
      <c r="F33" s="90">
        <v>80000</v>
      </c>
    </row>
    <row r="36" spans="2:6">
      <c r="B36" s="98" t="s">
        <v>244</v>
      </c>
    </row>
    <row r="37" spans="2:6">
      <c r="B37" s="35" t="s">
        <v>245</v>
      </c>
    </row>
    <row r="38" spans="2:6">
      <c r="B38" s="35" t="s">
        <v>246</v>
      </c>
    </row>
    <row r="39" spans="2:6">
      <c r="B39" s="35" t="s">
        <v>247</v>
      </c>
    </row>
    <row r="40" spans="2:6">
      <c r="B40" s="35" t="s">
        <v>248</v>
      </c>
    </row>
    <row r="41" spans="2:6">
      <c r="B41" s="38"/>
    </row>
    <row r="42" spans="2:6">
      <c r="B42" s="98" t="s">
        <v>249</v>
      </c>
    </row>
    <row r="43" spans="2:6">
      <c r="B43" s="35" t="s">
        <v>250</v>
      </c>
    </row>
    <row r="44" spans="2:6">
      <c r="B44" s="38"/>
    </row>
    <row r="45" spans="2:6">
      <c r="B45" s="98" t="s">
        <v>251</v>
      </c>
    </row>
    <row r="46" spans="2:6">
      <c r="B46" s="35" t="s">
        <v>252</v>
      </c>
    </row>
    <row r="47" spans="2:6">
      <c r="B47" s="35" t="s">
        <v>253</v>
      </c>
    </row>
    <row r="48" spans="2:6">
      <c r="B48" s="35" t="s">
        <v>254</v>
      </c>
    </row>
    <row r="49" spans="2:2">
      <c r="B49" s="35" t="s">
        <v>255</v>
      </c>
    </row>
    <row r="50" spans="2:2">
      <c r="B50" s="35" t="s">
        <v>256</v>
      </c>
    </row>
    <row r="51" spans="2:2">
      <c r="B51" s="35" t="s">
        <v>257</v>
      </c>
    </row>
    <row r="52" spans="2:2">
      <c r="B52" s="35" t="s">
        <v>258</v>
      </c>
    </row>
    <row r="53" spans="2:2">
      <c r="B53" s="35" t="s">
        <v>259</v>
      </c>
    </row>
    <row r="54" spans="2:2">
      <c r="B54" s="35" t="s">
        <v>260</v>
      </c>
    </row>
    <row r="55" spans="2:2">
      <c r="B55" s="35" t="s">
        <v>261</v>
      </c>
    </row>
    <row r="56" spans="2:2">
      <c r="B56" s="35" t="s">
        <v>262</v>
      </c>
    </row>
    <row r="57" spans="2:2">
      <c r="B57" s="35" t="s">
        <v>263</v>
      </c>
    </row>
    <row r="58" spans="2:2">
      <c r="B58" s="35" t="s">
        <v>264</v>
      </c>
    </row>
    <row r="59" spans="2:2">
      <c r="B59" s="35" t="s">
        <v>265</v>
      </c>
    </row>
    <row r="60" spans="2:2">
      <c r="B60" s="35" t="s">
        <v>266</v>
      </c>
    </row>
    <row r="61" spans="2:2">
      <c r="B61" s="35" t="s">
        <v>267</v>
      </c>
    </row>
    <row r="62" spans="2:2">
      <c r="B62" s="35" t="s">
        <v>268</v>
      </c>
    </row>
  </sheetData>
  <mergeCells count="9">
    <mergeCell ref="H30:I30"/>
    <mergeCell ref="B22:M22"/>
    <mergeCell ref="B23:M23"/>
    <mergeCell ref="B24:M24"/>
    <mergeCell ref="B28:B29"/>
    <mergeCell ref="C28:C29"/>
    <mergeCell ref="D28:D29"/>
    <mergeCell ref="E28:F28"/>
    <mergeCell ref="H29:I29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zoomScale="55" zoomScaleNormal="55" workbookViewId="0"/>
  </sheetViews>
  <sheetFormatPr defaultRowHeight="12.75"/>
  <cols>
    <col min="1" max="1" width="5.28515625" customWidth="1"/>
    <col min="2" max="2" width="21" customWidth="1"/>
    <col min="3" max="3" width="19.5703125" customWidth="1"/>
    <col min="4" max="4" width="25.85546875" bestFit="1" customWidth="1"/>
    <col min="5" max="5" width="20" bestFit="1" customWidth="1"/>
    <col min="6" max="6" width="19.5703125" bestFit="1" customWidth="1"/>
    <col min="7" max="7" width="16" customWidth="1"/>
    <col min="8" max="8" width="14" customWidth="1"/>
    <col min="9" max="9" width="17" customWidth="1"/>
    <col min="10" max="10" width="18.28515625" bestFit="1" customWidth="1"/>
    <col min="11" max="11" width="17.28515625" customWidth="1"/>
    <col min="12" max="12" width="17.42578125" bestFit="1" customWidth="1"/>
    <col min="13" max="13" width="16.85546875" customWidth="1"/>
    <col min="14" max="14" width="19.140625" bestFit="1" customWidth="1"/>
    <col min="15" max="15" width="13.42578125" bestFit="1" customWidth="1"/>
    <col min="16" max="16" width="13.85546875" bestFit="1" customWidth="1"/>
  </cols>
  <sheetData>
    <row r="1" spans="1:16">
      <c r="A1" t="s">
        <v>270</v>
      </c>
    </row>
    <row r="2" spans="1:16" ht="30">
      <c r="A2" s="109" t="s">
        <v>271</v>
      </c>
      <c r="B2" s="109" t="s">
        <v>272</v>
      </c>
      <c r="C2" s="109" t="s">
        <v>273</v>
      </c>
      <c r="D2" s="110" t="s">
        <v>274</v>
      </c>
      <c r="E2" s="110" t="s">
        <v>275</v>
      </c>
      <c r="F2" s="110" t="s">
        <v>276</v>
      </c>
      <c r="G2" s="110" t="s">
        <v>277</v>
      </c>
      <c r="H2" s="110" t="s">
        <v>278</v>
      </c>
      <c r="I2" s="110" t="s">
        <v>279</v>
      </c>
      <c r="J2" s="110" t="s">
        <v>280</v>
      </c>
      <c r="K2" s="110" t="s">
        <v>281</v>
      </c>
      <c r="L2" s="110" t="s">
        <v>282</v>
      </c>
      <c r="M2" s="110" t="s">
        <v>283</v>
      </c>
      <c r="N2" s="110" t="s">
        <v>284</v>
      </c>
      <c r="O2" s="110" t="s">
        <v>285</v>
      </c>
      <c r="P2" s="110" t="s">
        <v>286</v>
      </c>
    </row>
    <row r="3" spans="1:16">
      <c r="A3" s="91">
        <v>1</v>
      </c>
      <c r="B3" s="5" t="s">
        <v>287</v>
      </c>
      <c r="C3" s="5" t="s">
        <v>288</v>
      </c>
      <c r="D3" s="111">
        <v>42584</v>
      </c>
      <c r="E3" s="111">
        <v>42586</v>
      </c>
      <c r="F3" s="112" t="str">
        <f>VLOOKUP(LEFT(B3,6),$I$19:$L$26,2,0)</f>
        <v>DOUBLE ROOM</v>
      </c>
      <c r="G3" s="113" t="str">
        <f>VLOOKUP(LEFT(B3,6),$I$19:$L$26,3,0)</f>
        <v>25 m2</v>
      </c>
      <c r="H3" s="113" t="str">
        <f>IF(VALUE(LEFT(G3,2))&gt;=30,"4 Orang",IF(VALUE(LEFT(G3,2))&gt;=25,"3 Orang",IF(VALUE(LEFT(G3,2))&gt;=20,"2 Orang","1 Orang")))</f>
        <v>3 Orang</v>
      </c>
      <c r="I3" s="91" t="s">
        <v>289</v>
      </c>
      <c r="J3" s="114" t="str">
        <f>E3-D3&amp; " hari"</f>
        <v>2 hari</v>
      </c>
      <c r="K3" s="115">
        <f>VLOOKUP(LEFT(B3,6),$I$19:$L$26,4,0)</f>
        <v>300000</v>
      </c>
      <c r="L3" s="113" t="str">
        <f>HLOOKUP(MID(B3,8,4),$J$29:$M$31,2,0)</f>
        <v>AGODA</v>
      </c>
      <c r="M3" s="116">
        <f>IF(RIGHT(B3,2)="02",200000,IF(RIGHT(B3,2)="01",100000,0))</f>
        <v>100000</v>
      </c>
      <c r="N3" s="117">
        <f>IF(VALUE(LEFT(I3,1)-LEFT(H3,1))&gt;=1,(LEFT(J3,1)*K3)+((LEFT(J3,1)*((LEFT(I3,1)-LEFT(H3,1)))*100000)),LEFT(J3,1)*K3)</f>
        <v>800000</v>
      </c>
      <c r="O3" s="117">
        <f>HLOOKUP(MID(B3,8,4),$J$29:$M$31,3,0)*N3</f>
        <v>80000</v>
      </c>
      <c r="P3" s="117">
        <f>M3+N3+O3</f>
        <v>980000</v>
      </c>
    </row>
    <row r="4" spans="1:16">
      <c r="A4" s="91">
        <f>A3+1</f>
        <v>2</v>
      </c>
      <c r="B4" s="5" t="s">
        <v>290</v>
      </c>
      <c r="C4" s="5" t="s">
        <v>291</v>
      </c>
      <c r="D4" s="111">
        <v>42584</v>
      </c>
      <c r="E4" s="111">
        <v>42589</v>
      </c>
      <c r="F4" s="112" t="str">
        <f t="shared" ref="F4:F15" si="0">VLOOKUP(LEFT(B4,6),$I$19:$L$26,2,0)</f>
        <v>SINGLE ROOM</v>
      </c>
      <c r="G4" s="113" t="str">
        <f t="shared" ref="G4:G15" si="1">VLOOKUP(LEFT(B4,6),$I$19:$L$26,3,0)</f>
        <v>16 m2</v>
      </c>
      <c r="H4" s="113" t="str">
        <f t="shared" ref="H4:H15" si="2">IF(VALUE(LEFT(G4,2))&gt;=30,"4 Orang",IF(VALUE(LEFT(G4,2))&gt;=25,"3 Orang",IF(VALUE(LEFT(G4,2))&gt;=20,"2 Orang","1 Orang")))</f>
        <v>1 Orang</v>
      </c>
      <c r="I4" s="91" t="s">
        <v>292</v>
      </c>
      <c r="J4" s="114" t="str">
        <f t="shared" ref="J4:J15" si="3">E4-D4&amp; " hari"</f>
        <v>5 hari</v>
      </c>
      <c r="K4" s="115">
        <f t="shared" ref="K4:K15" si="4">VLOOKUP(LEFT(B4,6),$I$19:$L$26,4,0)</f>
        <v>250000</v>
      </c>
      <c r="L4" s="113" t="str">
        <f t="shared" ref="L4:L15" si="5">HLOOKUP(MID(B4,8,4),$J$29:$M$31,2,0)</f>
        <v>HOTEL</v>
      </c>
      <c r="M4" s="116">
        <f t="shared" ref="M4:M15" si="6">IF(RIGHT(B4,2)="02",200000,IF(RIGHT(B4,2)="01",100000,0))</f>
        <v>0</v>
      </c>
      <c r="N4" s="117">
        <f t="shared" ref="N4:N15" si="7">IF(VALUE(LEFT(I4,1)-LEFT(H4,1))&gt;=1,(LEFT(J4,1)*K4)+((LEFT(J4,1)*((LEFT(I4,1)-LEFT(H4,1)))*100000)),LEFT(J4,1)*K4)</f>
        <v>1250000</v>
      </c>
      <c r="O4" s="117">
        <f t="shared" ref="O4:O15" si="8">HLOOKUP(MID(B4,8,4),$J$29:$M$31,3,0)*N4</f>
        <v>375000</v>
      </c>
      <c r="P4" s="117">
        <f t="shared" ref="P4:P15" si="9">M4+N4+O4</f>
        <v>1625000</v>
      </c>
    </row>
    <row r="5" spans="1:16">
      <c r="A5" s="91">
        <f t="shared" ref="A5:A10" si="10">A4+1</f>
        <v>3</v>
      </c>
      <c r="B5" s="5" t="s">
        <v>293</v>
      </c>
      <c r="C5" s="5" t="s">
        <v>294</v>
      </c>
      <c r="D5" s="111">
        <v>42585</v>
      </c>
      <c r="E5" s="111">
        <v>42588</v>
      </c>
      <c r="F5" s="112" t="str">
        <f t="shared" si="0"/>
        <v>TWIN ROOM</v>
      </c>
      <c r="G5" s="113" t="str">
        <f t="shared" si="1"/>
        <v>22 m2</v>
      </c>
      <c r="H5" s="113" t="str">
        <f t="shared" si="2"/>
        <v>2 Orang</v>
      </c>
      <c r="I5" s="91" t="s">
        <v>295</v>
      </c>
      <c r="J5" s="114" t="str">
        <f t="shared" si="3"/>
        <v>3 hari</v>
      </c>
      <c r="K5" s="115">
        <f t="shared" si="4"/>
        <v>350000</v>
      </c>
      <c r="L5" s="113" t="str">
        <f t="shared" si="5"/>
        <v>TRAVELOKA</v>
      </c>
      <c r="M5" s="116">
        <f t="shared" si="6"/>
        <v>100000</v>
      </c>
      <c r="N5" s="117">
        <f t="shared" si="7"/>
        <v>1350000</v>
      </c>
      <c r="O5" s="117">
        <f t="shared" si="8"/>
        <v>270000</v>
      </c>
      <c r="P5" s="117">
        <f t="shared" si="9"/>
        <v>1720000</v>
      </c>
    </row>
    <row r="6" spans="1:16">
      <c r="A6" s="91">
        <f t="shared" si="10"/>
        <v>4</v>
      </c>
      <c r="B6" s="5" t="s">
        <v>296</v>
      </c>
      <c r="C6" s="5" t="s">
        <v>297</v>
      </c>
      <c r="D6" s="111">
        <v>42586</v>
      </c>
      <c r="E6" s="111">
        <v>42589</v>
      </c>
      <c r="F6" s="112" t="str">
        <f t="shared" si="0"/>
        <v>PRESIDENT ROOM</v>
      </c>
      <c r="G6" s="113" t="str">
        <f t="shared" si="1"/>
        <v>32 m2</v>
      </c>
      <c r="H6" s="113" t="str">
        <f t="shared" si="2"/>
        <v>4 Orang</v>
      </c>
      <c r="I6" s="91" t="s">
        <v>298</v>
      </c>
      <c r="J6" s="114" t="str">
        <f t="shared" si="3"/>
        <v>3 hari</v>
      </c>
      <c r="K6" s="115">
        <f t="shared" si="4"/>
        <v>850000</v>
      </c>
      <c r="L6" s="113" t="str">
        <f t="shared" si="5"/>
        <v>HOTEL</v>
      </c>
      <c r="M6" s="116">
        <f t="shared" si="6"/>
        <v>200000</v>
      </c>
      <c r="N6" s="117">
        <f t="shared" si="7"/>
        <v>3150000</v>
      </c>
      <c r="O6" s="117">
        <f t="shared" si="8"/>
        <v>945000</v>
      </c>
      <c r="P6" s="117">
        <f t="shared" si="9"/>
        <v>4295000</v>
      </c>
    </row>
    <row r="7" spans="1:16">
      <c r="A7" s="91">
        <f t="shared" si="10"/>
        <v>5</v>
      </c>
      <c r="B7" s="5" t="s">
        <v>299</v>
      </c>
      <c r="C7" s="5" t="s">
        <v>300</v>
      </c>
      <c r="D7" s="111">
        <v>42587</v>
      </c>
      <c r="E7" s="111">
        <v>42592</v>
      </c>
      <c r="F7" s="112" t="str">
        <f t="shared" si="0"/>
        <v>DOUBLE ROOM</v>
      </c>
      <c r="G7" s="113" t="str">
        <f t="shared" si="1"/>
        <v>25 m2</v>
      </c>
      <c r="H7" s="113" t="str">
        <f t="shared" si="2"/>
        <v>3 Orang</v>
      </c>
      <c r="I7" s="91" t="s">
        <v>289</v>
      </c>
      <c r="J7" s="114" t="str">
        <f t="shared" si="3"/>
        <v>5 hari</v>
      </c>
      <c r="K7" s="115">
        <f t="shared" si="4"/>
        <v>300000</v>
      </c>
      <c r="L7" s="113" t="str">
        <f t="shared" si="5"/>
        <v>TRAVELOKA</v>
      </c>
      <c r="M7" s="116">
        <f t="shared" si="6"/>
        <v>100000</v>
      </c>
      <c r="N7" s="117">
        <f t="shared" si="7"/>
        <v>2000000</v>
      </c>
      <c r="O7" s="117">
        <f t="shared" si="8"/>
        <v>400000</v>
      </c>
      <c r="P7" s="117">
        <f t="shared" si="9"/>
        <v>2500000</v>
      </c>
    </row>
    <row r="8" spans="1:16">
      <c r="A8" s="91">
        <f t="shared" si="10"/>
        <v>6</v>
      </c>
      <c r="B8" s="5" t="s">
        <v>301</v>
      </c>
      <c r="C8" s="5" t="s">
        <v>302</v>
      </c>
      <c r="D8" s="111">
        <v>42588</v>
      </c>
      <c r="E8" s="111">
        <v>42589</v>
      </c>
      <c r="F8" s="112" t="str">
        <f t="shared" si="0"/>
        <v>SINGLE ROOM</v>
      </c>
      <c r="G8" s="113" t="str">
        <f t="shared" si="1"/>
        <v>16 m2</v>
      </c>
      <c r="H8" s="113" t="str">
        <f t="shared" si="2"/>
        <v>1 Orang</v>
      </c>
      <c r="I8" s="91" t="s">
        <v>292</v>
      </c>
      <c r="J8" s="114" t="str">
        <f t="shared" si="3"/>
        <v>1 hari</v>
      </c>
      <c r="K8" s="115">
        <f t="shared" si="4"/>
        <v>250000</v>
      </c>
      <c r="L8" s="113" t="str">
        <f t="shared" si="5"/>
        <v>PEGI-PEGI</v>
      </c>
      <c r="M8" s="116">
        <f t="shared" si="6"/>
        <v>0</v>
      </c>
      <c r="N8" s="117">
        <f t="shared" si="7"/>
        <v>250000</v>
      </c>
      <c r="O8" s="117">
        <f t="shared" si="8"/>
        <v>37500</v>
      </c>
      <c r="P8" s="117">
        <f t="shared" si="9"/>
        <v>287500</v>
      </c>
    </row>
    <row r="9" spans="1:16">
      <c r="A9" s="91">
        <f t="shared" si="10"/>
        <v>7</v>
      </c>
      <c r="B9" s="5" t="s">
        <v>303</v>
      </c>
      <c r="C9" s="5" t="s">
        <v>304</v>
      </c>
      <c r="D9" s="111">
        <v>42589</v>
      </c>
      <c r="E9" s="111">
        <v>42591</v>
      </c>
      <c r="F9" s="112" t="str">
        <f t="shared" si="0"/>
        <v>STANDART ROOM</v>
      </c>
      <c r="G9" s="113" t="str">
        <f>VLOOKUP(LEFT(B9,6),$I$19:$L$26,3,0)</f>
        <v>18 m2</v>
      </c>
      <c r="H9" s="113" t="str">
        <f t="shared" si="2"/>
        <v>1 Orang</v>
      </c>
      <c r="I9" s="91" t="s">
        <v>305</v>
      </c>
      <c r="J9" s="114" t="str">
        <f t="shared" si="3"/>
        <v>2 hari</v>
      </c>
      <c r="K9" s="115">
        <f t="shared" si="4"/>
        <v>275000</v>
      </c>
      <c r="L9" s="113" t="str">
        <f t="shared" si="5"/>
        <v>AGODA</v>
      </c>
      <c r="M9" s="116">
        <f t="shared" si="6"/>
        <v>200000</v>
      </c>
      <c r="N9" s="117">
        <f t="shared" si="7"/>
        <v>750000</v>
      </c>
      <c r="O9" s="117">
        <f t="shared" si="8"/>
        <v>75000</v>
      </c>
      <c r="P9" s="117">
        <f t="shared" si="9"/>
        <v>1025000</v>
      </c>
    </row>
    <row r="10" spans="1:16">
      <c r="A10" s="91">
        <f t="shared" si="10"/>
        <v>8</v>
      </c>
      <c r="B10" s="5" t="s">
        <v>306</v>
      </c>
      <c r="C10" s="5" t="s">
        <v>307</v>
      </c>
      <c r="D10" s="111">
        <v>42591</v>
      </c>
      <c r="E10" s="111">
        <v>42595</v>
      </c>
      <c r="F10" s="112" t="str">
        <f t="shared" si="0"/>
        <v>TWIN ROOM</v>
      </c>
      <c r="G10" s="113" t="str">
        <f t="shared" si="1"/>
        <v>22 m2</v>
      </c>
      <c r="H10" s="113" t="str">
        <f t="shared" si="2"/>
        <v>2 Orang</v>
      </c>
      <c r="I10" s="91" t="s">
        <v>305</v>
      </c>
      <c r="J10" s="114" t="str">
        <f t="shared" si="3"/>
        <v>4 hari</v>
      </c>
      <c r="K10" s="115">
        <f t="shared" si="4"/>
        <v>350000</v>
      </c>
      <c r="L10" s="113" t="str">
        <f t="shared" si="5"/>
        <v>PEGI-PEGI</v>
      </c>
      <c r="M10" s="116">
        <f t="shared" si="6"/>
        <v>100000</v>
      </c>
      <c r="N10" s="117">
        <f t="shared" si="7"/>
        <v>1400000</v>
      </c>
      <c r="O10" s="117">
        <f t="shared" si="8"/>
        <v>210000</v>
      </c>
      <c r="P10" s="117">
        <f t="shared" si="9"/>
        <v>1710000</v>
      </c>
    </row>
    <row r="11" spans="1:16">
      <c r="A11" s="91">
        <f>A10+1</f>
        <v>9</v>
      </c>
      <c r="B11" s="5" t="s">
        <v>308</v>
      </c>
      <c r="C11" s="5" t="s">
        <v>309</v>
      </c>
      <c r="D11" s="111">
        <v>42593</v>
      </c>
      <c r="E11" s="111">
        <v>42599</v>
      </c>
      <c r="F11" s="112" t="str">
        <f t="shared" si="0"/>
        <v>SUPERIOR ROOM</v>
      </c>
      <c r="G11" s="113" t="str">
        <f t="shared" si="1"/>
        <v>26 m2</v>
      </c>
      <c r="H11" s="113" t="str">
        <f t="shared" si="2"/>
        <v>3 Orang</v>
      </c>
      <c r="I11" s="91" t="s">
        <v>289</v>
      </c>
      <c r="J11" s="114" t="str">
        <f t="shared" si="3"/>
        <v>6 hari</v>
      </c>
      <c r="K11" s="115">
        <f t="shared" si="4"/>
        <v>325000</v>
      </c>
      <c r="L11" s="113" t="str">
        <f t="shared" si="5"/>
        <v>HOTEL</v>
      </c>
      <c r="M11" s="116">
        <f t="shared" si="6"/>
        <v>100000</v>
      </c>
      <c r="N11" s="117">
        <f t="shared" si="7"/>
        <v>2550000</v>
      </c>
      <c r="O11" s="117">
        <f t="shared" si="8"/>
        <v>765000</v>
      </c>
      <c r="P11" s="117">
        <f t="shared" si="9"/>
        <v>3415000</v>
      </c>
    </row>
    <row r="12" spans="1:16">
      <c r="A12" s="91">
        <f t="shared" ref="A12:A15" si="11">A11+1</f>
        <v>10</v>
      </c>
      <c r="B12" s="5" t="s">
        <v>310</v>
      </c>
      <c r="C12" s="5" t="s">
        <v>311</v>
      </c>
      <c r="D12" s="111">
        <v>42594</v>
      </c>
      <c r="E12" s="111">
        <v>42599</v>
      </c>
      <c r="F12" s="112" t="str">
        <f t="shared" si="0"/>
        <v>SINGLE ROOM</v>
      </c>
      <c r="G12" s="113" t="str">
        <f t="shared" si="1"/>
        <v>16 m2</v>
      </c>
      <c r="H12" s="113" t="str">
        <f t="shared" si="2"/>
        <v>1 Orang</v>
      </c>
      <c r="I12" s="91" t="s">
        <v>292</v>
      </c>
      <c r="J12" s="114" t="str">
        <f t="shared" si="3"/>
        <v>5 hari</v>
      </c>
      <c r="K12" s="115">
        <f t="shared" si="4"/>
        <v>250000</v>
      </c>
      <c r="L12" s="113" t="str">
        <f t="shared" si="5"/>
        <v>TRAVELOKA</v>
      </c>
      <c r="M12" s="116">
        <f t="shared" si="6"/>
        <v>0</v>
      </c>
      <c r="N12" s="117">
        <f t="shared" si="7"/>
        <v>1250000</v>
      </c>
      <c r="O12" s="117">
        <f t="shared" si="8"/>
        <v>250000</v>
      </c>
      <c r="P12" s="117">
        <f t="shared" si="9"/>
        <v>1500000</v>
      </c>
    </row>
    <row r="13" spans="1:16">
      <c r="A13" s="91">
        <f t="shared" si="11"/>
        <v>11</v>
      </c>
      <c r="B13" s="5" t="s">
        <v>312</v>
      </c>
      <c r="C13" s="5" t="s">
        <v>313</v>
      </c>
      <c r="D13" s="111">
        <v>42595</v>
      </c>
      <c r="E13" s="111">
        <v>42597</v>
      </c>
      <c r="F13" s="112" t="str">
        <f t="shared" si="0"/>
        <v>SUITE ROOM</v>
      </c>
      <c r="G13" s="113" t="str">
        <f t="shared" si="1"/>
        <v>30 m2</v>
      </c>
      <c r="H13" s="113" t="str">
        <f t="shared" si="2"/>
        <v>4 Orang</v>
      </c>
      <c r="I13" s="91" t="s">
        <v>314</v>
      </c>
      <c r="J13" s="114" t="str">
        <f t="shared" si="3"/>
        <v>2 hari</v>
      </c>
      <c r="K13" s="115">
        <f t="shared" si="4"/>
        <v>550000</v>
      </c>
      <c r="L13" s="113" t="str">
        <f t="shared" si="5"/>
        <v>AGODA</v>
      </c>
      <c r="M13" s="116">
        <f t="shared" si="6"/>
        <v>100000</v>
      </c>
      <c r="N13" s="117">
        <f t="shared" si="7"/>
        <v>1300000</v>
      </c>
      <c r="O13" s="117">
        <f t="shared" si="8"/>
        <v>130000</v>
      </c>
      <c r="P13" s="117">
        <f t="shared" si="9"/>
        <v>1530000</v>
      </c>
    </row>
    <row r="14" spans="1:16">
      <c r="A14" s="91">
        <f t="shared" si="11"/>
        <v>12</v>
      </c>
      <c r="B14" s="5" t="s">
        <v>315</v>
      </c>
      <c r="C14" s="5" t="s">
        <v>316</v>
      </c>
      <c r="D14" s="111">
        <v>42596</v>
      </c>
      <c r="E14" s="111">
        <v>42599</v>
      </c>
      <c r="F14" s="112" t="str">
        <f t="shared" si="0"/>
        <v>PRESIDENT ROOM</v>
      </c>
      <c r="G14" s="113" t="str">
        <f t="shared" si="1"/>
        <v>32 m2</v>
      </c>
      <c r="H14" s="113" t="str">
        <f t="shared" si="2"/>
        <v>4 Orang</v>
      </c>
      <c r="I14" s="91" t="s">
        <v>289</v>
      </c>
      <c r="J14" s="114" t="str">
        <f t="shared" si="3"/>
        <v>3 hari</v>
      </c>
      <c r="K14" s="115">
        <f t="shared" si="4"/>
        <v>850000</v>
      </c>
      <c r="L14" s="113" t="str">
        <f t="shared" si="5"/>
        <v>PEGI-PEGI</v>
      </c>
      <c r="M14" s="116">
        <f t="shared" si="6"/>
        <v>200000</v>
      </c>
      <c r="N14" s="117">
        <f t="shared" si="7"/>
        <v>2550000</v>
      </c>
      <c r="O14" s="117">
        <f t="shared" si="8"/>
        <v>382500</v>
      </c>
      <c r="P14" s="117">
        <f t="shared" si="9"/>
        <v>3132500</v>
      </c>
    </row>
    <row r="15" spans="1:16">
      <c r="A15" s="91">
        <f t="shared" si="11"/>
        <v>13</v>
      </c>
      <c r="B15" s="5" t="s">
        <v>317</v>
      </c>
      <c r="C15" s="5" t="s">
        <v>318</v>
      </c>
      <c r="D15" s="111">
        <v>42597</v>
      </c>
      <c r="E15" s="111">
        <v>42605</v>
      </c>
      <c r="F15" s="112" t="str">
        <f t="shared" si="0"/>
        <v>DELUXE ROOM</v>
      </c>
      <c r="G15" s="113" t="str">
        <f t="shared" si="1"/>
        <v>28 m2</v>
      </c>
      <c r="H15" s="113" t="str">
        <f t="shared" si="2"/>
        <v>3 Orang</v>
      </c>
      <c r="I15" s="91" t="s">
        <v>314</v>
      </c>
      <c r="J15" s="114" t="str">
        <f t="shared" si="3"/>
        <v>8 hari</v>
      </c>
      <c r="K15" s="115">
        <f t="shared" si="4"/>
        <v>450000</v>
      </c>
      <c r="L15" s="113" t="str">
        <f t="shared" si="5"/>
        <v>HOTEL</v>
      </c>
      <c r="M15" s="116">
        <f t="shared" si="6"/>
        <v>100000</v>
      </c>
      <c r="N15" s="117">
        <f t="shared" si="7"/>
        <v>5200000</v>
      </c>
      <c r="O15" s="117">
        <f t="shared" si="8"/>
        <v>1560000</v>
      </c>
      <c r="P15" s="117">
        <f t="shared" si="9"/>
        <v>6860000</v>
      </c>
    </row>
    <row r="17" spans="9:13">
      <c r="I17" t="s">
        <v>319</v>
      </c>
    </row>
    <row r="18" spans="9:13" ht="15">
      <c r="I18" s="109" t="s">
        <v>320</v>
      </c>
      <c r="J18" s="109" t="s">
        <v>276</v>
      </c>
      <c r="K18" s="109" t="s">
        <v>277</v>
      </c>
      <c r="L18" s="109" t="s">
        <v>281</v>
      </c>
    </row>
    <row r="19" spans="9:13">
      <c r="I19" s="91" t="s">
        <v>321</v>
      </c>
      <c r="J19" s="5" t="s">
        <v>322</v>
      </c>
      <c r="K19" s="91" t="s">
        <v>323</v>
      </c>
      <c r="L19" s="118">
        <v>250000</v>
      </c>
    </row>
    <row r="20" spans="9:13">
      <c r="I20" s="91" t="s">
        <v>324</v>
      </c>
      <c r="J20" s="5" t="s">
        <v>325</v>
      </c>
      <c r="K20" s="91" t="s">
        <v>326</v>
      </c>
      <c r="L20" s="118">
        <v>300000</v>
      </c>
    </row>
    <row r="21" spans="9:13">
      <c r="I21" s="91" t="s">
        <v>327</v>
      </c>
      <c r="J21" s="5" t="s">
        <v>328</v>
      </c>
      <c r="K21" s="91" t="s">
        <v>329</v>
      </c>
      <c r="L21" s="118">
        <v>350000</v>
      </c>
    </row>
    <row r="22" spans="9:13">
      <c r="I22" s="91" t="s">
        <v>330</v>
      </c>
      <c r="J22" s="5" t="s">
        <v>331</v>
      </c>
      <c r="K22" s="91" t="s">
        <v>332</v>
      </c>
      <c r="L22" s="118">
        <v>275000</v>
      </c>
    </row>
    <row r="23" spans="9:13">
      <c r="I23" s="91" t="s">
        <v>333</v>
      </c>
      <c r="J23" s="5" t="s">
        <v>334</v>
      </c>
      <c r="K23" s="91" t="s">
        <v>335</v>
      </c>
      <c r="L23" s="118">
        <v>325000</v>
      </c>
    </row>
    <row r="24" spans="9:13">
      <c r="I24" s="91" t="s">
        <v>336</v>
      </c>
      <c r="J24" s="5" t="s">
        <v>337</v>
      </c>
      <c r="K24" s="91" t="s">
        <v>338</v>
      </c>
      <c r="L24" s="118">
        <v>450000</v>
      </c>
    </row>
    <row r="25" spans="9:13">
      <c r="I25" s="91" t="s">
        <v>339</v>
      </c>
      <c r="J25" s="5" t="s">
        <v>340</v>
      </c>
      <c r="K25" s="91" t="s">
        <v>341</v>
      </c>
      <c r="L25" s="118">
        <v>550000</v>
      </c>
    </row>
    <row r="26" spans="9:13">
      <c r="I26" s="91" t="s">
        <v>342</v>
      </c>
      <c r="J26" s="5" t="s">
        <v>343</v>
      </c>
      <c r="K26" s="91" t="s">
        <v>344</v>
      </c>
      <c r="L26" s="118">
        <v>850000</v>
      </c>
    </row>
    <row r="28" spans="9:13">
      <c r="I28" s="119" t="s">
        <v>345</v>
      </c>
    </row>
    <row r="29" spans="9:13" ht="15">
      <c r="I29" s="109" t="s">
        <v>346</v>
      </c>
      <c r="J29" s="91" t="s">
        <v>347</v>
      </c>
      <c r="K29" s="91" t="s">
        <v>348</v>
      </c>
      <c r="L29" s="91" t="s">
        <v>349</v>
      </c>
      <c r="M29" s="91" t="s">
        <v>350</v>
      </c>
    </row>
    <row r="30" spans="9:13" ht="15">
      <c r="I30" s="109" t="s">
        <v>351</v>
      </c>
      <c r="J30" s="91" t="s">
        <v>352</v>
      </c>
      <c r="K30" s="91" t="s">
        <v>353</v>
      </c>
      <c r="L30" s="91" t="s">
        <v>354</v>
      </c>
      <c r="M30" s="91" t="s">
        <v>355</v>
      </c>
    </row>
    <row r="31" spans="9:13" ht="15">
      <c r="I31" s="109" t="s">
        <v>285</v>
      </c>
      <c r="J31" s="120">
        <v>0.3</v>
      </c>
      <c r="K31" s="120">
        <v>0.1</v>
      </c>
      <c r="L31" s="120">
        <v>0.2</v>
      </c>
      <c r="M31" s="120">
        <v>0.15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26"/>
  <sheetViews>
    <sheetView topLeftCell="I1" zoomScale="55" zoomScaleNormal="55" workbookViewId="0">
      <selection activeCell="O23" sqref="O23"/>
    </sheetView>
  </sheetViews>
  <sheetFormatPr defaultRowHeight="12.75"/>
  <cols>
    <col min="2" max="2" width="14.7109375" customWidth="1"/>
    <col min="3" max="3" width="19.7109375" bestFit="1" customWidth="1"/>
    <col min="4" max="4" width="11.5703125" bestFit="1" customWidth="1"/>
    <col min="5" max="5" width="17" bestFit="1" customWidth="1"/>
    <col min="6" max="6" width="17.85546875" bestFit="1" customWidth="1"/>
    <col min="7" max="7" width="14.7109375" bestFit="1" customWidth="1"/>
    <col min="8" max="8" width="15.85546875" bestFit="1" customWidth="1"/>
    <col min="9" max="9" width="8.85546875" bestFit="1" customWidth="1"/>
    <col min="10" max="10" width="20.42578125" bestFit="1" customWidth="1"/>
    <col min="11" max="11" width="17.85546875" bestFit="1" customWidth="1"/>
    <col min="12" max="12" width="20.42578125" bestFit="1" customWidth="1"/>
    <col min="13" max="13" width="18" bestFit="1" customWidth="1"/>
    <col min="14" max="14" width="36.7109375" customWidth="1"/>
    <col min="15" max="15" width="17.85546875" bestFit="1" customWidth="1"/>
    <col min="16" max="16" width="20.42578125" bestFit="1" customWidth="1"/>
  </cols>
  <sheetData>
    <row r="2" spans="1:16" ht="21">
      <c r="B2" s="121" t="s">
        <v>356</v>
      </c>
      <c r="C2" s="121" t="s">
        <v>357</v>
      </c>
      <c r="D2" s="121" t="s">
        <v>356</v>
      </c>
      <c r="E2" s="121" t="s">
        <v>358</v>
      </c>
      <c r="F2" s="121" t="s">
        <v>359</v>
      </c>
      <c r="G2" s="121" t="s">
        <v>360</v>
      </c>
      <c r="H2" s="121" t="s">
        <v>360</v>
      </c>
      <c r="I2" s="121" t="s">
        <v>361</v>
      </c>
      <c r="J2" s="121" t="s">
        <v>95</v>
      </c>
      <c r="K2" s="121" t="s">
        <v>362</v>
      </c>
      <c r="L2" s="122" t="s">
        <v>64</v>
      </c>
      <c r="M2" s="122" t="s">
        <v>64</v>
      </c>
      <c r="N2" s="122" t="s">
        <v>64</v>
      </c>
      <c r="O2" s="122" t="s">
        <v>363</v>
      </c>
      <c r="P2" s="121" t="s">
        <v>363</v>
      </c>
    </row>
    <row r="3" spans="1:16" ht="21">
      <c r="B3" s="123" t="s">
        <v>364</v>
      </c>
      <c r="C3" s="123" t="s">
        <v>365</v>
      </c>
      <c r="D3" s="123" t="s">
        <v>366</v>
      </c>
      <c r="E3" s="123" t="s">
        <v>366</v>
      </c>
      <c r="F3" s="123"/>
      <c r="G3" s="123" t="s">
        <v>367</v>
      </c>
      <c r="H3" s="123" t="s">
        <v>368</v>
      </c>
      <c r="I3" s="123" t="s">
        <v>369</v>
      </c>
      <c r="J3" s="123" t="s">
        <v>366</v>
      </c>
      <c r="K3" s="123"/>
      <c r="L3" s="124">
        <v>0.05</v>
      </c>
      <c r="M3" s="124">
        <v>0.1</v>
      </c>
      <c r="N3" s="125">
        <v>2.5000000000000001E-2</v>
      </c>
      <c r="O3" s="125" t="s">
        <v>64</v>
      </c>
      <c r="P3" s="123" t="s">
        <v>370</v>
      </c>
    </row>
    <row r="4" spans="1:16" ht="21">
      <c r="B4" s="126">
        <v>1</v>
      </c>
      <c r="C4" s="126" t="s">
        <v>371</v>
      </c>
      <c r="D4" s="127">
        <v>101</v>
      </c>
      <c r="E4" s="128" t="str">
        <f>IF(LEFT(D4,1)="1","STANDAR",IF(LEFT(D4,1)="2","SUPPERIOR",IF(LEFT(D4,1)="3","DELUXE")))</f>
        <v>STANDAR</v>
      </c>
      <c r="F4" s="129">
        <f>IF(E4="STANDAR",275000,IF(E4="SUPPERIOR",300000,350000))</f>
        <v>275000</v>
      </c>
      <c r="G4" s="130">
        <v>40749</v>
      </c>
      <c r="H4" s="130">
        <v>40750</v>
      </c>
      <c r="I4" s="127">
        <f>H4-G4</f>
        <v>1</v>
      </c>
      <c r="J4" s="129">
        <f>F4*I4</f>
        <v>275000</v>
      </c>
      <c r="K4" s="129">
        <f>J4*0.21</f>
        <v>57750</v>
      </c>
      <c r="L4" s="131">
        <f>IF(OR(E4="STANDAR",E4="SUPPERIOR"),J4*0.05, 0)</f>
        <v>13750</v>
      </c>
      <c r="M4" s="132">
        <f>IF(AND(E4="STANDAR",I4&gt;2),J4*0.1,0)</f>
        <v>0</v>
      </c>
      <c r="N4" s="155">
        <f>IF(AND(OR(E4="STANDAR",E4="SUPPERIOR"), I4&gt;2), J4*0.025,0)</f>
        <v>0</v>
      </c>
      <c r="O4" s="133">
        <f>L4+M4+N4</f>
        <v>13750</v>
      </c>
      <c r="P4" s="129">
        <f>J4+K4-O4</f>
        <v>319000</v>
      </c>
    </row>
    <row r="5" spans="1:16" ht="21">
      <c r="B5" s="126">
        <v>2</v>
      </c>
      <c r="C5" s="126" t="s">
        <v>372</v>
      </c>
      <c r="D5" s="127">
        <v>201</v>
      </c>
      <c r="E5" s="128" t="str">
        <f t="shared" ref="E5:E13" si="0">IF(LEFT(D5,1)="1","STANDAR",IF(LEFT(D5,1)="2","SUPPERIOR",IF(LEFT(D5,1)="3","DELUXE")))</f>
        <v>SUPPERIOR</v>
      </c>
      <c r="F5" s="129">
        <f t="shared" ref="F5:F13" si="1">IF(E5="STANDAR",275000,IF(E5="SUPPERIOR",300000,350000))</f>
        <v>300000</v>
      </c>
      <c r="G5" s="130">
        <v>40749</v>
      </c>
      <c r="H5" s="130">
        <v>40752</v>
      </c>
      <c r="I5" s="127">
        <f t="shared" ref="I5:I13" si="2">H5-G5</f>
        <v>3</v>
      </c>
      <c r="J5" s="129">
        <f t="shared" ref="J5:J13" si="3">F5*I5</f>
        <v>900000</v>
      </c>
      <c r="K5" s="129">
        <f t="shared" ref="K5:K13" si="4">J5*0.21</f>
        <v>189000</v>
      </c>
      <c r="L5" s="131">
        <f t="shared" ref="L5:L13" si="5">IF(OR(E5="STANDAR",E5="SUPPERIOR"),J5*0.05, 0)</f>
        <v>45000</v>
      </c>
      <c r="M5" s="132">
        <f t="shared" ref="M5:M13" si="6">IF(AND(E5="STANDAR",I5&gt;2),J5*0.1,0)</f>
        <v>0</v>
      </c>
      <c r="N5" s="155">
        <f t="shared" ref="N5:N13" si="7">IF(AND(OR(E5="STANDAR",E5="SUPPERIOR"), I5&gt;2), J5*0.025,0)</f>
        <v>22500</v>
      </c>
      <c r="O5" s="133">
        <f t="shared" ref="O5:O13" si="8">L5+M5+N5</f>
        <v>67500</v>
      </c>
      <c r="P5" s="129">
        <f t="shared" ref="P5:P13" si="9">J5+K5-O5</f>
        <v>1021500</v>
      </c>
    </row>
    <row r="6" spans="1:16" ht="21">
      <c r="B6" s="126">
        <v>3</v>
      </c>
      <c r="C6" s="126" t="s">
        <v>373</v>
      </c>
      <c r="D6" s="127">
        <v>202</v>
      </c>
      <c r="E6" s="128" t="str">
        <f t="shared" si="0"/>
        <v>SUPPERIOR</v>
      </c>
      <c r="F6" s="129">
        <f t="shared" si="1"/>
        <v>300000</v>
      </c>
      <c r="G6" s="130">
        <v>40750</v>
      </c>
      <c r="H6" s="130">
        <v>40751</v>
      </c>
      <c r="I6" s="127">
        <f t="shared" si="2"/>
        <v>1</v>
      </c>
      <c r="J6" s="129">
        <f t="shared" si="3"/>
        <v>300000</v>
      </c>
      <c r="K6" s="129">
        <f t="shared" si="4"/>
        <v>63000</v>
      </c>
      <c r="L6" s="131">
        <f t="shared" si="5"/>
        <v>15000</v>
      </c>
      <c r="M6" s="132">
        <f t="shared" si="6"/>
        <v>0</v>
      </c>
      <c r="N6" s="155">
        <f t="shared" si="7"/>
        <v>0</v>
      </c>
      <c r="O6" s="133">
        <f t="shared" si="8"/>
        <v>15000</v>
      </c>
      <c r="P6" s="129">
        <f t="shared" si="9"/>
        <v>348000</v>
      </c>
    </row>
    <row r="7" spans="1:16" ht="21">
      <c r="B7" s="126">
        <v>4</v>
      </c>
      <c r="C7" s="126" t="s">
        <v>374</v>
      </c>
      <c r="D7" s="127">
        <v>203</v>
      </c>
      <c r="E7" s="128" t="str">
        <f t="shared" si="0"/>
        <v>SUPPERIOR</v>
      </c>
      <c r="F7" s="129">
        <f t="shared" si="1"/>
        <v>300000</v>
      </c>
      <c r="G7" s="130">
        <v>40750</v>
      </c>
      <c r="H7" s="130">
        <v>40752</v>
      </c>
      <c r="I7" s="127">
        <f t="shared" si="2"/>
        <v>2</v>
      </c>
      <c r="J7" s="129">
        <f t="shared" si="3"/>
        <v>600000</v>
      </c>
      <c r="K7" s="129">
        <f t="shared" si="4"/>
        <v>126000</v>
      </c>
      <c r="L7" s="131">
        <f t="shared" si="5"/>
        <v>30000</v>
      </c>
      <c r="M7" s="132">
        <f t="shared" si="6"/>
        <v>0</v>
      </c>
      <c r="N7" s="155">
        <f t="shared" si="7"/>
        <v>0</v>
      </c>
      <c r="O7" s="133">
        <f t="shared" si="8"/>
        <v>30000</v>
      </c>
      <c r="P7" s="129">
        <f t="shared" si="9"/>
        <v>696000</v>
      </c>
    </row>
    <row r="8" spans="1:16" ht="21">
      <c r="B8" s="126">
        <v>5</v>
      </c>
      <c r="C8" s="126" t="s">
        <v>375</v>
      </c>
      <c r="D8" s="127">
        <v>102</v>
      </c>
      <c r="E8" s="128" t="str">
        <f t="shared" si="0"/>
        <v>STANDAR</v>
      </c>
      <c r="F8" s="129">
        <f t="shared" si="1"/>
        <v>275000</v>
      </c>
      <c r="G8" s="130">
        <v>40750</v>
      </c>
      <c r="H8" s="130">
        <v>40754</v>
      </c>
      <c r="I8" s="127">
        <f t="shared" si="2"/>
        <v>4</v>
      </c>
      <c r="J8" s="129">
        <f t="shared" si="3"/>
        <v>1100000</v>
      </c>
      <c r="K8" s="129">
        <f t="shared" si="4"/>
        <v>231000</v>
      </c>
      <c r="L8" s="131">
        <f t="shared" si="5"/>
        <v>55000</v>
      </c>
      <c r="M8" s="132">
        <f t="shared" si="6"/>
        <v>110000</v>
      </c>
      <c r="N8" s="155">
        <f t="shared" si="7"/>
        <v>27500</v>
      </c>
      <c r="O8" s="133">
        <f t="shared" si="8"/>
        <v>192500</v>
      </c>
      <c r="P8" s="129">
        <f t="shared" si="9"/>
        <v>1138500</v>
      </c>
    </row>
    <row r="9" spans="1:16" ht="21">
      <c r="B9" s="126">
        <v>6</v>
      </c>
      <c r="C9" s="126" t="s">
        <v>376</v>
      </c>
      <c r="D9" s="127">
        <v>104</v>
      </c>
      <c r="E9" s="128" t="str">
        <f t="shared" si="0"/>
        <v>STANDAR</v>
      </c>
      <c r="F9" s="129">
        <f t="shared" si="1"/>
        <v>275000</v>
      </c>
      <c r="G9" s="130">
        <v>40750</v>
      </c>
      <c r="H9" s="130">
        <v>40755</v>
      </c>
      <c r="I9" s="127">
        <f t="shared" si="2"/>
        <v>5</v>
      </c>
      <c r="J9" s="129">
        <f t="shared" si="3"/>
        <v>1375000</v>
      </c>
      <c r="K9" s="129">
        <f t="shared" si="4"/>
        <v>288750</v>
      </c>
      <c r="L9" s="131">
        <f t="shared" si="5"/>
        <v>68750</v>
      </c>
      <c r="M9" s="132">
        <f t="shared" si="6"/>
        <v>137500</v>
      </c>
      <c r="N9" s="155">
        <f t="shared" si="7"/>
        <v>34375</v>
      </c>
      <c r="O9" s="133">
        <f t="shared" si="8"/>
        <v>240625</v>
      </c>
      <c r="P9" s="129">
        <f t="shared" si="9"/>
        <v>1423125</v>
      </c>
    </row>
    <row r="10" spans="1:16" ht="21">
      <c r="B10" s="126">
        <v>7</v>
      </c>
      <c r="C10" s="126" t="s">
        <v>377</v>
      </c>
      <c r="D10" s="127">
        <v>301</v>
      </c>
      <c r="E10" s="128" t="str">
        <f t="shared" si="0"/>
        <v>DELUXE</v>
      </c>
      <c r="F10" s="129">
        <f t="shared" si="1"/>
        <v>350000</v>
      </c>
      <c r="G10" s="130">
        <v>40750</v>
      </c>
      <c r="H10" s="130">
        <v>40752</v>
      </c>
      <c r="I10" s="127">
        <f t="shared" si="2"/>
        <v>2</v>
      </c>
      <c r="J10" s="129">
        <f t="shared" si="3"/>
        <v>700000</v>
      </c>
      <c r="K10" s="129">
        <f t="shared" si="4"/>
        <v>147000</v>
      </c>
      <c r="L10" s="131">
        <f t="shared" si="5"/>
        <v>0</v>
      </c>
      <c r="M10" s="132">
        <f t="shared" si="6"/>
        <v>0</v>
      </c>
      <c r="N10" s="155">
        <f t="shared" si="7"/>
        <v>0</v>
      </c>
      <c r="O10" s="133">
        <f t="shared" si="8"/>
        <v>0</v>
      </c>
      <c r="P10" s="129">
        <f t="shared" si="9"/>
        <v>847000</v>
      </c>
    </row>
    <row r="11" spans="1:16" ht="21">
      <c r="B11" s="126">
        <v>8</v>
      </c>
      <c r="C11" s="126" t="s">
        <v>378</v>
      </c>
      <c r="D11" s="127">
        <v>302</v>
      </c>
      <c r="E11" s="128" t="str">
        <f t="shared" si="0"/>
        <v>DELUXE</v>
      </c>
      <c r="F11" s="129">
        <f t="shared" si="1"/>
        <v>350000</v>
      </c>
      <c r="G11" s="130">
        <v>40751</v>
      </c>
      <c r="H11" s="130">
        <v>40755</v>
      </c>
      <c r="I11" s="127">
        <f t="shared" si="2"/>
        <v>4</v>
      </c>
      <c r="J11" s="129">
        <f t="shared" si="3"/>
        <v>1400000</v>
      </c>
      <c r="K11" s="129">
        <f t="shared" si="4"/>
        <v>294000</v>
      </c>
      <c r="L11" s="131">
        <f t="shared" si="5"/>
        <v>0</v>
      </c>
      <c r="M11" s="132">
        <f t="shared" si="6"/>
        <v>0</v>
      </c>
      <c r="N11" s="155">
        <f t="shared" si="7"/>
        <v>0</v>
      </c>
      <c r="O11" s="133">
        <f t="shared" si="8"/>
        <v>0</v>
      </c>
      <c r="P11" s="129">
        <f t="shared" si="9"/>
        <v>1694000</v>
      </c>
    </row>
    <row r="12" spans="1:16" ht="21">
      <c r="B12" s="126">
        <v>9</v>
      </c>
      <c r="C12" s="126" t="s">
        <v>379</v>
      </c>
      <c r="D12" s="127">
        <v>303</v>
      </c>
      <c r="E12" s="128" t="str">
        <f t="shared" si="0"/>
        <v>DELUXE</v>
      </c>
      <c r="F12" s="129">
        <f t="shared" si="1"/>
        <v>350000</v>
      </c>
      <c r="G12" s="130">
        <v>40751</v>
      </c>
      <c r="H12" s="130">
        <v>40754</v>
      </c>
      <c r="I12" s="127">
        <f t="shared" si="2"/>
        <v>3</v>
      </c>
      <c r="J12" s="129">
        <f t="shared" si="3"/>
        <v>1050000</v>
      </c>
      <c r="K12" s="129">
        <f t="shared" si="4"/>
        <v>220500</v>
      </c>
      <c r="L12" s="131">
        <f t="shared" si="5"/>
        <v>0</v>
      </c>
      <c r="M12" s="132">
        <f t="shared" si="6"/>
        <v>0</v>
      </c>
      <c r="N12" s="155">
        <f t="shared" si="7"/>
        <v>0</v>
      </c>
      <c r="O12" s="133">
        <f t="shared" si="8"/>
        <v>0</v>
      </c>
      <c r="P12" s="129">
        <f t="shared" si="9"/>
        <v>1270500</v>
      </c>
    </row>
    <row r="13" spans="1:16" ht="21">
      <c r="B13" s="126">
        <v>10</v>
      </c>
      <c r="C13" s="126" t="s">
        <v>380</v>
      </c>
      <c r="D13" s="127">
        <v>105</v>
      </c>
      <c r="E13" s="128" t="str">
        <f t="shared" si="0"/>
        <v>STANDAR</v>
      </c>
      <c r="F13" s="129">
        <f t="shared" si="1"/>
        <v>275000</v>
      </c>
      <c r="G13" s="130">
        <v>40752</v>
      </c>
      <c r="H13" s="130">
        <v>40755</v>
      </c>
      <c r="I13" s="127">
        <f t="shared" si="2"/>
        <v>3</v>
      </c>
      <c r="J13" s="129">
        <f t="shared" si="3"/>
        <v>825000</v>
      </c>
      <c r="K13" s="129">
        <f t="shared" si="4"/>
        <v>173250</v>
      </c>
      <c r="L13" s="131">
        <f t="shared" si="5"/>
        <v>41250</v>
      </c>
      <c r="M13" s="132">
        <f t="shared" si="6"/>
        <v>82500</v>
      </c>
      <c r="N13" s="155">
        <f t="shared" si="7"/>
        <v>20625</v>
      </c>
      <c r="O13" s="133">
        <f t="shared" si="8"/>
        <v>144375</v>
      </c>
      <c r="P13" s="129">
        <f t="shared" si="9"/>
        <v>853875</v>
      </c>
    </row>
    <row r="14" spans="1:16" ht="15.75">
      <c r="O14" s="134" t="s">
        <v>88</v>
      </c>
      <c r="P14" s="135">
        <f>SUM(P4:P13)</f>
        <v>9611500</v>
      </c>
    </row>
    <row r="15" spans="1:16" ht="15.75">
      <c r="O15" s="134" t="s">
        <v>381</v>
      </c>
      <c r="P15" s="135">
        <f>MAX(P4:P13)</f>
        <v>1694000</v>
      </c>
    </row>
    <row r="16" spans="1:16" ht="26.25">
      <c r="A16" s="136" t="s">
        <v>382</v>
      </c>
      <c r="B16" s="137"/>
      <c r="O16" s="134" t="s">
        <v>383</v>
      </c>
      <c r="P16" s="135">
        <f>MIN(P4:P13)</f>
        <v>319000</v>
      </c>
    </row>
    <row r="17" spans="1:16" ht="18.75">
      <c r="A17" s="138">
        <v>1</v>
      </c>
      <c r="B17" s="139" t="s">
        <v>384</v>
      </c>
      <c r="O17" s="134" t="s">
        <v>385</v>
      </c>
      <c r="P17" s="135">
        <f>AVERAGE(P4:P13)</f>
        <v>961150</v>
      </c>
    </row>
    <row r="18" spans="1:16" ht="18.75">
      <c r="A18" s="138">
        <v>2</v>
      </c>
      <c r="B18" s="139" t="s">
        <v>386</v>
      </c>
      <c r="O18" s="134" t="s">
        <v>387</v>
      </c>
      <c r="P18">
        <f>COUNTA(P4:P13)</f>
        <v>10</v>
      </c>
    </row>
    <row r="19" spans="1:16" ht="18.75">
      <c r="A19" s="138">
        <v>3</v>
      </c>
      <c r="B19" s="139" t="s">
        <v>388</v>
      </c>
    </row>
    <row r="20" spans="1:16" ht="18.75">
      <c r="A20" s="138">
        <v>4</v>
      </c>
      <c r="B20" s="139" t="s">
        <v>389</v>
      </c>
    </row>
    <row r="21" spans="1:16" ht="18.75">
      <c r="A21" s="138">
        <v>5</v>
      </c>
      <c r="B21" s="139" t="s">
        <v>390</v>
      </c>
    </row>
    <row r="22" spans="1:16" ht="18.75">
      <c r="A22" s="138">
        <v>6</v>
      </c>
      <c r="B22" s="139" t="s">
        <v>391</v>
      </c>
    </row>
    <row r="23" spans="1:16" ht="18.75">
      <c r="A23" s="138">
        <v>7</v>
      </c>
      <c r="B23" s="139" t="s">
        <v>392</v>
      </c>
    </row>
    <row r="24" spans="1:16" ht="18.75">
      <c r="A24" s="138">
        <v>8</v>
      </c>
      <c r="B24" s="139" t="s">
        <v>393</v>
      </c>
    </row>
    <row r="25" spans="1:16" ht="18.75">
      <c r="A25" s="138">
        <v>9</v>
      </c>
      <c r="B25" s="139" t="s">
        <v>394</v>
      </c>
    </row>
    <row r="26" spans="1:16" ht="18.75">
      <c r="A26" s="138">
        <v>10</v>
      </c>
      <c r="B26" s="139" t="s">
        <v>395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67"/>
  <sheetViews>
    <sheetView workbookViewId="0"/>
  </sheetViews>
  <sheetFormatPr defaultRowHeight="12.75"/>
  <cols>
    <col min="1" max="1" width="14.28515625" customWidth="1"/>
    <col min="2" max="2" width="19.140625" customWidth="1"/>
    <col min="3" max="3" width="23.85546875" customWidth="1"/>
    <col min="4" max="4" width="14.5703125" customWidth="1"/>
    <col min="5" max="5" width="21.140625" customWidth="1"/>
    <col min="6" max="6" width="20.85546875" customWidth="1"/>
    <col min="7" max="7" width="22.85546875" customWidth="1"/>
    <col min="8" max="8" width="17.140625" customWidth="1"/>
    <col min="9" max="9" width="14.140625" customWidth="1"/>
    <col min="10" max="10" width="13.28515625" customWidth="1"/>
    <col min="11" max="11" width="11.42578125" customWidth="1"/>
    <col min="12" max="12" width="12" bestFit="1" customWidth="1"/>
    <col min="13" max="13" width="12" customWidth="1"/>
    <col min="14" max="14" width="13.42578125" customWidth="1"/>
    <col min="15" max="15" width="15.7109375" customWidth="1"/>
    <col min="16" max="16" width="14.7109375" customWidth="1"/>
  </cols>
  <sheetData>
    <row r="2" spans="1:16" ht="33.75" customHeight="1">
      <c r="A2" s="312" t="s">
        <v>396</v>
      </c>
      <c r="B2" s="312" t="s">
        <v>273</v>
      </c>
      <c r="C2" s="313" t="s">
        <v>279</v>
      </c>
      <c r="D2" s="312" t="s">
        <v>397</v>
      </c>
      <c r="E2" s="140" t="s">
        <v>358</v>
      </c>
      <c r="F2" s="312" t="s">
        <v>359</v>
      </c>
      <c r="G2" s="312" t="s">
        <v>360</v>
      </c>
      <c r="H2" s="312"/>
      <c r="I2" s="310" t="s">
        <v>280</v>
      </c>
      <c r="J2" s="310" t="s">
        <v>398</v>
      </c>
      <c r="K2" s="305" t="s">
        <v>399</v>
      </c>
      <c r="L2" s="305" t="s">
        <v>400</v>
      </c>
      <c r="M2" s="310" t="s">
        <v>401</v>
      </c>
      <c r="N2" s="305" t="s">
        <v>64</v>
      </c>
      <c r="O2" s="305" t="s">
        <v>285</v>
      </c>
      <c r="P2" s="305" t="s">
        <v>402</v>
      </c>
    </row>
    <row r="3" spans="1:16">
      <c r="A3" s="312"/>
      <c r="B3" s="312"/>
      <c r="C3" s="313"/>
      <c r="D3" s="312"/>
      <c r="E3" s="141" t="s">
        <v>366</v>
      </c>
      <c r="F3" s="312"/>
      <c r="G3" s="141" t="s">
        <v>367</v>
      </c>
      <c r="H3" s="141" t="s">
        <v>403</v>
      </c>
      <c r="I3" s="311"/>
      <c r="J3" s="311"/>
      <c r="K3" s="306"/>
      <c r="L3" s="306"/>
      <c r="M3" s="311"/>
      <c r="N3" s="306"/>
      <c r="O3" s="306"/>
      <c r="P3" s="306"/>
    </row>
    <row r="4" spans="1:16">
      <c r="A4" s="142" t="s">
        <v>404</v>
      </c>
      <c r="B4" s="142" t="s">
        <v>405</v>
      </c>
      <c r="C4" s="142" t="s">
        <v>406</v>
      </c>
      <c r="D4" s="142" t="s">
        <v>407</v>
      </c>
      <c r="E4" s="142" t="s">
        <v>408</v>
      </c>
      <c r="F4" s="142" t="s">
        <v>409</v>
      </c>
      <c r="G4" s="142" t="s">
        <v>410</v>
      </c>
      <c r="H4" s="142" t="s">
        <v>411</v>
      </c>
      <c r="I4" s="142" t="s">
        <v>412</v>
      </c>
      <c r="J4" s="142" t="s">
        <v>413</v>
      </c>
      <c r="K4" s="142" t="s">
        <v>414</v>
      </c>
      <c r="L4" s="142" t="s">
        <v>415</v>
      </c>
      <c r="M4" s="142" t="s">
        <v>416</v>
      </c>
      <c r="N4" s="142" t="s">
        <v>417</v>
      </c>
      <c r="O4" s="142" t="s">
        <v>418</v>
      </c>
      <c r="P4" s="142" t="s">
        <v>419</v>
      </c>
    </row>
    <row r="5" spans="1:16">
      <c r="A5" s="8">
        <v>1</v>
      </c>
      <c r="B5" s="143" t="s">
        <v>420</v>
      </c>
      <c r="C5" s="8">
        <v>2</v>
      </c>
      <c r="D5" s="8">
        <v>201</v>
      </c>
      <c r="E5" s="8" t="str">
        <f>VLOOKUP(D5,$A$56:$C$64,3,FALSE)</f>
        <v>CORNER SUITE</v>
      </c>
      <c r="F5" s="144">
        <f>HLOOKUP(E5,$D$44:$G$46,2,FALSE)</f>
        <v>162</v>
      </c>
      <c r="G5" s="145">
        <v>44105</v>
      </c>
      <c r="H5" s="145">
        <v>44114</v>
      </c>
      <c r="I5" s="8">
        <f>H5-G5</f>
        <v>9</v>
      </c>
      <c r="J5" s="144">
        <f>F5*I5</f>
        <v>1458</v>
      </c>
      <c r="K5" s="144">
        <f>C5*5*I5</f>
        <v>90</v>
      </c>
      <c r="L5" s="146">
        <v>600</v>
      </c>
      <c r="M5" s="147">
        <f>J5+K5+L5</f>
        <v>2148</v>
      </c>
      <c r="N5" s="144">
        <f>IF(I5&gt;5,M5*0.1,0)</f>
        <v>214.8</v>
      </c>
      <c r="O5" s="148">
        <f>M5*0.21</f>
        <v>451.08</v>
      </c>
      <c r="P5" s="149">
        <f>(M5-N5)+O5</f>
        <v>2384.2800000000002</v>
      </c>
    </row>
    <row r="6" spans="1:16">
      <c r="A6" s="8">
        <f>A5+1</f>
        <v>2</v>
      </c>
      <c r="B6" s="143" t="s">
        <v>421</v>
      </c>
      <c r="C6" s="8">
        <v>1</v>
      </c>
      <c r="D6" s="8">
        <v>101</v>
      </c>
      <c r="E6" s="8" t="str">
        <f t="shared" ref="E6:E14" si="0">VLOOKUP(D6,$A$56:$C$64,3,FALSE)</f>
        <v>DELUXE</v>
      </c>
      <c r="F6" s="144">
        <f t="shared" ref="F6:F14" si="1">HLOOKUP(E6,$D$44:$G$46,2,FALSE)</f>
        <v>51</v>
      </c>
      <c r="G6" s="145">
        <v>44105</v>
      </c>
      <c r="H6" s="145">
        <v>44107</v>
      </c>
      <c r="I6" s="8">
        <f t="shared" ref="I6:I14" si="2">H6-G6</f>
        <v>2</v>
      </c>
      <c r="J6" s="144">
        <f t="shared" ref="J6:J14" si="3">F6*I6</f>
        <v>102</v>
      </c>
      <c r="K6" s="144">
        <f t="shared" ref="K6:K13" si="4">C6*5*I6</f>
        <v>10</v>
      </c>
      <c r="L6" s="146">
        <v>110</v>
      </c>
      <c r="M6" s="147">
        <f t="shared" ref="M6:M14" si="5">J6+K6+L6</f>
        <v>222</v>
      </c>
      <c r="N6" s="144">
        <f t="shared" ref="N6:N14" si="6">IF(I6&gt;5,M6*0.1,0)</f>
        <v>0</v>
      </c>
      <c r="O6" s="148">
        <f t="shared" ref="O6:O14" si="7">M6*0.21</f>
        <v>46.62</v>
      </c>
      <c r="P6" s="149">
        <f t="shared" ref="P6:P14" si="8">(M6-N6)+O6</f>
        <v>268.62</v>
      </c>
    </row>
    <row r="7" spans="1:16">
      <c r="A7" s="8">
        <f t="shared" ref="A7:A13" si="9">A6+1</f>
        <v>3</v>
      </c>
      <c r="B7" s="143" t="s">
        <v>422</v>
      </c>
      <c r="C7" s="8">
        <v>2</v>
      </c>
      <c r="D7" s="8">
        <v>202</v>
      </c>
      <c r="E7" s="8" t="str">
        <f t="shared" si="0"/>
        <v>CORNER SUITE</v>
      </c>
      <c r="F7" s="144">
        <f t="shared" si="1"/>
        <v>162</v>
      </c>
      <c r="G7" s="145">
        <v>44108</v>
      </c>
      <c r="H7" s="145">
        <v>44113</v>
      </c>
      <c r="I7" s="8">
        <f t="shared" si="2"/>
        <v>5</v>
      </c>
      <c r="J7" s="144">
        <f t="shared" si="3"/>
        <v>810</v>
      </c>
      <c r="K7" s="144">
        <f t="shared" si="4"/>
        <v>50</v>
      </c>
      <c r="L7" s="146">
        <v>440</v>
      </c>
      <c r="M7" s="147">
        <f t="shared" si="5"/>
        <v>1300</v>
      </c>
      <c r="N7" s="144">
        <f t="shared" si="6"/>
        <v>0</v>
      </c>
      <c r="O7" s="148">
        <f t="shared" si="7"/>
        <v>273</v>
      </c>
      <c r="P7" s="149">
        <f t="shared" si="8"/>
        <v>1573</v>
      </c>
    </row>
    <row r="8" spans="1:16">
      <c r="A8" s="8">
        <f t="shared" si="9"/>
        <v>4</v>
      </c>
      <c r="B8" s="143" t="s">
        <v>423</v>
      </c>
      <c r="C8" s="8">
        <v>2</v>
      </c>
      <c r="D8" s="8">
        <v>103</v>
      </c>
      <c r="E8" s="8" t="str">
        <f t="shared" si="0"/>
        <v>DELUXE</v>
      </c>
      <c r="F8" s="144">
        <f t="shared" si="1"/>
        <v>51</v>
      </c>
      <c r="G8" s="145">
        <v>44109</v>
      </c>
      <c r="H8" s="145">
        <v>44115</v>
      </c>
      <c r="I8" s="8">
        <f t="shared" si="2"/>
        <v>6</v>
      </c>
      <c r="J8" s="144">
        <f t="shared" si="3"/>
        <v>306</v>
      </c>
      <c r="K8" s="144">
        <f t="shared" si="4"/>
        <v>60</v>
      </c>
      <c r="L8" s="146">
        <v>120</v>
      </c>
      <c r="M8" s="147">
        <f t="shared" si="5"/>
        <v>486</v>
      </c>
      <c r="N8" s="144">
        <f t="shared" si="6"/>
        <v>48.6</v>
      </c>
      <c r="O8" s="148">
        <f t="shared" si="7"/>
        <v>102.06</v>
      </c>
      <c r="P8" s="149">
        <f t="shared" si="8"/>
        <v>539.46</v>
      </c>
    </row>
    <row r="9" spans="1:16">
      <c r="A9" s="8">
        <f t="shared" si="9"/>
        <v>5</v>
      </c>
      <c r="B9" s="143" t="s">
        <v>424</v>
      </c>
      <c r="C9" s="8">
        <v>3</v>
      </c>
      <c r="D9" s="8">
        <v>302</v>
      </c>
      <c r="E9" s="8" t="str">
        <f t="shared" si="0"/>
        <v>EXECUTIVE SUITE</v>
      </c>
      <c r="F9" s="144">
        <f t="shared" si="1"/>
        <v>379</v>
      </c>
      <c r="G9" s="145">
        <v>44113</v>
      </c>
      <c r="H9" s="145">
        <v>44114</v>
      </c>
      <c r="I9" s="8">
        <f t="shared" si="2"/>
        <v>1</v>
      </c>
      <c r="J9" s="144">
        <f t="shared" si="3"/>
        <v>379</v>
      </c>
      <c r="K9" s="144">
        <f t="shared" si="4"/>
        <v>15</v>
      </c>
      <c r="L9" s="146">
        <v>0</v>
      </c>
      <c r="M9" s="147">
        <f t="shared" si="5"/>
        <v>394</v>
      </c>
      <c r="N9" s="144">
        <f t="shared" si="6"/>
        <v>0</v>
      </c>
      <c r="O9" s="148">
        <f t="shared" si="7"/>
        <v>82.74</v>
      </c>
      <c r="P9" s="149">
        <f t="shared" si="8"/>
        <v>476.74</v>
      </c>
    </row>
    <row r="10" spans="1:16">
      <c r="A10" s="8">
        <f t="shared" si="9"/>
        <v>6</v>
      </c>
      <c r="B10" s="143" t="s">
        <v>425</v>
      </c>
      <c r="C10" s="8">
        <v>1</v>
      </c>
      <c r="D10" s="8">
        <v>102</v>
      </c>
      <c r="E10" s="8" t="str">
        <f t="shared" si="0"/>
        <v>DELUXE</v>
      </c>
      <c r="F10" s="144">
        <f t="shared" si="1"/>
        <v>51</v>
      </c>
      <c r="G10" s="145">
        <v>44118</v>
      </c>
      <c r="H10" s="145">
        <v>44120</v>
      </c>
      <c r="I10" s="8">
        <f t="shared" si="2"/>
        <v>2</v>
      </c>
      <c r="J10" s="144">
        <f t="shared" si="3"/>
        <v>102</v>
      </c>
      <c r="K10" s="144">
        <f t="shared" si="4"/>
        <v>10</v>
      </c>
      <c r="L10" s="146">
        <v>0</v>
      </c>
      <c r="M10" s="147">
        <f t="shared" si="5"/>
        <v>112</v>
      </c>
      <c r="N10" s="144">
        <f t="shared" si="6"/>
        <v>0</v>
      </c>
      <c r="O10" s="148">
        <f t="shared" si="7"/>
        <v>23.52</v>
      </c>
      <c r="P10" s="149">
        <f t="shared" si="8"/>
        <v>135.52000000000001</v>
      </c>
    </row>
    <row r="11" spans="1:16">
      <c r="A11" s="8">
        <f t="shared" si="9"/>
        <v>7</v>
      </c>
      <c r="B11" s="143" t="s">
        <v>426</v>
      </c>
      <c r="C11" s="8">
        <v>4</v>
      </c>
      <c r="D11" s="8">
        <v>401</v>
      </c>
      <c r="E11" s="8" t="str">
        <f t="shared" si="0"/>
        <v>PRESEDENTIAL SUITE</v>
      </c>
      <c r="F11" s="144">
        <f t="shared" si="1"/>
        <v>925</v>
      </c>
      <c r="G11" s="145">
        <v>44122</v>
      </c>
      <c r="H11" s="145">
        <v>44130</v>
      </c>
      <c r="I11" s="8">
        <f t="shared" si="2"/>
        <v>8</v>
      </c>
      <c r="J11" s="144">
        <f t="shared" si="3"/>
        <v>7400</v>
      </c>
      <c r="K11" s="144">
        <f t="shared" si="4"/>
        <v>160</v>
      </c>
      <c r="L11" s="146">
        <v>1200</v>
      </c>
      <c r="M11" s="147">
        <f t="shared" si="5"/>
        <v>8760</v>
      </c>
      <c r="N11" s="144">
        <f t="shared" si="6"/>
        <v>876</v>
      </c>
      <c r="O11" s="148">
        <f t="shared" si="7"/>
        <v>1839.6</v>
      </c>
      <c r="P11" s="149">
        <f t="shared" si="8"/>
        <v>9723.6</v>
      </c>
    </row>
    <row r="12" spans="1:16">
      <c r="A12" s="8">
        <f t="shared" si="9"/>
        <v>8</v>
      </c>
      <c r="B12" s="143" t="s">
        <v>427</v>
      </c>
      <c r="C12" s="8">
        <v>2</v>
      </c>
      <c r="D12" s="8">
        <v>104</v>
      </c>
      <c r="E12" s="8" t="str">
        <f t="shared" si="0"/>
        <v>DELUXE</v>
      </c>
      <c r="F12" s="144">
        <f t="shared" si="1"/>
        <v>51</v>
      </c>
      <c r="G12" s="145">
        <v>44124</v>
      </c>
      <c r="H12" s="145">
        <v>44125</v>
      </c>
      <c r="I12" s="8">
        <f t="shared" si="2"/>
        <v>1</v>
      </c>
      <c r="J12" s="144">
        <f t="shared" si="3"/>
        <v>51</v>
      </c>
      <c r="K12" s="144">
        <f t="shared" si="4"/>
        <v>10</v>
      </c>
      <c r="L12" s="146">
        <f>-L13715</f>
        <v>0</v>
      </c>
      <c r="M12" s="147">
        <f>J12+K12+L12</f>
        <v>61</v>
      </c>
      <c r="N12" s="144">
        <f t="shared" si="6"/>
        <v>0</v>
      </c>
      <c r="O12" s="148">
        <f t="shared" si="7"/>
        <v>12.809999999999999</v>
      </c>
      <c r="P12" s="149">
        <f t="shared" si="8"/>
        <v>73.81</v>
      </c>
    </row>
    <row r="13" spans="1:16">
      <c r="A13" s="8">
        <f t="shared" si="9"/>
        <v>9</v>
      </c>
      <c r="B13" s="143" t="s">
        <v>428</v>
      </c>
      <c r="C13" s="8">
        <v>3</v>
      </c>
      <c r="D13" s="8">
        <v>302</v>
      </c>
      <c r="E13" s="8" t="str">
        <f t="shared" si="0"/>
        <v>EXECUTIVE SUITE</v>
      </c>
      <c r="F13" s="144">
        <f t="shared" si="1"/>
        <v>379</v>
      </c>
      <c r="G13" s="145">
        <v>44128</v>
      </c>
      <c r="H13" s="145">
        <v>44133</v>
      </c>
      <c r="I13" s="8">
        <f t="shared" si="2"/>
        <v>5</v>
      </c>
      <c r="J13" s="144">
        <f t="shared" si="3"/>
        <v>1895</v>
      </c>
      <c r="K13" s="144">
        <f t="shared" si="4"/>
        <v>75</v>
      </c>
      <c r="L13" s="146">
        <v>710</v>
      </c>
      <c r="M13" s="147">
        <f t="shared" si="5"/>
        <v>2680</v>
      </c>
      <c r="N13" s="144">
        <f t="shared" si="6"/>
        <v>0</v>
      </c>
      <c r="O13" s="148">
        <f t="shared" si="7"/>
        <v>562.79999999999995</v>
      </c>
      <c r="P13" s="149">
        <f t="shared" si="8"/>
        <v>3242.8</v>
      </c>
    </row>
    <row r="14" spans="1:16">
      <c r="A14" s="8">
        <f>A13+1</f>
        <v>10</v>
      </c>
      <c r="B14" s="143" t="s">
        <v>429</v>
      </c>
      <c r="C14" s="8">
        <v>3</v>
      </c>
      <c r="D14" s="8">
        <v>203</v>
      </c>
      <c r="E14" s="8" t="str">
        <f t="shared" si="0"/>
        <v>CORNER SUITE</v>
      </c>
      <c r="F14" s="144">
        <f t="shared" si="1"/>
        <v>162</v>
      </c>
      <c r="G14" s="145">
        <v>44130</v>
      </c>
      <c r="H14" s="145">
        <v>44132</v>
      </c>
      <c r="I14" s="8">
        <f t="shared" si="2"/>
        <v>2</v>
      </c>
      <c r="J14" s="144">
        <f t="shared" si="3"/>
        <v>324</v>
      </c>
      <c r="K14" s="144">
        <f>C14*5*I14</f>
        <v>30</v>
      </c>
      <c r="L14" s="146">
        <v>200</v>
      </c>
      <c r="M14" s="147">
        <f t="shared" si="5"/>
        <v>554</v>
      </c>
      <c r="N14" s="144">
        <f t="shared" si="6"/>
        <v>0</v>
      </c>
      <c r="O14" s="148">
        <f t="shared" si="7"/>
        <v>116.33999999999999</v>
      </c>
      <c r="P14" s="149">
        <f t="shared" si="8"/>
        <v>670.34</v>
      </c>
    </row>
    <row r="15" spans="1:16">
      <c r="A15" s="307" t="s">
        <v>430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9"/>
      <c r="P15" s="150">
        <f>SUM(P5:P14)</f>
        <v>19088.170000000002</v>
      </c>
    </row>
    <row r="16" spans="1:16">
      <c r="A16" s="307" t="s">
        <v>431</v>
      </c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9"/>
      <c r="P16" s="150">
        <f>MAX(P5:P14)</f>
        <v>9723.6</v>
      </c>
    </row>
    <row r="17" spans="1:16">
      <c r="A17" s="307" t="s">
        <v>432</v>
      </c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9"/>
      <c r="P17" s="150">
        <f>MIN(P5:P14)</f>
        <v>73.81</v>
      </c>
    </row>
    <row r="18" spans="1:16">
      <c r="A18" s="307" t="s">
        <v>433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9"/>
      <c r="P18" s="150">
        <f>AVERAGE(P5:P14)</f>
        <v>1908.8170000000002</v>
      </c>
    </row>
    <row r="19" spans="1:16">
      <c r="A19" s="307" t="s">
        <v>434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9"/>
      <c r="P19" s="151">
        <f>COUNT(P5:P14)</f>
        <v>10</v>
      </c>
    </row>
    <row r="22" spans="1:16">
      <c r="A22" t="s">
        <v>435</v>
      </c>
    </row>
    <row r="23" spans="1:16">
      <c r="A23" t="s">
        <v>436</v>
      </c>
    </row>
    <row r="24" spans="1:16">
      <c r="A24" t="s">
        <v>437</v>
      </c>
    </row>
    <row r="25" spans="1:16">
      <c r="A25" t="s">
        <v>438</v>
      </c>
    </row>
    <row r="26" spans="1:16">
      <c r="A26" t="s">
        <v>439</v>
      </c>
    </row>
    <row r="27" spans="1:16">
      <c r="A27" t="s">
        <v>440</v>
      </c>
    </row>
    <row r="28" spans="1:16">
      <c r="A28" t="s">
        <v>441</v>
      </c>
    </row>
    <row r="29" spans="1:16">
      <c r="A29" t="s">
        <v>442</v>
      </c>
    </row>
    <row r="30" spans="1:16">
      <c r="A30" t="s">
        <v>443</v>
      </c>
    </row>
    <row r="31" spans="1:16">
      <c r="A31" t="s">
        <v>444</v>
      </c>
    </row>
    <row r="32" spans="1:16">
      <c r="A32" t="s">
        <v>445</v>
      </c>
    </row>
    <row r="33" spans="1:7">
      <c r="A33" t="s">
        <v>446</v>
      </c>
    </row>
    <row r="34" spans="1:7">
      <c r="A34" t="s">
        <v>447</v>
      </c>
    </row>
    <row r="35" spans="1:7">
      <c r="A35" t="s">
        <v>448</v>
      </c>
    </row>
    <row r="36" spans="1:7">
      <c r="A36" t="s">
        <v>449</v>
      </c>
    </row>
    <row r="41" spans="1:7">
      <c r="A41" t="s">
        <v>450</v>
      </c>
    </row>
    <row r="42" spans="1:7">
      <c r="A42" t="s">
        <v>451</v>
      </c>
    </row>
    <row r="43" spans="1:7">
      <c r="A43" s="314" t="s">
        <v>320</v>
      </c>
      <c r="B43" s="314"/>
      <c r="C43" s="152" t="s">
        <v>404</v>
      </c>
      <c r="D43" s="91" t="s">
        <v>452</v>
      </c>
      <c r="E43" s="91" t="s">
        <v>453</v>
      </c>
      <c r="F43" s="91" t="s">
        <v>454</v>
      </c>
      <c r="G43" s="91" t="s">
        <v>455</v>
      </c>
    </row>
    <row r="44" spans="1:7">
      <c r="A44" s="314" t="s">
        <v>281</v>
      </c>
      <c r="B44" s="314"/>
      <c r="C44" s="152" t="s">
        <v>405</v>
      </c>
      <c r="D44" s="91" t="s">
        <v>456</v>
      </c>
      <c r="E44" s="91" t="s">
        <v>457</v>
      </c>
      <c r="F44" s="91" t="s">
        <v>458</v>
      </c>
      <c r="G44" s="91" t="s">
        <v>459</v>
      </c>
    </row>
    <row r="45" spans="1:7">
      <c r="A45" s="315" t="s">
        <v>359</v>
      </c>
      <c r="B45" s="152" t="s">
        <v>460</v>
      </c>
      <c r="C45" s="152" t="s">
        <v>406</v>
      </c>
      <c r="D45" s="153">
        <v>51</v>
      </c>
      <c r="E45" s="153">
        <v>162</v>
      </c>
      <c r="F45" s="153">
        <v>379</v>
      </c>
      <c r="G45" s="153">
        <v>925</v>
      </c>
    </row>
    <row r="46" spans="1:7">
      <c r="A46" s="315"/>
      <c r="B46" s="152" t="s">
        <v>461</v>
      </c>
      <c r="C46" s="152" t="s">
        <v>407</v>
      </c>
      <c r="D46" s="154">
        <f>8950*D45</f>
        <v>456450</v>
      </c>
      <c r="E46" s="154">
        <f t="shared" ref="E46:F46" si="10">8950*E45</f>
        <v>1449900</v>
      </c>
      <c r="F46" s="154">
        <f t="shared" si="10"/>
        <v>3392050</v>
      </c>
      <c r="G46" s="154">
        <f>8950*G45</f>
        <v>8278750</v>
      </c>
    </row>
    <row r="48" spans="1:7">
      <c r="A48" t="s">
        <v>462</v>
      </c>
    </row>
    <row r="49" spans="1:3">
      <c r="A49" t="s">
        <v>463</v>
      </c>
    </row>
    <row r="51" spans="1:3">
      <c r="A51" t="s">
        <v>464</v>
      </c>
    </row>
    <row r="52" spans="1:3">
      <c r="A52" t="s">
        <v>465</v>
      </c>
    </row>
    <row r="54" spans="1:3">
      <c r="A54" s="152" t="s">
        <v>397</v>
      </c>
      <c r="B54" s="152" t="s">
        <v>366</v>
      </c>
      <c r="C54" s="152" t="s">
        <v>276</v>
      </c>
    </row>
    <row r="55" spans="1:3">
      <c r="A55" s="152" t="s">
        <v>404</v>
      </c>
      <c r="B55" s="152" t="s">
        <v>405</v>
      </c>
      <c r="C55" s="152" t="s">
        <v>406</v>
      </c>
    </row>
    <row r="56" spans="1:3">
      <c r="A56" s="91">
        <v>101</v>
      </c>
      <c r="B56" s="91" t="s">
        <v>452</v>
      </c>
      <c r="C56" s="152" t="str">
        <f>HLOOKUP(B56,$D$43:$G$44,2,FALSE)</f>
        <v>DELUXE</v>
      </c>
    </row>
    <row r="57" spans="1:3">
      <c r="A57" s="91">
        <v>104</v>
      </c>
      <c r="B57" s="91" t="s">
        <v>452</v>
      </c>
      <c r="C57" s="152" t="str">
        <f t="shared" ref="C57:C64" si="11">HLOOKUP(B57,$D$43:$G$44,2,FALSE)</f>
        <v>DELUXE</v>
      </c>
    </row>
    <row r="58" spans="1:3">
      <c r="A58" s="91">
        <v>202</v>
      </c>
      <c r="B58" s="91" t="s">
        <v>453</v>
      </c>
      <c r="C58" s="152" t="str">
        <f t="shared" si="11"/>
        <v>CORNER SUITE</v>
      </c>
    </row>
    <row r="59" spans="1:3">
      <c r="A59" s="91">
        <v>203</v>
      </c>
      <c r="B59" s="91" t="s">
        <v>453</v>
      </c>
      <c r="C59" s="152" t="str">
        <f t="shared" si="11"/>
        <v>CORNER SUITE</v>
      </c>
    </row>
    <row r="60" spans="1:3">
      <c r="A60" s="91">
        <v>103</v>
      </c>
      <c r="B60" s="91" t="s">
        <v>452</v>
      </c>
      <c r="C60" s="152" t="str">
        <f t="shared" si="11"/>
        <v>DELUXE</v>
      </c>
    </row>
    <row r="61" spans="1:3">
      <c r="A61" s="91">
        <v>201</v>
      </c>
      <c r="B61" s="91" t="s">
        <v>453</v>
      </c>
      <c r="C61" s="152" t="str">
        <f t="shared" si="11"/>
        <v>CORNER SUITE</v>
      </c>
    </row>
    <row r="62" spans="1:3">
      <c r="A62" s="91">
        <v>302</v>
      </c>
      <c r="B62" s="91" t="s">
        <v>454</v>
      </c>
      <c r="C62" s="152" t="str">
        <f t="shared" si="11"/>
        <v>EXECUTIVE SUITE</v>
      </c>
    </row>
    <row r="63" spans="1:3">
      <c r="A63" s="91">
        <v>102</v>
      </c>
      <c r="B63" s="91" t="s">
        <v>452</v>
      </c>
      <c r="C63" s="152" t="str">
        <f t="shared" si="11"/>
        <v>DELUXE</v>
      </c>
    </row>
    <row r="64" spans="1:3">
      <c r="A64" s="91">
        <v>401</v>
      </c>
      <c r="B64" s="91" t="s">
        <v>455</v>
      </c>
      <c r="C64" s="152" t="str">
        <f t="shared" si="11"/>
        <v>PRESEDENTIAL SUITE</v>
      </c>
    </row>
    <row r="66" spans="1:1">
      <c r="A66" t="s">
        <v>462</v>
      </c>
    </row>
    <row r="67" spans="1:1">
      <c r="A67" t="s">
        <v>466</v>
      </c>
    </row>
  </sheetData>
  <mergeCells count="22">
    <mergeCell ref="A19:O19"/>
    <mergeCell ref="A43:B43"/>
    <mergeCell ref="A44:B44"/>
    <mergeCell ref="A45:A46"/>
    <mergeCell ref="O2:O3"/>
    <mergeCell ref="G2:H2"/>
    <mergeCell ref="P2:P3"/>
    <mergeCell ref="A15:O15"/>
    <mergeCell ref="A16:O16"/>
    <mergeCell ref="A17:O17"/>
    <mergeCell ref="A18:O18"/>
    <mergeCell ref="I2:I3"/>
    <mergeCell ref="J2:J3"/>
    <mergeCell ref="K2:K3"/>
    <mergeCell ref="L2:L3"/>
    <mergeCell ref="M2:M3"/>
    <mergeCell ref="N2:N3"/>
    <mergeCell ref="A2:A3"/>
    <mergeCell ref="B2:B3"/>
    <mergeCell ref="C2:C3"/>
    <mergeCell ref="D2:D3"/>
    <mergeCell ref="F2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O60"/>
  <sheetViews>
    <sheetView zoomScale="70" zoomScaleNormal="70" workbookViewId="0"/>
  </sheetViews>
  <sheetFormatPr defaultRowHeight="12.75"/>
  <cols>
    <col min="2" max="2" width="9.28515625" bestFit="1" customWidth="1"/>
    <col min="3" max="3" width="16.85546875" customWidth="1"/>
    <col min="4" max="4" width="26.140625" customWidth="1"/>
    <col min="5" max="5" width="13" customWidth="1"/>
    <col min="6" max="6" width="10.28515625" customWidth="1"/>
    <col min="7" max="7" width="15.28515625" customWidth="1"/>
    <col min="8" max="8" width="12.5703125" customWidth="1"/>
    <col min="9" max="9" width="16.7109375" customWidth="1"/>
    <col min="10" max="11" width="15.85546875" bestFit="1" customWidth="1"/>
    <col min="12" max="12" width="16.5703125" customWidth="1"/>
    <col min="13" max="13" width="18.42578125" customWidth="1"/>
    <col min="14" max="14" width="19.140625" customWidth="1"/>
    <col min="15" max="15" width="30.140625" bestFit="1" customWidth="1"/>
  </cols>
  <sheetData>
    <row r="3" spans="2:15" ht="23.25">
      <c r="B3" s="156" t="s">
        <v>467</v>
      </c>
      <c r="N3" s="157" t="s">
        <v>468</v>
      </c>
      <c r="O3" s="158">
        <v>0.21</v>
      </c>
    </row>
    <row r="4" spans="2:15" ht="23.25">
      <c r="N4" s="157" t="s">
        <v>469</v>
      </c>
      <c r="O4" s="159">
        <v>200000</v>
      </c>
    </row>
    <row r="6" spans="2:15" ht="23.25">
      <c r="B6" s="317" t="s">
        <v>396</v>
      </c>
      <c r="C6" s="316" t="s">
        <v>470</v>
      </c>
      <c r="D6" s="318" t="s">
        <v>471</v>
      </c>
      <c r="E6" s="319" t="s">
        <v>472</v>
      </c>
      <c r="F6" s="316" t="s">
        <v>473</v>
      </c>
      <c r="G6" s="321" t="s">
        <v>474</v>
      </c>
      <c r="H6" s="316" t="s">
        <v>475</v>
      </c>
      <c r="I6" s="323" t="s">
        <v>476</v>
      </c>
      <c r="J6" s="317" t="s">
        <v>477</v>
      </c>
      <c r="K6" s="317"/>
      <c r="L6" s="317"/>
      <c r="M6" s="316" t="s">
        <v>478</v>
      </c>
      <c r="N6" s="316" t="s">
        <v>479</v>
      </c>
      <c r="O6" s="316" t="s">
        <v>480</v>
      </c>
    </row>
    <row r="7" spans="2:15" ht="23.25">
      <c r="B7" s="317"/>
      <c r="C7" s="316"/>
      <c r="D7" s="318"/>
      <c r="E7" s="320"/>
      <c r="F7" s="316"/>
      <c r="G7" s="322"/>
      <c r="H7" s="316"/>
      <c r="I7" s="323"/>
      <c r="J7" s="157" t="s">
        <v>469</v>
      </c>
      <c r="K7" s="160" t="s">
        <v>481</v>
      </c>
      <c r="L7" s="161" t="s">
        <v>482</v>
      </c>
      <c r="M7" s="316"/>
      <c r="N7" s="316"/>
      <c r="O7" s="316"/>
    </row>
    <row r="8" spans="2:15" ht="23.25">
      <c r="B8" s="162">
        <v>1</v>
      </c>
      <c r="C8" s="162">
        <v>87001</v>
      </c>
      <c r="D8" s="163" t="s">
        <v>483</v>
      </c>
      <c r="E8" s="162">
        <v>2005</v>
      </c>
      <c r="F8" s="162" t="s">
        <v>484</v>
      </c>
      <c r="G8" s="162" t="s">
        <v>485</v>
      </c>
      <c r="H8" s="162" t="s">
        <v>486</v>
      </c>
      <c r="I8" s="164"/>
      <c r="J8" s="164">
        <f>IF(AND(G8="L",H8="KW",I8&gt;=1),I8*$O$4,0)</f>
        <v>0</v>
      </c>
      <c r="K8" s="164">
        <f>IF(AND(G8="L",H8="KW"), 300000,0)</f>
        <v>0</v>
      </c>
      <c r="L8" s="164">
        <f>IF(E8=2005, VLOOKUP(F8,$B$25:$D$27,3,0), IF(E8=2006, VLOOKUP(F8,$B$33:$C$35,2,0),0))</f>
        <v>250000</v>
      </c>
      <c r="M8" s="164">
        <f>VLOOKUP(F8,$B$25:$D$27,2,0)</f>
        <v>1200000</v>
      </c>
      <c r="N8" s="164">
        <f>J8+K8+L8+M8</f>
        <v>1450000</v>
      </c>
      <c r="O8" s="165">
        <f>N8-$O$3*N8</f>
        <v>1145500</v>
      </c>
    </row>
    <row r="9" spans="2:15" ht="23.25">
      <c r="B9" s="166">
        <v>2</v>
      </c>
      <c r="C9" s="166">
        <v>78002</v>
      </c>
      <c r="D9" s="167" t="s">
        <v>487</v>
      </c>
      <c r="E9" s="166">
        <v>2006</v>
      </c>
      <c r="F9" s="166" t="s">
        <v>488</v>
      </c>
      <c r="G9" s="166" t="s">
        <v>485</v>
      </c>
      <c r="H9" s="166" t="s">
        <v>486</v>
      </c>
      <c r="I9" s="168"/>
      <c r="J9" s="164">
        <f t="shared" ref="J9:J17" si="0">IF(AND(G9="L",H9="KW",I9&gt;=1),I9*$O$4,0)</f>
        <v>0</v>
      </c>
      <c r="K9" s="164">
        <f t="shared" ref="K9:K17" si="1">IF(AND(G9="L",H9="KW"), 300000,0)</f>
        <v>0</v>
      </c>
      <c r="L9" s="164">
        <f t="shared" ref="L9:L17" si="2">IF(E9=2005, VLOOKUP(F9,$B$25:$D$27,3,0), IF(E9=2006, VLOOKUP(F9,$B$33:$C$35,2,0),0))</f>
        <v>225000</v>
      </c>
      <c r="M9" s="164">
        <f t="shared" ref="M9:M17" si="3">VLOOKUP(F9,$B$25:$D$27,2,0)</f>
        <v>1000000</v>
      </c>
      <c r="N9" s="164">
        <f t="shared" ref="N9:N17" si="4">J9+K9+L9+M9</f>
        <v>1225000</v>
      </c>
      <c r="O9" s="165">
        <f t="shared" ref="O9:O17" si="5">N9-$O$3*N9</f>
        <v>967750</v>
      </c>
    </row>
    <row r="10" spans="2:15" ht="23.25">
      <c r="B10" s="166">
        <v>3</v>
      </c>
      <c r="C10" s="166">
        <v>87002</v>
      </c>
      <c r="D10" s="167" t="s">
        <v>375</v>
      </c>
      <c r="E10" s="166">
        <v>2005</v>
      </c>
      <c r="F10" s="166" t="s">
        <v>488</v>
      </c>
      <c r="G10" s="166" t="s">
        <v>485</v>
      </c>
      <c r="H10" s="166" t="s">
        <v>489</v>
      </c>
      <c r="I10" s="168">
        <v>2</v>
      </c>
      <c r="J10" s="164">
        <f t="shared" si="0"/>
        <v>400000</v>
      </c>
      <c r="K10" s="164">
        <f t="shared" si="1"/>
        <v>300000</v>
      </c>
      <c r="L10" s="164">
        <f t="shared" si="2"/>
        <v>200000</v>
      </c>
      <c r="M10" s="164">
        <f t="shared" si="3"/>
        <v>1000000</v>
      </c>
      <c r="N10" s="164">
        <f t="shared" si="4"/>
        <v>1900000</v>
      </c>
      <c r="O10" s="165">
        <f t="shared" si="5"/>
        <v>1501000</v>
      </c>
    </row>
    <row r="11" spans="2:15" ht="23.25">
      <c r="B11" s="166">
        <v>4</v>
      </c>
      <c r="C11" s="166">
        <v>82002</v>
      </c>
      <c r="D11" s="167" t="s">
        <v>490</v>
      </c>
      <c r="E11" s="166">
        <v>2005</v>
      </c>
      <c r="F11" s="166" t="s">
        <v>491</v>
      </c>
      <c r="G11" s="166" t="s">
        <v>485</v>
      </c>
      <c r="H11" s="166" t="s">
        <v>489</v>
      </c>
      <c r="I11" s="168">
        <v>3</v>
      </c>
      <c r="J11" s="164">
        <f t="shared" si="0"/>
        <v>600000</v>
      </c>
      <c r="K11" s="164">
        <f t="shared" si="1"/>
        <v>300000</v>
      </c>
      <c r="L11" s="164">
        <f t="shared" si="2"/>
        <v>300000</v>
      </c>
      <c r="M11" s="164">
        <f t="shared" si="3"/>
        <v>1500000</v>
      </c>
      <c r="N11" s="164">
        <f t="shared" si="4"/>
        <v>2700000</v>
      </c>
      <c r="O11" s="165">
        <f t="shared" si="5"/>
        <v>2133000</v>
      </c>
    </row>
    <row r="12" spans="2:15" ht="23.25">
      <c r="B12" s="166">
        <v>5</v>
      </c>
      <c r="C12" s="166">
        <v>86007</v>
      </c>
      <c r="D12" s="167" t="s">
        <v>492</v>
      </c>
      <c r="E12" s="166">
        <v>2006</v>
      </c>
      <c r="F12" s="166" t="s">
        <v>484</v>
      </c>
      <c r="G12" s="166" t="s">
        <v>493</v>
      </c>
      <c r="H12" s="166" t="s">
        <v>486</v>
      </c>
      <c r="I12" s="168"/>
      <c r="J12" s="164">
        <f t="shared" si="0"/>
        <v>0</v>
      </c>
      <c r="K12" s="164">
        <f t="shared" si="1"/>
        <v>0</v>
      </c>
      <c r="L12" s="164">
        <f t="shared" si="2"/>
        <v>275000</v>
      </c>
      <c r="M12" s="164">
        <f t="shared" si="3"/>
        <v>1200000</v>
      </c>
      <c r="N12" s="164">
        <f t="shared" si="4"/>
        <v>1475000</v>
      </c>
      <c r="O12" s="165">
        <f t="shared" si="5"/>
        <v>1165250</v>
      </c>
    </row>
    <row r="13" spans="2:15" ht="23.25">
      <c r="B13" s="166">
        <v>6</v>
      </c>
      <c r="C13" s="166">
        <v>86002</v>
      </c>
      <c r="D13" s="167" t="s">
        <v>494</v>
      </c>
      <c r="E13" s="166">
        <v>2006</v>
      </c>
      <c r="F13" s="166" t="s">
        <v>491</v>
      </c>
      <c r="G13" s="166" t="s">
        <v>493</v>
      </c>
      <c r="H13" s="166" t="s">
        <v>489</v>
      </c>
      <c r="I13" s="168">
        <v>2</v>
      </c>
      <c r="J13" s="164">
        <f t="shared" si="0"/>
        <v>0</v>
      </c>
      <c r="K13" s="164">
        <f t="shared" si="1"/>
        <v>0</v>
      </c>
      <c r="L13" s="164">
        <f t="shared" si="2"/>
        <v>350000</v>
      </c>
      <c r="M13" s="164">
        <f t="shared" si="3"/>
        <v>1500000</v>
      </c>
      <c r="N13" s="164">
        <f t="shared" si="4"/>
        <v>1850000</v>
      </c>
      <c r="O13" s="165">
        <f t="shared" si="5"/>
        <v>1461500</v>
      </c>
    </row>
    <row r="14" spans="2:15" ht="23.25">
      <c r="B14" s="166">
        <v>7</v>
      </c>
      <c r="C14" s="166">
        <v>90019</v>
      </c>
      <c r="D14" s="167" t="s">
        <v>495</v>
      </c>
      <c r="E14" s="166">
        <v>2005</v>
      </c>
      <c r="F14" s="166" t="s">
        <v>488</v>
      </c>
      <c r="G14" s="166" t="s">
        <v>485</v>
      </c>
      <c r="H14" s="166" t="s">
        <v>489</v>
      </c>
      <c r="I14" s="168">
        <v>1</v>
      </c>
      <c r="J14" s="164">
        <f t="shared" si="0"/>
        <v>200000</v>
      </c>
      <c r="K14" s="164">
        <f t="shared" si="1"/>
        <v>300000</v>
      </c>
      <c r="L14" s="164">
        <f t="shared" si="2"/>
        <v>200000</v>
      </c>
      <c r="M14" s="164">
        <f t="shared" si="3"/>
        <v>1000000</v>
      </c>
      <c r="N14" s="164">
        <f t="shared" si="4"/>
        <v>1700000</v>
      </c>
      <c r="O14" s="165">
        <f t="shared" si="5"/>
        <v>1343000</v>
      </c>
    </row>
    <row r="15" spans="2:15" ht="23.25">
      <c r="B15" s="166">
        <v>8</v>
      </c>
      <c r="C15" s="166">
        <v>88003</v>
      </c>
      <c r="D15" s="167" t="s">
        <v>496</v>
      </c>
      <c r="E15" s="166">
        <v>2006</v>
      </c>
      <c r="F15" s="166" t="s">
        <v>488</v>
      </c>
      <c r="G15" s="166" t="s">
        <v>493</v>
      </c>
      <c r="H15" s="166" t="s">
        <v>486</v>
      </c>
      <c r="I15" s="168"/>
      <c r="J15" s="164">
        <f t="shared" si="0"/>
        <v>0</v>
      </c>
      <c r="K15" s="164">
        <f t="shared" si="1"/>
        <v>0</v>
      </c>
      <c r="L15" s="164">
        <f t="shared" si="2"/>
        <v>225000</v>
      </c>
      <c r="M15" s="164">
        <f t="shared" si="3"/>
        <v>1000000</v>
      </c>
      <c r="N15" s="164">
        <f t="shared" si="4"/>
        <v>1225000</v>
      </c>
      <c r="O15" s="165">
        <f t="shared" si="5"/>
        <v>967750</v>
      </c>
    </row>
    <row r="16" spans="2:15" ht="23.25">
      <c r="B16" s="166">
        <v>9</v>
      </c>
      <c r="C16" s="166">
        <v>89009</v>
      </c>
      <c r="D16" s="167" t="s">
        <v>497</v>
      </c>
      <c r="E16" s="166">
        <v>2005</v>
      </c>
      <c r="F16" s="166" t="s">
        <v>484</v>
      </c>
      <c r="G16" s="166" t="s">
        <v>485</v>
      </c>
      <c r="H16" s="166" t="s">
        <v>486</v>
      </c>
      <c r="I16" s="168"/>
      <c r="J16" s="164">
        <f t="shared" si="0"/>
        <v>0</v>
      </c>
      <c r="K16" s="164">
        <f t="shared" si="1"/>
        <v>0</v>
      </c>
      <c r="L16" s="164">
        <f t="shared" si="2"/>
        <v>250000</v>
      </c>
      <c r="M16" s="164">
        <f t="shared" si="3"/>
        <v>1200000</v>
      </c>
      <c r="N16" s="164">
        <f t="shared" si="4"/>
        <v>1450000</v>
      </c>
      <c r="O16" s="165">
        <f t="shared" si="5"/>
        <v>1145500</v>
      </c>
    </row>
    <row r="17" spans="2:15" ht="23.25">
      <c r="B17" s="169">
        <v>10</v>
      </c>
      <c r="C17" s="169">
        <v>81001</v>
      </c>
      <c r="D17" s="170" t="s">
        <v>498</v>
      </c>
      <c r="E17" s="169">
        <v>2006</v>
      </c>
      <c r="F17" s="169" t="s">
        <v>491</v>
      </c>
      <c r="G17" s="169" t="s">
        <v>493</v>
      </c>
      <c r="H17" s="169" t="s">
        <v>489</v>
      </c>
      <c r="I17" s="171">
        <v>2</v>
      </c>
      <c r="J17" s="164">
        <f t="shared" si="0"/>
        <v>0</v>
      </c>
      <c r="K17" s="164">
        <f t="shared" si="1"/>
        <v>0</v>
      </c>
      <c r="L17" s="164">
        <f t="shared" si="2"/>
        <v>350000</v>
      </c>
      <c r="M17" s="164">
        <f t="shared" si="3"/>
        <v>1500000</v>
      </c>
      <c r="N17" s="164">
        <f t="shared" si="4"/>
        <v>1850000</v>
      </c>
      <c r="O17" s="165">
        <f t="shared" si="5"/>
        <v>1461500</v>
      </c>
    </row>
    <row r="18" spans="2:15" ht="23.25"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 t="s">
        <v>88</v>
      </c>
      <c r="O18" s="173">
        <f>SUM(O8:O17)</f>
        <v>13291750</v>
      </c>
    </row>
    <row r="19" spans="2:15" ht="21" customHeight="1">
      <c r="B19" s="138">
        <v>4</v>
      </c>
      <c r="C19" s="181" t="s">
        <v>509</v>
      </c>
      <c r="N19" s="172" t="s">
        <v>499</v>
      </c>
      <c r="O19" s="174">
        <f>SUMIF(O8:O17,"&gt;1000000")</f>
        <v>11356250</v>
      </c>
    </row>
    <row r="20" spans="2:15" ht="18.75">
      <c r="B20" s="138">
        <v>5</v>
      </c>
      <c r="C20" s="181" t="s">
        <v>511</v>
      </c>
    </row>
    <row r="21" spans="2:15" ht="21">
      <c r="B21" s="175" t="s">
        <v>500</v>
      </c>
    </row>
    <row r="23" spans="2:15">
      <c r="B23" s="324" t="s">
        <v>473</v>
      </c>
      <c r="C23" s="324" t="s">
        <v>478</v>
      </c>
      <c r="D23" s="324" t="s">
        <v>477</v>
      </c>
    </row>
    <row r="24" spans="2:15">
      <c r="B24" s="324"/>
      <c r="C24" s="324"/>
      <c r="D24" s="324"/>
    </row>
    <row r="25" spans="2:15" ht="18.75">
      <c r="B25" s="176" t="s">
        <v>488</v>
      </c>
      <c r="C25" s="177">
        <v>1000000</v>
      </c>
      <c r="D25" s="177">
        <v>200000</v>
      </c>
    </row>
    <row r="26" spans="2:15" ht="18.75">
      <c r="B26" s="176" t="s">
        <v>484</v>
      </c>
      <c r="C26" s="177">
        <v>1200000</v>
      </c>
      <c r="D26" s="177">
        <v>250000</v>
      </c>
    </row>
    <row r="27" spans="2:15" ht="18.75">
      <c r="B27" s="176" t="s">
        <v>491</v>
      </c>
      <c r="C27" s="177">
        <v>1500000</v>
      </c>
      <c r="D27" s="177">
        <v>300000</v>
      </c>
    </row>
    <row r="28" spans="2:15" ht="9" customHeight="1">
      <c r="B28" s="178"/>
      <c r="C28" s="179"/>
      <c r="D28" s="179"/>
    </row>
    <row r="29" spans="2:15" ht="21">
      <c r="B29" s="175" t="s">
        <v>501</v>
      </c>
      <c r="C29" s="179"/>
      <c r="D29" s="179"/>
    </row>
    <row r="31" spans="2:15">
      <c r="B31" s="324" t="s">
        <v>473</v>
      </c>
      <c r="C31" s="324" t="s">
        <v>477</v>
      </c>
    </row>
    <row r="32" spans="2:15">
      <c r="B32" s="324"/>
      <c r="C32" s="324"/>
    </row>
    <row r="33" spans="1:3" ht="18.75">
      <c r="B33" s="176" t="s">
        <v>488</v>
      </c>
      <c r="C33" s="177">
        <v>225000</v>
      </c>
    </row>
    <row r="34" spans="1:3" ht="18.75">
      <c r="B34" s="176" t="s">
        <v>484</v>
      </c>
      <c r="C34" s="177">
        <v>275000</v>
      </c>
    </row>
    <row r="35" spans="1:3" ht="18.75">
      <c r="B35" s="176" t="s">
        <v>491</v>
      </c>
      <c r="C35" s="177">
        <v>350000</v>
      </c>
    </row>
    <row r="37" spans="1:3" ht="26.25">
      <c r="A37" s="136" t="s">
        <v>382</v>
      </c>
      <c r="B37" s="180"/>
    </row>
    <row r="38" spans="1:3" ht="18.75">
      <c r="A38" s="138">
        <v>1</v>
      </c>
      <c r="B38" s="181" t="s">
        <v>502</v>
      </c>
    </row>
    <row r="39" spans="1:3" ht="23.25">
      <c r="A39" s="182" t="s">
        <v>503</v>
      </c>
      <c r="B39" s="183"/>
    </row>
    <row r="40" spans="1:3" ht="18.75">
      <c r="A40" s="184"/>
      <c r="B40" s="185" t="s">
        <v>504</v>
      </c>
    </row>
    <row r="42" spans="1:3" ht="26.25">
      <c r="A42" s="136" t="s">
        <v>382</v>
      </c>
      <c r="B42" s="180"/>
    </row>
    <row r="43" spans="1:3" ht="18.75">
      <c r="A43" s="138">
        <v>2</v>
      </c>
      <c r="B43" s="181" t="s">
        <v>505</v>
      </c>
    </row>
    <row r="44" spans="1:3" ht="23.25">
      <c r="A44" s="182" t="s">
        <v>503</v>
      </c>
      <c r="B44" s="183"/>
    </row>
    <row r="45" spans="1:3" ht="18.75">
      <c r="A45" s="184"/>
      <c r="B45" s="185" t="s">
        <v>506</v>
      </c>
    </row>
    <row r="47" spans="1:3" ht="26.25">
      <c r="A47" s="136" t="s">
        <v>382</v>
      </c>
      <c r="B47" s="180"/>
    </row>
    <row r="48" spans="1:3" ht="18.75">
      <c r="A48" s="138">
        <v>3</v>
      </c>
      <c r="B48" s="181" t="s">
        <v>507</v>
      </c>
    </row>
    <row r="49" spans="1:2" ht="23.25">
      <c r="A49" s="182" t="s">
        <v>503</v>
      </c>
      <c r="B49" s="183"/>
    </row>
    <row r="50" spans="1:2" ht="18.75">
      <c r="A50" s="184"/>
      <c r="B50" s="185" t="s">
        <v>508</v>
      </c>
    </row>
    <row r="52" spans="1:2" ht="26.25">
      <c r="A52" s="136" t="s">
        <v>382</v>
      </c>
      <c r="B52" s="180"/>
    </row>
    <row r="53" spans="1:2" ht="18.75">
      <c r="A53" s="138">
        <v>4</v>
      </c>
      <c r="B53" s="181" t="s">
        <v>509</v>
      </c>
    </row>
    <row r="54" spans="1:2" ht="23.25">
      <c r="A54" s="182" t="s">
        <v>503</v>
      </c>
      <c r="B54" s="183"/>
    </row>
    <row r="55" spans="1:2" ht="23.25">
      <c r="A55" s="184"/>
      <c r="B55" s="186" t="s">
        <v>510</v>
      </c>
    </row>
    <row r="57" spans="1:2" ht="26.25">
      <c r="A57" s="136" t="s">
        <v>382</v>
      </c>
      <c r="B57" s="180"/>
    </row>
    <row r="58" spans="1:2" ht="18.75">
      <c r="A58" s="138">
        <v>5</v>
      </c>
      <c r="B58" s="181" t="s">
        <v>511</v>
      </c>
    </row>
    <row r="59" spans="1:2" ht="23.25">
      <c r="A59" s="182" t="s">
        <v>503</v>
      </c>
      <c r="B59" s="183"/>
    </row>
    <row r="60" spans="1:2" ht="23.25">
      <c r="A60" s="184"/>
      <c r="B60" s="186" t="s">
        <v>512</v>
      </c>
    </row>
  </sheetData>
  <mergeCells count="17">
    <mergeCell ref="B23:B24"/>
    <mergeCell ref="C23:C24"/>
    <mergeCell ref="D23:D24"/>
    <mergeCell ref="B31:B32"/>
    <mergeCell ref="C31:C32"/>
    <mergeCell ref="O6:O7"/>
    <mergeCell ref="B6:B7"/>
    <mergeCell ref="C6:C7"/>
    <mergeCell ref="D6:D7"/>
    <mergeCell ref="E6:E7"/>
    <mergeCell ref="F6:F7"/>
    <mergeCell ref="G6:G7"/>
    <mergeCell ref="H6:H7"/>
    <mergeCell ref="I6:I7"/>
    <mergeCell ref="J6:L6"/>
    <mergeCell ref="M6:M7"/>
    <mergeCell ref="N6:N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0:K29"/>
  <sheetViews>
    <sheetView topLeftCell="A13" workbookViewId="0">
      <selection activeCell="K22" sqref="K22"/>
    </sheetView>
  </sheetViews>
  <sheetFormatPr defaultRowHeight="12.75"/>
  <cols>
    <col min="1" max="2" width="1.7109375" customWidth="1"/>
    <col min="3" max="3" width="4.28515625" customWidth="1"/>
    <col min="4" max="4" width="11.85546875" bestFit="1" customWidth="1"/>
    <col min="7" max="7" width="10" bestFit="1" customWidth="1"/>
    <col min="8" max="9" width="10.85546875" customWidth="1"/>
    <col min="10" max="10" width="1.140625" customWidth="1"/>
    <col min="257" max="258" width="1.7109375" customWidth="1"/>
    <col min="259" max="259" width="4.28515625" customWidth="1"/>
    <col min="260" max="260" width="11.85546875" bestFit="1" customWidth="1"/>
    <col min="263" max="263" width="10" bestFit="1" customWidth="1"/>
    <col min="264" max="265" width="10.85546875" customWidth="1"/>
    <col min="266" max="266" width="1.140625" customWidth="1"/>
    <col min="513" max="514" width="1.7109375" customWidth="1"/>
    <col min="515" max="515" width="4.28515625" customWidth="1"/>
    <col min="516" max="516" width="11.85546875" bestFit="1" customWidth="1"/>
    <col min="519" max="519" width="10" bestFit="1" customWidth="1"/>
    <col min="520" max="521" width="10.85546875" customWidth="1"/>
    <col min="522" max="522" width="1.140625" customWidth="1"/>
    <col min="769" max="770" width="1.7109375" customWidth="1"/>
    <col min="771" max="771" width="4.28515625" customWidth="1"/>
    <col min="772" max="772" width="11.85546875" bestFit="1" customWidth="1"/>
    <col min="775" max="775" width="10" bestFit="1" customWidth="1"/>
    <col min="776" max="777" width="10.85546875" customWidth="1"/>
    <col min="778" max="778" width="1.140625" customWidth="1"/>
    <col min="1025" max="1026" width="1.7109375" customWidth="1"/>
    <col min="1027" max="1027" width="4.28515625" customWidth="1"/>
    <col min="1028" max="1028" width="11.85546875" bestFit="1" customWidth="1"/>
    <col min="1031" max="1031" width="10" bestFit="1" customWidth="1"/>
    <col min="1032" max="1033" width="10.85546875" customWidth="1"/>
    <col min="1034" max="1034" width="1.140625" customWidth="1"/>
    <col min="1281" max="1282" width="1.7109375" customWidth="1"/>
    <col min="1283" max="1283" width="4.28515625" customWidth="1"/>
    <col min="1284" max="1284" width="11.85546875" bestFit="1" customWidth="1"/>
    <col min="1287" max="1287" width="10" bestFit="1" customWidth="1"/>
    <col min="1288" max="1289" width="10.85546875" customWidth="1"/>
    <col min="1290" max="1290" width="1.140625" customWidth="1"/>
    <col min="1537" max="1538" width="1.7109375" customWidth="1"/>
    <col min="1539" max="1539" width="4.28515625" customWidth="1"/>
    <col min="1540" max="1540" width="11.85546875" bestFit="1" customWidth="1"/>
    <col min="1543" max="1543" width="10" bestFit="1" customWidth="1"/>
    <col min="1544" max="1545" width="10.85546875" customWidth="1"/>
    <col min="1546" max="1546" width="1.140625" customWidth="1"/>
    <col min="1793" max="1794" width="1.7109375" customWidth="1"/>
    <col min="1795" max="1795" width="4.28515625" customWidth="1"/>
    <col min="1796" max="1796" width="11.85546875" bestFit="1" customWidth="1"/>
    <col min="1799" max="1799" width="10" bestFit="1" customWidth="1"/>
    <col min="1800" max="1801" width="10.85546875" customWidth="1"/>
    <col min="1802" max="1802" width="1.140625" customWidth="1"/>
    <col min="2049" max="2050" width="1.7109375" customWidth="1"/>
    <col min="2051" max="2051" width="4.28515625" customWidth="1"/>
    <col min="2052" max="2052" width="11.85546875" bestFit="1" customWidth="1"/>
    <col min="2055" max="2055" width="10" bestFit="1" customWidth="1"/>
    <col min="2056" max="2057" width="10.85546875" customWidth="1"/>
    <col min="2058" max="2058" width="1.140625" customWidth="1"/>
    <col min="2305" max="2306" width="1.7109375" customWidth="1"/>
    <col min="2307" max="2307" width="4.28515625" customWidth="1"/>
    <col min="2308" max="2308" width="11.85546875" bestFit="1" customWidth="1"/>
    <col min="2311" max="2311" width="10" bestFit="1" customWidth="1"/>
    <col min="2312" max="2313" width="10.85546875" customWidth="1"/>
    <col min="2314" max="2314" width="1.140625" customWidth="1"/>
    <col min="2561" max="2562" width="1.7109375" customWidth="1"/>
    <col min="2563" max="2563" width="4.28515625" customWidth="1"/>
    <col min="2564" max="2564" width="11.85546875" bestFit="1" customWidth="1"/>
    <col min="2567" max="2567" width="10" bestFit="1" customWidth="1"/>
    <col min="2568" max="2569" width="10.85546875" customWidth="1"/>
    <col min="2570" max="2570" width="1.140625" customWidth="1"/>
    <col min="2817" max="2818" width="1.7109375" customWidth="1"/>
    <col min="2819" max="2819" width="4.28515625" customWidth="1"/>
    <col min="2820" max="2820" width="11.85546875" bestFit="1" customWidth="1"/>
    <col min="2823" max="2823" width="10" bestFit="1" customWidth="1"/>
    <col min="2824" max="2825" width="10.85546875" customWidth="1"/>
    <col min="2826" max="2826" width="1.140625" customWidth="1"/>
    <col min="3073" max="3074" width="1.7109375" customWidth="1"/>
    <col min="3075" max="3075" width="4.28515625" customWidth="1"/>
    <col min="3076" max="3076" width="11.85546875" bestFit="1" customWidth="1"/>
    <col min="3079" max="3079" width="10" bestFit="1" customWidth="1"/>
    <col min="3080" max="3081" width="10.85546875" customWidth="1"/>
    <col min="3082" max="3082" width="1.140625" customWidth="1"/>
    <col min="3329" max="3330" width="1.7109375" customWidth="1"/>
    <col min="3331" max="3331" width="4.28515625" customWidth="1"/>
    <col min="3332" max="3332" width="11.85546875" bestFit="1" customWidth="1"/>
    <col min="3335" max="3335" width="10" bestFit="1" customWidth="1"/>
    <col min="3336" max="3337" width="10.85546875" customWidth="1"/>
    <col min="3338" max="3338" width="1.140625" customWidth="1"/>
    <col min="3585" max="3586" width="1.7109375" customWidth="1"/>
    <col min="3587" max="3587" width="4.28515625" customWidth="1"/>
    <col min="3588" max="3588" width="11.85546875" bestFit="1" customWidth="1"/>
    <col min="3591" max="3591" width="10" bestFit="1" customWidth="1"/>
    <col min="3592" max="3593" width="10.85546875" customWidth="1"/>
    <col min="3594" max="3594" width="1.140625" customWidth="1"/>
    <col min="3841" max="3842" width="1.7109375" customWidth="1"/>
    <col min="3843" max="3843" width="4.28515625" customWidth="1"/>
    <col min="3844" max="3844" width="11.85546875" bestFit="1" customWidth="1"/>
    <col min="3847" max="3847" width="10" bestFit="1" customWidth="1"/>
    <col min="3848" max="3849" width="10.85546875" customWidth="1"/>
    <col min="3850" max="3850" width="1.140625" customWidth="1"/>
    <col min="4097" max="4098" width="1.7109375" customWidth="1"/>
    <col min="4099" max="4099" width="4.28515625" customWidth="1"/>
    <col min="4100" max="4100" width="11.85546875" bestFit="1" customWidth="1"/>
    <col min="4103" max="4103" width="10" bestFit="1" customWidth="1"/>
    <col min="4104" max="4105" width="10.85546875" customWidth="1"/>
    <col min="4106" max="4106" width="1.140625" customWidth="1"/>
    <col min="4353" max="4354" width="1.7109375" customWidth="1"/>
    <col min="4355" max="4355" width="4.28515625" customWidth="1"/>
    <col min="4356" max="4356" width="11.85546875" bestFit="1" customWidth="1"/>
    <col min="4359" max="4359" width="10" bestFit="1" customWidth="1"/>
    <col min="4360" max="4361" width="10.85546875" customWidth="1"/>
    <col min="4362" max="4362" width="1.140625" customWidth="1"/>
    <col min="4609" max="4610" width="1.7109375" customWidth="1"/>
    <col min="4611" max="4611" width="4.28515625" customWidth="1"/>
    <col min="4612" max="4612" width="11.85546875" bestFit="1" customWidth="1"/>
    <col min="4615" max="4615" width="10" bestFit="1" customWidth="1"/>
    <col min="4616" max="4617" width="10.85546875" customWidth="1"/>
    <col min="4618" max="4618" width="1.140625" customWidth="1"/>
    <col min="4865" max="4866" width="1.7109375" customWidth="1"/>
    <col min="4867" max="4867" width="4.28515625" customWidth="1"/>
    <col min="4868" max="4868" width="11.85546875" bestFit="1" customWidth="1"/>
    <col min="4871" max="4871" width="10" bestFit="1" customWidth="1"/>
    <col min="4872" max="4873" width="10.85546875" customWidth="1"/>
    <col min="4874" max="4874" width="1.140625" customWidth="1"/>
    <col min="5121" max="5122" width="1.7109375" customWidth="1"/>
    <col min="5123" max="5123" width="4.28515625" customWidth="1"/>
    <col min="5124" max="5124" width="11.85546875" bestFit="1" customWidth="1"/>
    <col min="5127" max="5127" width="10" bestFit="1" customWidth="1"/>
    <col min="5128" max="5129" width="10.85546875" customWidth="1"/>
    <col min="5130" max="5130" width="1.140625" customWidth="1"/>
    <col min="5377" max="5378" width="1.7109375" customWidth="1"/>
    <col min="5379" max="5379" width="4.28515625" customWidth="1"/>
    <col min="5380" max="5380" width="11.85546875" bestFit="1" customWidth="1"/>
    <col min="5383" max="5383" width="10" bestFit="1" customWidth="1"/>
    <col min="5384" max="5385" width="10.85546875" customWidth="1"/>
    <col min="5386" max="5386" width="1.140625" customWidth="1"/>
    <col min="5633" max="5634" width="1.7109375" customWidth="1"/>
    <col min="5635" max="5635" width="4.28515625" customWidth="1"/>
    <col min="5636" max="5636" width="11.85546875" bestFit="1" customWidth="1"/>
    <col min="5639" max="5639" width="10" bestFit="1" customWidth="1"/>
    <col min="5640" max="5641" width="10.85546875" customWidth="1"/>
    <col min="5642" max="5642" width="1.140625" customWidth="1"/>
    <col min="5889" max="5890" width="1.7109375" customWidth="1"/>
    <col min="5891" max="5891" width="4.28515625" customWidth="1"/>
    <col min="5892" max="5892" width="11.85546875" bestFit="1" customWidth="1"/>
    <col min="5895" max="5895" width="10" bestFit="1" customWidth="1"/>
    <col min="5896" max="5897" width="10.85546875" customWidth="1"/>
    <col min="5898" max="5898" width="1.140625" customWidth="1"/>
    <col min="6145" max="6146" width="1.7109375" customWidth="1"/>
    <col min="6147" max="6147" width="4.28515625" customWidth="1"/>
    <col min="6148" max="6148" width="11.85546875" bestFit="1" customWidth="1"/>
    <col min="6151" max="6151" width="10" bestFit="1" customWidth="1"/>
    <col min="6152" max="6153" width="10.85546875" customWidth="1"/>
    <col min="6154" max="6154" width="1.140625" customWidth="1"/>
    <col min="6401" max="6402" width="1.7109375" customWidth="1"/>
    <col min="6403" max="6403" width="4.28515625" customWidth="1"/>
    <col min="6404" max="6404" width="11.85546875" bestFit="1" customWidth="1"/>
    <col min="6407" max="6407" width="10" bestFit="1" customWidth="1"/>
    <col min="6408" max="6409" width="10.85546875" customWidth="1"/>
    <col min="6410" max="6410" width="1.140625" customWidth="1"/>
    <col min="6657" max="6658" width="1.7109375" customWidth="1"/>
    <col min="6659" max="6659" width="4.28515625" customWidth="1"/>
    <col min="6660" max="6660" width="11.85546875" bestFit="1" customWidth="1"/>
    <col min="6663" max="6663" width="10" bestFit="1" customWidth="1"/>
    <col min="6664" max="6665" width="10.85546875" customWidth="1"/>
    <col min="6666" max="6666" width="1.140625" customWidth="1"/>
    <col min="6913" max="6914" width="1.7109375" customWidth="1"/>
    <col min="6915" max="6915" width="4.28515625" customWidth="1"/>
    <col min="6916" max="6916" width="11.85546875" bestFit="1" customWidth="1"/>
    <col min="6919" max="6919" width="10" bestFit="1" customWidth="1"/>
    <col min="6920" max="6921" width="10.85546875" customWidth="1"/>
    <col min="6922" max="6922" width="1.140625" customWidth="1"/>
    <col min="7169" max="7170" width="1.7109375" customWidth="1"/>
    <col min="7171" max="7171" width="4.28515625" customWidth="1"/>
    <col min="7172" max="7172" width="11.85546875" bestFit="1" customWidth="1"/>
    <col min="7175" max="7175" width="10" bestFit="1" customWidth="1"/>
    <col min="7176" max="7177" width="10.85546875" customWidth="1"/>
    <col min="7178" max="7178" width="1.140625" customWidth="1"/>
    <col min="7425" max="7426" width="1.7109375" customWidth="1"/>
    <col min="7427" max="7427" width="4.28515625" customWidth="1"/>
    <col min="7428" max="7428" width="11.85546875" bestFit="1" customWidth="1"/>
    <col min="7431" max="7431" width="10" bestFit="1" customWidth="1"/>
    <col min="7432" max="7433" width="10.85546875" customWidth="1"/>
    <col min="7434" max="7434" width="1.140625" customWidth="1"/>
    <col min="7681" max="7682" width="1.7109375" customWidth="1"/>
    <col min="7683" max="7683" width="4.28515625" customWidth="1"/>
    <col min="7684" max="7684" width="11.85546875" bestFit="1" customWidth="1"/>
    <col min="7687" max="7687" width="10" bestFit="1" customWidth="1"/>
    <col min="7688" max="7689" width="10.85546875" customWidth="1"/>
    <col min="7690" max="7690" width="1.140625" customWidth="1"/>
    <col min="7937" max="7938" width="1.7109375" customWidth="1"/>
    <col min="7939" max="7939" width="4.28515625" customWidth="1"/>
    <col min="7940" max="7940" width="11.85546875" bestFit="1" customWidth="1"/>
    <col min="7943" max="7943" width="10" bestFit="1" customWidth="1"/>
    <col min="7944" max="7945" width="10.85546875" customWidth="1"/>
    <col min="7946" max="7946" width="1.140625" customWidth="1"/>
    <col min="8193" max="8194" width="1.7109375" customWidth="1"/>
    <col min="8195" max="8195" width="4.28515625" customWidth="1"/>
    <col min="8196" max="8196" width="11.85546875" bestFit="1" customWidth="1"/>
    <col min="8199" max="8199" width="10" bestFit="1" customWidth="1"/>
    <col min="8200" max="8201" width="10.85546875" customWidth="1"/>
    <col min="8202" max="8202" width="1.140625" customWidth="1"/>
    <col min="8449" max="8450" width="1.7109375" customWidth="1"/>
    <col min="8451" max="8451" width="4.28515625" customWidth="1"/>
    <col min="8452" max="8452" width="11.85546875" bestFit="1" customWidth="1"/>
    <col min="8455" max="8455" width="10" bestFit="1" customWidth="1"/>
    <col min="8456" max="8457" width="10.85546875" customWidth="1"/>
    <col min="8458" max="8458" width="1.140625" customWidth="1"/>
    <col min="8705" max="8706" width="1.7109375" customWidth="1"/>
    <col min="8707" max="8707" width="4.28515625" customWidth="1"/>
    <col min="8708" max="8708" width="11.85546875" bestFit="1" customWidth="1"/>
    <col min="8711" max="8711" width="10" bestFit="1" customWidth="1"/>
    <col min="8712" max="8713" width="10.85546875" customWidth="1"/>
    <col min="8714" max="8714" width="1.140625" customWidth="1"/>
    <col min="8961" max="8962" width="1.7109375" customWidth="1"/>
    <col min="8963" max="8963" width="4.28515625" customWidth="1"/>
    <col min="8964" max="8964" width="11.85546875" bestFit="1" customWidth="1"/>
    <col min="8967" max="8967" width="10" bestFit="1" customWidth="1"/>
    <col min="8968" max="8969" width="10.85546875" customWidth="1"/>
    <col min="8970" max="8970" width="1.140625" customWidth="1"/>
    <col min="9217" max="9218" width="1.7109375" customWidth="1"/>
    <col min="9219" max="9219" width="4.28515625" customWidth="1"/>
    <col min="9220" max="9220" width="11.85546875" bestFit="1" customWidth="1"/>
    <col min="9223" max="9223" width="10" bestFit="1" customWidth="1"/>
    <col min="9224" max="9225" width="10.85546875" customWidth="1"/>
    <col min="9226" max="9226" width="1.140625" customWidth="1"/>
    <col min="9473" max="9474" width="1.7109375" customWidth="1"/>
    <col min="9475" max="9475" width="4.28515625" customWidth="1"/>
    <col min="9476" max="9476" width="11.85546875" bestFit="1" customWidth="1"/>
    <col min="9479" max="9479" width="10" bestFit="1" customWidth="1"/>
    <col min="9480" max="9481" width="10.85546875" customWidth="1"/>
    <col min="9482" max="9482" width="1.140625" customWidth="1"/>
    <col min="9729" max="9730" width="1.7109375" customWidth="1"/>
    <col min="9731" max="9731" width="4.28515625" customWidth="1"/>
    <col min="9732" max="9732" width="11.85546875" bestFit="1" customWidth="1"/>
    <col min="9735" max="9735" width="10" bestFit="1" customWidth="1"/>
    <col min="9736" max="9737" width="10.85546875" customWidth="1"/>
    <col min="9738" max="9738" width="1.140625" customWidth="1"/>
    <col min="9985" max="9986" width="1.7109375" customWidth="1"/>
    <col min="9987" max="9987" width="4.28515625" customWidth="1"/>
    <col min="9988" max="9988" width="11.85546875" bestFit="1" customWidth="1"/>
    <col min="9991" max="9991" width="10" bestFit="1" customWidth="1"/>
    <col min="9992" max="9993" width="10.85546875" customWidth="1"/>
    <col min="9994" max="9994" width="1.140625" customWidth="1"/>
    <col min="10241" max="10242" width="1.7109375" customWidth="1"/>
    <col min="10243" max="10243" width="4.28515625" customWidth="1"/>
    <col min="10244" max="10244" width="11.85546875" bestFit="1" customWidth="1"/>
    <col min="10247" max="10247" width="10" bestFit="1" customWidth="1"/>
    <col min="10248" max="10249" width="10.85546875" customWidth="1"/>
    <col min="10250" max="10250" width="1.140625" customWidth="1"/>
    <col min="10497" max="10498" width="1.7109375" customWidth="1"/>
    <col min="10499" max="10499" width="4.28515625" customWidth="1"/>
    <col min="10500" max="10500" width="11.85546875" bestFit="1" customWidth="1"/>
    <col min="10503" max="10503" width="10" bestFit="1" customWidth="1"/>
    <col min="10504" max="10505" width="10.85546875" customWidth="1"/>
    <col min="10506" max="10506" width="1.140625" customWidth="1"/>
    <col min="10753" max="10754" width="1.7109375" customWidth="1"/>
    <col min="10755" max="10755" width="4.28515625" customWidth="1"/>
    <col min="10756" max="10756" width="11.85546875" bestFit="1" customWidth="1"/>
    <col min="10759" max="10759" width="10" bestFit="1" customWidth="1"/>
    <col min="10760" max="10761" width="10.85546875" customWidth="1"/>
    <col min="10762" max="10762" width="1.140625" customWidth="1"/>
    <col min="11009" max="11010" width="1.7109375" customWidth="1"/>
    <col min="11011" max="11011" width="4.28515625" customWidth="1"/>
    <col min="11012" max="11012" width="11.85546875" bestFit="1" customWidth="1"/>
    <col min="11015" max="11015" width="10" bestFit="1" customWidth="1"/>
    <col min="11016" max="11017" width="10.85546875" customWidth="1"/>
    <col min="11018" max="11018" width="1.140625" customWidth="1"/>
    <col min="11265" max="11266" width="1.7109375" customWidth="1"/>
    <col min="11267" max="11267" width="4.28515625" customWidth="1"/>
    <col min="11268" max="11268" width="11.85546875" bestFit="1" customWidth="1"/>
    <col min="11271" max="11271" width="10" bestFit="1" customWidth="1"/>
    <col min="11272" max="11273" width="10.85546875" customWidth="1"/>
    <col min="11274" max="11274" width="1.140625" customWidth="1"/>
    <col min="11521" max="11522" width="1.7109375" customWidth="1"/>
    <col min="11523" max="11523" width="4.28515625" customWidth="1"/>
    <col min="11524" max="11524" width="11.85546875" bestFit="1" customWidth="1"/>
    <col min="11527" max="11527" width="10" bestFit="1" customWidth="1"/>
    <col min="11528" max="11529" width="10.85546875" customWidth="1"/>
    <col min="11530" max="11530" width="1.140625" customWidth="1"/>
    <col min="11777" max="11778" width="1.7109375" customWidth="1"/>
    <col min="11779" max="11779" width="4.28515625" customWidth="1"/>
    <col min="11780" max="11780" width="11.85546875" bestFit="1" customWidth="1"/>
    <col min="11783" max="11783" width="10" bestFit="1" customWidth="1"/>
    <col min="11784" max="11785" width="10.85546875" customWidth="1"/>
    <col min="11786" max="11786" width="1.140625" customWidth="1"/>
    <col min="12033" max="12034" width="1.7109375" customWidth="1"/>
    <col min="12035" max="12035" width="4.28515625" customWidth="1"/>
    <col min="12036" max="12036" width="11.85546875" bestFit="1" customWidth="1"/>
    <col min="12039" max="12039" width="10" bestFit="1" customWidth="1"/>
    <col min="12040" max="12041" width="10.85546875" customWidth="1"/>
    <col min="12042" max="12042" width="1.140625" customWidth="1"/>
    <col min="12289" max="12290" width="1.7109375" customWidth="1"/>
    <col min="12291" max="12291" width="4.28515625" customWidth="1"/>
    <col min="12292" max="12292" width="11.85546875" bestFit="1" customWidth="1"/>
    <col min="12295" max="12295" width="10" bestFit="1" customWidth="1"/>
    <col min="12296" max="12297" width="10.85546875" customWidth="1"/>
    <col min="12298" max="12298" width="1.140625" customWidth="1"/>
    <col min="12545" max="12546" width="1.7109375" customWidth="1"/>
    <col min="12547" max="12547" width="4.28515625" customWidth="1"/>
    <col min="12548" max="12548" width="11.85546875" bestFit="1" customWidth="1"/>
    <col min="12551" max="12551" width="10" bestFit="1" customWidth="1"/>
    <col min="12552" max="12553" width="10.85546875" customWidth="1"/>
    <col min="12554" max="12554" width="1.140625" customWidth="1"/>
    <col min="12801" max="12802" width="1.7109375" customWidth="1"/>
    <col min="12803" max="12803" width="4.28515625" customWidth="1"/>
    <col min="12804" max="12804" width="11.85546875" bestFit="1" customWidth="1"/>
    <col min="12807" max="12807" width="10" bestFit="1" customWidth="1"/>
    <col min="12808" max="12809" width="10.85546875" customWidth="1"/>
    <col min="12810" max="12810" width="1.140625" customWidth="1"/>
    <col min="13057" max="13058" width="1.7109375" customWidth="1"/>
    <col min="13059" max="13059" width="4.28515625" customWidth="1"/>
    <col min="13060" max="13060" width="11.85546875" bestFit="1" customWidth="1"/>
    <col min="13063" max="13063" width="10" bestFit="1" customWidth="1"/>
    <col min="13064" max="13065" width="10.85546875" customWidth="1"/>
    <col min="13066" max="13066" width="1.140625" customWidth="1"/>
    <col min="13313" max="13314" width="1.7109375" customWidth="1"/>
    <col min="13315" max="13315" width="4.28515625" customWidth="1"/>
    <col min="13316" max="13316" width="11.85546875" bestFit="1" customWidth="1"/>
    <col min="13319" max="13319" width="10" bestFit="1" customWidth="1"/>
    <col min="13320" max="13321" width="10.85546875" customWidth="1"/>
    <col min="13322" max="13322" width="1.140625" customWidth="1"/>
    <col min="13569" max="13570" width="1.7109375" customWidth="1"/>
    <col min="13571" max="13571" width="4.28515625" customWidth="1"/>
    <col min="13572" max="13572" width="11.85546875" bestFit="1" customWidth="1"/>
    <col min="13575" max="13575" width="10" bestFit="1" customWidth="1"/>
    <col min="13576" max="13577" width="10.85546875" customWidth="1"/>
    <col min="13578" max="13578" width="1.140625" customWidth="1"/>
    <col min="13825" max="13826" width="1.7109375" customWidth="1"/>
    <col min="13827" max="13827" width="4.28515625" customWidth="1"/>
    <col min="13828" max="13828" width="11.85546875" bestFit="1" customWidth="1"/>
    <col min="13831" max="13831" width="10" bestFit="1" customWidth="1"/>
    <col min="13832" max="13833" width="10.85546875" customWidth="1"/>
    <col min="13834" max="13834" width="1.140625" customWidth="1"/>
    <col min="14081" max="14082" width="1.7109375" customWidth="1"/>
    <col min="14083" max="14083" width="4.28515625" customWidth="1"/>
    <col min="14084" max="14084" width="11.85546875" bestFit="1" customWidth="1"/>
    <col min="14087" max="14087" width="10" bestFit="1" customWidth="1"/>
    <col min="14088" max="14089" width="10.85546875" customWidth="1"/>
    <col min="14090" max="14090" width="1.140625" customWidth="1"/>
    <col min="14337" max="14338" width="1.7109375" customWidth="1"/>
    <col min="14339" max="14339" width="4.28515625" customWidth="1"/>
    <col min="14340" max="14340" width="11.85546875" bestFit="1" customWidth="1"/>
    <col min="14343" max="14343" width="10" bestFit="1" customWidth="1"/>
    <col min="14344" max="14345" width="10.85546875" customWidth="1"/>
    <col min="14346" max="14346" width="1.140625" customWidth="1"/>
    <col min="14593" max="14594" width="1.7109375" customWidth="1"/>
    <col min="14595" max="14595" width="4.28515625" customWidth="1"/>
    <col min="14596" max="14596" width="11.85546875" bestFit="1" customWidth="1"/>
    <col min="14599" max="14599" width="10" bestFit="1" customWidth="1"/>
    <col min="14600" max="14601" width="10.85546875" customWidth="1"/>
    <col min="14602" max="14602" width="1.140625" customWidth="1"/>
    <col min="14849" max="14850" width="1.7109375" customWidth="1"/>
    <col min="14851" max="14851" width="4.28515625" customWidth="1"/>
    <col min="14852" max="14852" width="11.85546875" bestFit="1" customWidth="1"/>
    <col min="14855" max="14855" width="10" bestFit="1" customWidth="1"/>
    <col min="14856" max="14857" width="10.85546875" customWidth="1"/>
    <col min="14858" max="14858" width="1.140625" customWidth="1"/>
    <col min="15105" max="15106" width="1.7109375" customWidth="1"/>
    <col min="15107" max="15107" width="4.28515625" customWidth="1"/>
    <col min="15108" max="15108" width="11.85546875" bestFit="1" customWidth="1"/>
    <col min="15111" max="15111" width="10" bestFit="1" customWidth="1"/>
    <col min="15112" max="15113" width="10.85546875" customWidth="1"/>
    <col min="15114" max="15114" width="1.140625" customWidth="1"/>
    <col min="15361" max="15362" width="1.7109375" customWidth="1"/>
    <col min="15363" max="15363" width="4.28515625" customWidth="1"/>
    <col min="15364" max="15364" width="11.85546875" bestFit="1" customWidth="1"/>
    <col min="15367" max="15367" width="10" bestFit="1" customWidth="1"/>
    <col min="15368" max="15369" width="10.85546875" customWidth="1"/>
    <col min="15370" max="15370" width="1.140625" customWidth="1"/>
    <col min="15617" max="15618" width="1.7109375" customWidth="1"/>
    <col min="15619" max="15619" width="4.28515625" customWidth="1"/>
    <col min="15620" max="15620" width="11.85546875" bestFit="1" customWidth="1"/>
    <col min="15623" max="15623" width="10" bestFit="1" customWidth="1"/>
    <col min="15624" max="15625" width="10.85546875" customWidth="1"/>
    <col min="15626" max="15626" width="1.140625" customWidth="1"/>
    <col min="15873" max="15874" width="1.7109375" customWidth="1"/>
    <col min="15875" max="15875" width="4.28515625" customWidth="1"/>
    <col min="15876" max="15876" width="11.85546875" bestFit="1" customWidth="1"/>
    <col min="15879" max="15879" width="10" bestFit="1" customWidth="1"/>
    <col min="15880" max="15881" width="10.85546875" customWidth="1"/>
    <col min="15882" max="15882" width="1.140625" customWidth="1"/>
    <col min="16129" max="16130" width="1.7109375" customWidth="1"/>
    <col min="16131" max="16131" width="4.28515625" customWidth="1"/>
    <col min="16132" max="16132" width="11.85546875" bestFit="1" customWidth="1"/>
    <col min="16135" max="16135" width="10" bestFit="1" customWidth="1"/>
    <col min="16136" max="16137" width="10.85546875" customWidth="1"/>
    <col min="16138" max="16138" width="1.140625" customWidth="1"/>
  </cols>
  <sheetData>
    <row r="10" spans="3:11" ht="15">
      <c r="C10" s="187" t="s">
        <v>513</v>
      </c>
      <c r="D10" s="187"/>
      <c r="E10" s="187"/>
      <c r="F10" s="187"/>
      <c r="G10" s="187"/>
      <c r="H10" s="187"/>
      <c r="I10" s="187"/>
    </row>
    <row r="11" spans="3:11" ht="15">
      <c r="C11" s="187" t="s">
        <v>514</v>
      </c>
      <c r="D11" s="187"/>
      <c r="E11" s="187"/>
      <c r="F11" s="187"/>
      <c r="G11" s="187"/>
      <c r="H11" s="187"/>
      <c r="I11" s="187"/>
    </row>
    <row r="13" spans="3:11">
      <c r="G13" t="s">
        <v>515</v>
      </c>
      <c r="I13" s="29">
        <v>12500</v>
      </c>
    </row>
    <row r="14" spans="3:11" ht="13.5" thickBot="1">
      <c r="G14" t="s">
        <v>516</v>
      </c>
      <c r="I14" s="29">
        <v>10000</v>
      </c>
    </row>
    <row r="15" spans="3:11" ht="13.5" thickTop="1">
      <c r="C15" s="325" t="s">
        <v>48</v>
      </c>
      <c r="D15" s="188" t="s">
        <v>123</v>
      </c>
      <c r="E15" s="188" t="s">
        <v>517</v>
      </c>
      <c r="F15" s="188" t="s">
        <v>518</v>
      </c>
      <c r="G15" s="188" t="s">
        <v>519</v>
      </c>
      <c r="H15" s="327" t="s">
        <v>520</v>
      </c>
      <c r="I15" s="189" t="s">
        <v>521</v>
      </c>
      <c r="K15" s="190" t="s">
        <v>522</v>
      </c>
    </row>
    <row r="16" spans="3:11" ht="13.5" thickBot="1">
      <c r="C16" s="326"/>
      <c r="D16" s="191" t="s">
        <v>523</v>
      </c>
      <c r="E16" s="191" t="s">
        <v>524</v>
      </c>
      <c r="F16" s="191" t="s">
        <v>525</v>
      </c>
      <c r="G16" s="191" t="s">
        <v>526</v>
      </c>
      <c r="H16" s="328"/>
      <c r="I16" s="192" t="s">
        <v>527</v>
      </c>
      <c r="K16" s="190" t="s">
        <v>528</v>
      </c>
    </row>
    <row r="17" spans="3:9" ht="13.5" thickTop="1">
      <c r="C17" s="193">
        <v>1</v>
      </c>
      <c r="D17" s="37" t="s">
        <v>529</v>
      </c>
      <c r="E17" s="194">
        <v>5</v>
      </c>
      <c r="F17" s="194">
        <v>4</v>
      </c>
      <c r="G17" s="195">
        <f>E17*$I$13</f>
        <v>62500</v>
      </c>
      <c r="H17" s="195">
        <f>F17*$I$14</f>
        <v>40000</v>
      </c>
      <c r="I17" s="196">
        <f>SUM(G17:H17)</f>
        <v>102500</v>
      </c>
    </row>
    <row r="18" spans="3:9">
      <c r="C18" s="197">
        <v>2</v>
      </c>
      <c r="D18" s="5" t="s">
        <v>530</v>
      </c>
      <c r="E18" s="8">
        <v>2</v>
      </c>
      <c r="F18" s="8">
        <v>5</v>
      </c>
      <c r="G18" s="195">
        <f t="shared" ref="G18:G28" si="0">E18*$I$13</f>
        <v>25000</v>
      </c>
      <c r="H18" s="195">
        <f t="shared" ref="H18:H28" si="1">F18*$I$14</f>
        <v>50000</v>
      </c>
      <c r="I18" s="196">
        <f t="shared" ref="I18:I28" si="2">SUM(G18:H18)</f>
        <v>75000</v>
      </c>
    </row>
    <row r="19" spans="3:9">
      <c r="C19" s="197">
        <v>3</v>
      </c>
      <c r="D19" s="5" t="s">
        <v>531</v>
      </c>
      <c r="E19" s="8">
        <v>4</v>
      </c>
      <c r="F19" s="8">
        <v>6</v>
      </c>
      <c r="G19" s="195">
        <f t="shared" si="0"/>
        <v>50000</v>
      </c>
      <c r="H19" s="195">
        <f t="shared" si="1"/>
        <v>60000</v>
      </c>
      <c r="I19" s="196">
        <f t="shared" si="2"/>
        <v>110000</v>
      </c>
    </row>
    <row r="20" spans="3:9">
      <c r="C20" s="197">
        <v>4</v>
      </c>
      <c r="D20" s="5" t="s">
        <v>532</v>
      </c>
      <c r="E20" s="8">
        <v>6</v>
      </c>
      <c r="F20" s="8">
        <v>5</v>
      </c>
      <c r="G20" s="195">
        <f t="shared" si="0"/>
        <v>75000</v>
      </c>
      <c r="H20" s="195">
        <f t="shared" si="1"/>
        <v>50000</v>
      </c>
      <c r="I20" s="196">
        <f t="shared" si="2"/>
        <v>125000</v>
      </c>
    </row>
    <row r="21" spans="3:9">
      <c r="C21" s="197">
        <v>5</v>
      </c>
      <c r="D21" s="5" t="s">
        <v>533</v>
      </c>
      <c r="E21" s="8">
        <v>5</v>
      </c>
      <c r="F21" s="8">
        <v>3</v>
      </c>
      <c r="G21" s="195">
        <f t="shared" si="0"/>
        <v>62500</v>
      </c>
      <c r="H21" s="195">
        <f t="shared" si="1"/>
        <v>30000</v>
      </c>
      <c r="I21" s="196">
        <f t="shared" si="2"/>
        <v>92500</v>
      </c>
    </row>
    <row r="22" spans="3:9">
      <c r="C22" s="197">
        <v>6</v>
      </c>
      <c r="D22" s="5" t="s">
        <v>534</v>
      </c>
      <c r="E22" s="8">
        <v>4</v>
      </c>
      <c r="F22" s="8">
        <v>4</v>
      </c>
      <c r="G22" s="195">
        <f t="shared" si="0"/>
        <v>50000</v>
      </c>
      <c r="H22" s="195">
        <f t="shared" si="1"/>
        <v>40000</v>
      </c>
      <c r="I22" s="196">
        <f t="shared" si="2"/>
        <v>90000</v>
      </c>
    </row>
    <row r="23" spans="3:9">
      <c r="C23" s="197">
        <v>7</v>
      </c>
      <c r="D23" s="5" t="s">
        <v>535</v>
      </c>
      <c r="E23" s="8">
        <v>5</v>
      </c>
      <c r="F23" s="8">
        <v>3</v>
      </c>
      <c r="G23" s="195">
        <f t="shared" si="0"/>
        <v>62500</v>
      </c>
      <c r="H23" s="195">
        <f t="shared" si="1"/>
        <v>30000</v>
      </c>
      <c r="I23" s="196">
        <f t="shared" si="2"/>
        <v>92500</v>
      </c>
    </row>
    <row r="24" spans="3:9">
      <c r="C24" s="197">
        <v>8</v>
      </c>
      <c r="D24" s="5" t="s">
        <v>536</v>
      </c>
      <c r="E24" s="8">
        <v>6</v>
      </c>
      <c r="F24" s="8">
        <v>5</v>
      </c>
      <c r="G24" s="195">
        <f t="shared" si="0"/>
        <v>75000</v>
      </c>
      <c r="H24" s="195">
        <f t="shared" si="1"/>
        <v>50000</v>
      </c>
      <c r="I24" s="196">
        <f t="shared" si="2"/>
        <v>125000</v>
      </c>
    </row>
    <row r="25" spans="3:9">
      <c r="C25" s="197">
        <v>9</v>
      </c>
      <c r="D25" s="5" t="s">
        <v>537</v>
      </c>
      <c r="E25" s="8">
        <v>5</v>
      </c>
      <c r="F25" s="8">
        <v>3</v>
      </c>
      <c r="G25" s="195">
        <f t="shared" si="0"/>
        <v>62500</v>
      </c>
      <c r="H25" s="195">
        <f t="shared" si="1"/>
        <v>30000</v>
      </c>
      <c r="I25" s="196">
        <f t="shared" si="2"/>
        <v>92500</v>
      </c>
    </row>
    <row r="26" spans="3:9">
      <c r="C26" s="197">
        <v>10</v>
      </c>
      <c r="D26" s="5" t="s">
        <v>538</v>
      </c>
      <c r="E26" s="8">
        <v>3</v>
      </c>
      <c r="F26" s="8">
        <v>2</v>
      </c>
      <c r="G26" s="195">
        <f t="shared" si="0"/>
        <v>37500</v>
      </c>
      <c r="H26" s="195">
        <f t="shared" si="1"/>
        <v>20000</v>
      </c>
      <c r="I26" s="196">
        <f t="shared" si="2"/>
        <v>57500</v>
      </c>
    </row>
    <row r="27" spans="3:9">
      <c r="C27" s="197">
        <v>11</v>
      </c>
      <c r="D27" s="5" t="s">
        <v>539</v>
      </c>
      <c r="E27" s="8">
        <v>4</v>
      </c>
      <c r="F27" s="8">
        <v>5</v>
      </c>
      <c r="G27" s="195">
        <f t="shared" si="0"/>
        <v>50000</v>
      </c>
      <c r="H27" s="195">
        <f t="shared" si="1"/>
        <v>50000</v>
      </c>
      <c r="I27" s="196">
        <f t="shared" si="2"/>
        <v>100000</v>
      </c>
    </row>
    <row r="28" spans="3:9" ht="13.5" thickBot="1">
      <c r="C28" s="198">
        <v>12</v>
      </c>
      <c r="D28" s="199" t="s">
        <v>540</v>
      </c>
      <c r="E28" s="200">
        <v>5</v>
      </c>
      <c r="F28" s="200">
        <v>5</v>
      </c>
      <c r="G28" s="195">
        <f t="shared" si="0"/>
        <v>62500</v>
      </c>
      <c r="H28" s="195">
        <f t="shared" si="1"/>
        <v>50000</v>
      </c>
      <c r="I28" s="196">
        <f t="shared" si="2"/>
        <v>112500</v>
      </c>
    </row>
    <row r="29" spans="3:9" ht="13.5" thickTop="1"/>
  </sheetData>
  <mergeCells count="2">
    <mergeCell ref="C15:C16"/>
    <mergeCell ref="H15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Lat-1</vt:lpstr>
      <vt:lpstr>Lat-2</vt:lpstr>
      <vt:lpstr>Lat-3</vt:lpstr>
      <vt:lpstr>Lat-4</vt:lpstr>
      <vt:lpstr>Lat-5</vt:lpstr>
      <vt:lpstr>Lat-6</vt:lpstr>
      <vt:lpstr>Lat-7</vt:lpstr>
      <vt:lpstr>Lat-8</vt:lpstr>
      <vt:lpstr>Lat-9</vt:lpstr>
      <vt:lpstr>Lat-10</vt:lpstr>
      <vt:lpstr>Lat-11</vt:lpstr>
      <vt:lpstr>Lat-12</vt:lpstr>
      <vt:lpstr>Lat-13</vt:lpstr>
      <vt:lpstr>Lat-14</vt:lpstr>
      <vt:lpstr>Lat-15</vt:lpstr>
    </vt:vector>
  </TitlesOfParts>
  <Company>Sekolah Harapan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Harapan</dc:creator>
  <cp:lastModifiedBy>Prasetiyo</cp:lastModifiedBy>
  <dcterms:created xsi:type="dcterms:W3CDTF">2007-02-01T01:06:22Z</dcterms:created>
  <dcterms:modified xsi:type="dcterms:W3CDTF">2021-09-27T07:13:17Z</dcterms:modified>
</cp:coreProperties>
</file>