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webextensions/taskpanes.xml" ContentType="application/vnd.ms-office.webextensiontaskpanes+xml"/>
  <Override PartName="/xl/webextensions/webextension1.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 Id="rId4" Type="http://schemas.microsoft.com/office/2011/relationships/webextensiontaskpanes" Target="xl/webextensions/taskpanes.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mc:AlternateContent xmlns:mc="http://schemas.openxmlformats.org/markup-compatibility/2006">
    <mc:Choice Requires="x15">
      <x15ac:absPath xmlns:x15ac="http://schemas.microsoft.com/office/spreadsheetml/2010/11/ac" url="https://d.docs.live.net/804cf23e86267957/Desktop/"/>
    </mc:Choice>
  </mc:AlternateContent>
  <xr:revisionPtr revIDLastSave="0" documentId="8_{042A1646-41AA-A248-975B-7DAE962ADAA8}" xr6:coauthVersionLast="47" xr6:coauthVersionMax="47" xr10:uidLastSave="{00000000-0000-0000-0000-000000000000}"/>
  <bookViews>
    <workbookView xWindow="-98" yWindow="-98" windowWidth="21795" windowHeight="12975" xr2:uid="{00000000-000D-0000-FFFF-FFFF00000000}"/>
  </bookViews>
  <sheets>
    <sheet name="Cover" sheetId="5" r:id="rId1"/>
    <sheet name="Revenue Build" sheetId="10" r:id="rId2"/>
    <sheet name="Income Statement" sheetId="3" r:id="rId3"/>
    <sheet name="Balance Sheet" sheetId="6" r:id="rId4"/>
    <sheet name="Cash Flow" sheetId="14" state="hidden" r:id="rId5"/>
    <sheet name="Invested Capital" sheetId="7" r:id="rId6"/>
    <sheet name="WACC &amp; Capital Structure" sheetId="8" r:id="rId7"/>
    <sheet name="Intrinsic Value" sheetId="12" r:id="rId8"/>
    <sheet name="Leases" sheetId="11" state="hidden" r:id="rId9"/>
    <sheet name="Data" sheetId="2" state="hidden" r:id="rId10"/>
    <sheet name="Sensitivity " sheetId="16" r:id="rId11"/>
    <sheet name="Freight Index" sheetId="9" state="hidden" r:id="rId12"/>
  </sheets>
  <definedNames>
    <definedName name="Base_Year">Cover!$P$12</definedName>
    <definedName name="CIQWBGuid" hidden="1">"4c861c47-c792-4c6a-a560-f9d32b9eadc3"</definedName>
    <definedName name="CIQWBInfo" hidden="1">"{ ""CIQVersion"":""9.51.3510.3078"" }"</definedName>
    <definedName name="Company_Name">Cover!$F$4</definedName>
    <definedName name="Company_Ticker">Cover!$F$6</definedName>
    <definedName name="DCF_Share_Value">'Intrinsic Value'!$K$34</definedName>
    <definedName name="DCF_ShareValue_Date">Cover!$F$12</definedName>
    <definedName name="Estimation" hidden="1">#REF!</definedName>
    <definedName name="FY_Year_End">Cover!$K$6</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45669.0301388889</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Market_Share_Price">Cover!$K$9</definedName>
    <definedName name="Market_Share_Price_Date">Cover!$L$12</definedName>
  </definedNames>
  <calcPr calcId="191028" iterate="1" iterateDelta="9.9999999999999995E-7"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7" i="9" l="1"/>
  <c r="W7" i="9"/>
  <c r="BZ102" i="16"/>
  <c r="BY102" i="16"/>
  <c r="BX102" i="16"/>
  <c r="BW102" i="16"/>
  <c r="BV102" i="16"/>
  <c r="BU102" i="16"/>
  <c r="BT102" i="16"/>
  <c r="BS102" i="16"/>
  <c r="BR102" i="16"/>
  <c r="BQ102" i="16"/>
  <c r="BP102" i="16"/>
  <c r="BO102" i="16"/>
  <c r="BN102" i="16"/>
  <c r="BM102" i="16"/>
  <c r="BL102" i="16"/>
  <c r="BK102" i="16"/>
  <c r="BJ102" i="16"/>
  <c r="BI102" i="16"/>
  <c r="BH102" i="16"/>
  <c r="BG102" i="16"/>
  <c r="BF102" i="16"/>
  <c r="BE102" i="16"/>
  <c r="BD102" i="16"/>
  <c r="BC102" i="16"/>
  <c r="BB102" i="16"/>
  <c r="BA102" i="16"/>
  <c r="AZ102" i="16"/>
  <c r="AY102" i="16"/>
  <c r="AX102" i="16"/>
  <c r="AW102" i="16"/>
  <c r="AV102" i="16"/>
  <c r="AU102" i="16"/>
  <c r="AT102" i="16"/>
  <c r="AS102" i="16"/>
  <c r="AR102" i="16"/>
  <c r="AQ102" i="16"/>
  <c r="AP102" i="16"/>
  <c r="AO102" i="16"/>
  <c r="AN102" i="16"/>
  <c r="AM102" i="16"/>
  <c r="AL102" i="16"/>
  <c r="AK102" i="16"/>
  <c r="AJ102" i="16"/>
  <c r="AI102" i="16"/>
  <c r="AH102" i="16"/>
  <c r="AG102" i="16"/>
  <c r="AF102" i="16"/>
  <c r="AE102" i="16"/>
  <c r="AD102" i="16"/>
  <c r="AC102" i="16"/>
  <c r="AB102" i="16"/>
  <c r="AA102" i="16"/>
  <c r="Z102" i="16"/>
  <c r="Y102" i="16"/>
  <c r="X102" i="16"/>
  <c r="W102" i="16"/>
  <c r="V102" i="16"/>
  <c r="U102" i="16"/>
  <c r="T102" i="16"/>
  <c r="S102" i="16"/>
  <c r="BV101" i="16"/>
  <c r="BQ101" i="16"/>
  <c r="BL101" i="16"/>
  <c r="BG101" i="16"/>
  <c r="BB101" i="16"/>
  <c r="AW101" i="16"/>
  <c r="AR101" i="16"/>
  <c r="AM101" i="16"/>
  <c r="AH101" i="16"/>
  <c r="AC101" i="16"/>
  <c r="X101" i="16"/>
  <c r="S101" i="16"/>
  <c r="O101" i="16"/>
  <c r="N101" i="16"/>
  <c r="M101" i="16"/>
  <c r="L101" i="16"/>
  <c r="K101" i="16"/>
  <c r="J101" i="16"/>
  <c r="I101" i="16"/>
  <c r="H101" i="16"/>
  <c r="G101" i="16"/>
  <c r="F101" i="16"/>
  <c r="E101" i="16"/>
  <c r="D101" i="16"/>
  <c r="BY100" i="16"/>
  <c r="BX100" i="16"/>
  <c r="R100" i="16"/>
  <c r="O100" i="16"/>
  <c r="N100" i="16"/>
  <c r="C100" i="16"/>
  <c r="BX99" i="16"/>
  <c r="R99" i="16"/>
  <c r="N99" i="16"/>
  <c r="C99" i="16"/>
  <c r="BX98" i="16"/>
  <c r="R98" i="16"/>
  <c r="N98" i="16"/>
  <c r="C98" i="16"/>
  <c r="BZ58" i="16"/>
  <c r="BY58" i="16"/>
  <c r="BX58" i="16"/>
  <c r="BW58" i="16"/>
  <c r="BV58" i="16"/>
  <c r="BU58" i="16"/>
  <c r="BT58" i="16"/>
  <c r="BS58" i="16"/>
  <c r="BR58" i="16"/>
  <c r="BQ58" i="16"/>
  <c r="BP58" i="16"/>
  <c r="BO58" i="16"/>
  <c r="BN58" i="16"/>
  <c r="BM58" i="16"/>
  <c r="BL58" i="16"/>
  <c r="BK58" i="16"/>
  <c r="BJ58" i="16"/>
  <c r="BI58" i="16"/>
  <c r="BH58" i="16"/>
  <c r="BG58" i="16"/>
  <c r="BF58" i="16"/>
  <c r="BE58" i="16"/>
  <c r="BD58" i="16"/>
  <c r="BC58" i="16"/>
  <c r="BB58" i="16"/>
  <c r="BA58" i="16"/>
  <c r="AZ58" i="16"/>
  <c r="AY58" i="16"/>
  <c r="AX58" i="16"/>
  <c r="AW58" i="16"/>
  <c r="AV58" i="16"/>
  <c r="AU58" i="16"/>
  <c r="AT58" i="16"/>
  <c r="AS58" i="16"/>
  <c r="AR58" i="16"/>
  <c r="AQ58" i="16"/>
  <c r="AP58" i="16"/>
  <c r="AO58" i="16"/>
  <c r="AN58" i="16"/>
  <c r="AM58" i="16"/>
  <c r="AL58" i="16"/>
  <c r="AK58" i="16"/>
  <c r="AJ58" i="16"/>
  <c r="AI58" i="16"/>
  <c r="AH58" i="16"/>
  <c r="AG58" i="16"/>
  <c r="AF58" i="16"/>
  <c r="AE58" i="16"/>
  <c r="AD58" i="16"/>
  <c r="AC58" i="16"/>
  <c r="AB58" i="16"/>
  <c r="AA58" i="16"/>
  <c r="Z58" i="16"/>
  <c r="Y58" i="16"/>
  <c r="X58" i="16"/>
  <c r="W58" i="16"/>
  <c r="V58" i="16"/>
  <c r="U58" i="16"/>
  <c r="T58" i="16"/>
  <c r="S58" i="16"/>
  <c r="BV57" i="16"/>
  <c r="BQ57" i="16"/>
  <c r="BL57" i="16"/>
  <c r="BG57" i="16"/>
  <c r="BB57" i="16"/>
  <c r="AW57" i="16"/>
  <c r="AR57" i="16"/>
  <c r="AM57" i="16"/>
  <c r="AH57" i="16"/>
  <c r="AC57" i="16"/>
  <c r="X57" i="16"/>
  <c r="S57" i="16"/>
  <c r="O57" i="16"/>
  <c r="N57" i="16"/>
  <c r="M57" i="16"/>
  <c r="L57" i="16"/>
  <c r="K57" i="16"/>
  <c r="J57" i="16"/>
  <c r="I57" i="16"/>
  <c r="H57" i="16"/>
  <c r="G57" i="16"/>
  <c r="F57" i="16"/>
  <c r="E57" i="16"/>
  <c r="D57" i="16"/>
  <c r="BY56" i="16"/>
  <c r="BX56" i="16"/>
  <c r="R56" i="16"/>
  <c r="O56" i="16"/>
  <c r="N56" i="16"/>
  <c r="C56" i="16"/>
  <c r="BX55" i="16"/>
  <c r="R55" i="16"/>
  <c r="N55" i="16"/>
  <c r="C55" i="16"/>
  <c r="BX54" i="16"/>
  <c r="R54" i="16"/>
  <c r="N54" i="16"/>
  <c r="C54" i="16"/>
  <c r="BZ7" i="16"/>
  <c r="BY7" i="16"/>
  <c r="BX7" i="16"/>
  <c r="BW7" i="16"/>
  <c r="BV7" i="16"/>
  <c r="BU7" i="16"/>
  <c r="BT7" i="16"/>
  <c r="BS7" i="16"/>
  <c r="BR7" i="16"/>
  <c r="BQ7" i="16"/>
  <c r="BP7" i="16"/>
  <c r="BO7" i="16"/>
  <c r="BN7" i="16"/>
  <c r="BM7" i="16"/>
  <c r="BL7" i="16"/>
  <c r="BK7" i="16"/>
  <c r="BJ7" i="16"/>
  <c r="BI7" i="16"/>
  <c r="BH7" i="16"/>
  <c r="BG7" i="16"/>
  <c r="BF7" i="16"/>
  <c r="BE7" i="16"/>
  <c r="BD7" i="16"/>
  <c r="BC7" i="16"/>
  <c r="BB7" i="16"/>
  <c r="BA7" i="16"/>
  <c r="AZ7" i="16"/>
  <c r="AY7" i="16"/>
  <c r="AX7" i="16"/>
  <c r="AW7" i="16"/>
  <c r="AV7" i="16"/>
  <c r="AU7" i="16"/>
  <c r="AT7" i="16"/>
  <c r="AS7" i="16"/>
  <c r="AR7" i="16"/>
  <c r="AQ7" i="16"/>
  <c r="AP7" i="16"/>
  <c r="AO7" i="16"/>
  <c r="AN7" i="16"/>
  <c r="AM7" i="16"/>
  <c r="AL7" i="16"/>
  <c r="AK7" i="16"/>
  <c r="AJ7" i="16"/>
  <c r="AI7" i="16"/>
  <c r="AH7" i="16"/>
  <c r="AG7" i="16"/>
  <c r="AF7" i="16"/>
  <c r="AE7" i="16"/>
  <c r="AD7" i="16"/>
  <c r="AC7" i="16"/>
  <c r="AB7" i="16"/>
  <c r="AA7" i="16"/>
  <c r="Z7" i="16"/>
  <c r="Y7" i="16"/>
  <c r="X7" i="16"/>
  <c r="W7" i="16"/>
  <c r="V7" i="16"/>
  <c r="U7" i="16"/>
  <c r="T7" i="16"/>
  <c r="S7" i="16"/>
  <c r="O7" i="16"/>
  <c r="N7" i="16"/>
  <c r="M7" i="16"/>
  <c r="L7" i="16"/>
  <c r="K7" i="16"/>
  <c r="J7" i="16"/>
  <c r="I7" i="16"/>
  <c r="H7" i="16"/>
  <c r="G7" i="16"/>
  <c r="F7" i="16"/>
  <c r="E7" i="16"/>
  <c r="D7" i="16"/>
  <c r="BV5" i="16"/>
  <c r="BQ5" i="16"/>
  <c r="BL5" i="16"/>
  <c r="BG5" i="16"/>
  <c r="BB5" i="16"/>
  <c r="AW5" i="16"/>
  <c r="AR5" i="16"/>
  <c r="AM5" i="16"/>
  <c r="AH5" i="16"/>
  <c r="AC5" i="16"/>
  <c r="X5" i="16"/>
  <c r="S5" i="16"/>
  <c r="O5" i="16"/>
  <c r="N5" i="16"/>
  <c r="N5" i="16" a="1"/>
  <c r="H5" i="16"/>
  <c r="C5" i="16"/>
  <c r="BY4" i="16"/>
  <c r="BX4" i="16"/>
  <c r="R4" i="16"/>
  <c r="N4" i="16"/>
  <c r="N4" i="16" a="1"/>
  <c r="C4" i="16"/>
  <c r="BX3" i="16"/>
  <c r="BR3" i="16"/>
  <c r="R3" i="16"/>
  <c r="N3" i="16"/>
  <c r="C3" i="16"/>
  <c r="H2305" i="2"/>
  <c r="H2304" i="2"/>
  <c r="H2303" i="2"/>
  <c r="H2302" i="2"/>
  <c r="H2301" i="2"/>
  <c r="H2300" i="2"/>
  <c r="H2299" i="2"/>
  <c r="H2298" i="2"/>
  <c r="H2297" i="2"/>
  <c r="H2296" i="2"/>
  <c r="H2295" i="2"/>
  <c r="H2294" i="2"/>
  <c r="H2293" i="2"/>
  <c r="H2292" i="2"/>
  <c r="H2291" i="2"/>
  <c r="H2290" i="2"/>
  <c r="H2289" i="2"/>
  <c r="H2288" i="2"/>
  <c r="H2287" i="2"/>
  <c r="H2286" i="2"/>
  <c r="H2285" i="2"/>
  <c r="H2284" i="2"/>
  <c r="H2283" i="2"/>
  <c r="H2282" i="2"/>
  <c r="H2281" i="2"/>
  <c r="H2280" i="2"/>
  <c r="H2279" i="2"/>
  <c r="H2278" i="2"/>
  <c r="H2277" i="2"/>
  <c r="H2276" i="2"/>
  <c r="H2275" i="2"/>
  <c r="H2274" i="2"/>
  <c r="H2273" i="2"/>
  <c r="H2272" i="2"/>
  <c r="H2271" i="2"/>
  <c r="H2270" i="2"/>
  <c r="H2269" i="2"/>
  <c r="H2268" i="2"/>
  <c r="H2267" i="2"/>
  <c r="H2266" i="2"/>
  <c r="H2265" i="2"/>
  <c r="H2264" i="2"/>
  <c r="H2263" i="2"/>
  <c r="H2262" i="2"/>
  <c r="H2261" i="2"/>
  <c r="H2260" i="2"/>
  <c r="H2259" i="2"/>
  <c r="H2258" i="2"/>
  <c r="H2257" i="2"/>
  <c r="H2256" i="2"/>
  <c r="H2255" i="2"/>
  <c r="H2254" i="2"/>
  <c r="H2253" i="2"/>
  <c r="H2252" i="2"/>
  <c r="H2251" i="2"/>
  <c r="H2250" i="2"/>
  <c r="H2249" i="2"/>
  <c r="H2248" i="2"/>
  <c r="H2247" i="2"/>
  <c r="H2246" i="2"/>
  <c r="H2245" i="2"/>
  <c r="H2244" i="2"/>
  <c r="H2243" i="2"/>
  <c r="H2242" i="2"/>
  <c r="H2241" i="2"/>
  <c r="H2240" i="2"/>
  <c r="H2239" i="2"/>
  <c r="H2238" i="2"/>
  <c r="H2237" i="2"/>
  <c r="H2236" i="2"/>
  <c r="H2235" i="2"/>
  <c r="H2234" i="2"/>
  <c r="H2233" i="2"/>
  <c r="H2232" i="2"/>
  <c r="H2231" i="2"/>
  <c r="H2230" i="2"/>
  <c r="H2229" i="2"/>
  <c r="H2228" i="2"/>
  <c r="H2227" i="2"/>
  <c r="H2226" i="2"/>
  <c r="H2225" i="2"/>
  <c r="H2224" i="2"/>
  <c r="H2223" i="2"/>
  <c r="H2222" i="2"/>
  <c r="H2221" i="2"/>
  <c r="H2220" i="2"/>
  <c r="H2219" i="2"/>
  <c r="H2218" i="2"/>
  <c r="H2217" i="2"/>
  <c r="H2216" i="2"/>
  <c r="H2215" i="2"/>
  <c r="H2214" i="2"/>
  <c r="H2213" i="2"/>
  <c r="H2212" i="2"/>
  <c r="H2211" i="2"/>
  <c r="H2210" i="2"/>
  <c r="H2209" i="2"/>
  <c r="H2208" i="2"/>
  <c r="H2207" i="2"/>
  <c r="H2206" i="2"/>
  <c r="H2205" i="2"/>
  <c r="H2204" i="2"/>
  <c r="H2203" i="2"/>
  <c r="H2202" i="2"/>
  <c r="H2201" i="2"/>
  <c r="H2200" i="2"/>
  <c r="H2199" i="2"/>
  <c r="H2198" i="2"/>
  <c r="H2197" i="2"/>
  <c r="H2196" i="2"/>
  <c r="H2195" i="2"/>
  <c r="H2194" i="2"/>
  <c r="H2193" i="2"/>
  <c r="H2192" i="2"/>
  <c r="H2191" i="2"/>
  <c r="H2190" i="2"/>
  <c r="H2189" i="2"/>
  <c r="H2188" i="2"/>
  <c r="H2187" i="2"/>
  <c r="H2186" i="2"/>
  <c r="H2185" i="2"/>
  <c r="H2184" i="2"/>
  <c r="H2183" i="2"/>
  <c r="H2182" i="2"/>
  <c r="H2181" i="2"/>
  <c r="H2180" i="2"/>
  <c r="H2179" i="2"/>
  <c r="H2178" i="2"/>
  <c r="H2177" i="2"/>
  <c r="H2176" i="2"/>
  <c r="H2175" i="2"/>
  <c r="H2174" i="2"/>
  <c r="H2173" i="2"/>
  <c r="H2172" i="2"/>
  <c r="H2171" i="2"/>
  <c r="H2170" i="2"/>
  <c r="H2169" i="2"/>
  <c r="H2168" i="2"/>
  <c r="H2167" i="2"/>
  <c r="H2166" i="2"/>
  <c r="H2165" i="2"/>
  <c r="H2164" i="2"/>
  <c r="H2163" i="2"/>
  <c r="H2162" i="2"/>
  <c r="H2161" i="2"/>
  <c r="H2160" i="2"/>
  <c r="H2159" i="2"/>
  <c r="H2158" i="2"/>
  <c r="H2157" i="2"/>
  <c r="H2156" i="2"/>
  <c r="H2155" i="2"/>
  <c r="H2154" i="2"/>
  <c r="H2153" i="2"/>
  <c r="H2152" i="2"/>
  <c r="H2151" i="2"/>
  <c r="H2150" i="2"/>
  <c r="H2149" i="2"/>
  <c r="H2148" i="2"/>
  <c r="H2147" i="2"/>
  <c r="H2146" i="2"/>
  <c r="H2145" i="2"/>
  <c r="H2144" i="2"/>
  <c r="H2143" i="2"/>
  <c r="H2142" i="2"/>
  <c r="H2141" i="2"/>
  <c r="H2140" i="2"/>
  <c r="H2139" i="2"/>
  <c r="H2138" i="2"/>
  <c r="H2137" i="2"/>
  <c r="H2136" i="2"/>
  <c r="H2135" i="2"/>
  <c r="H2134" i="2"/>
  <c r="H2133" i="2"/>
  <c r="H2132" i="2"/>
  <c r="H2131" i="2"/>
  <c r="H2130" i="2"/>
  <c r="H2129" i="2"/>
  <c r="H2128" i="2"/>
  <c r="H2127" i="2"/>
  <c r="H2126" i="2"/>
  <c r="H2125" i="2"/>
  <c r="H2124" i="2"/>
  <c r="H2123" i="2"/>
  <c r="H2122" i="2"/>
  <c r="H2121" i="2"/>
  <c r="H2120" i="2"/>
  <c r="H2119" i="2"/>
  <c r="H2118" i="2"/>
  <c r="H2117" i="2"/>
  <c r="H2116" i="2"/>
  <c r="H2115" i="2"/>
  <c r="H2114" i="2"/>
  <c r="H2113" i="2"/>
  <c r="H2112" i="2"/>
  <c r="H2111" i="2"/>
  <c r="H2110" i="2"/>
  <c r="H2109" i="2"/>
  <c r="H2108" i="2"/>
  <c r="H2107" i="2"/>
  <c r="H2106" i="2"/>
  <c r="H2105" i="2"/>
  <c r="H2104" i="2"/>
  <c r="H2103" i="2"/>
  <c r="H2102" i="2"/>
  <c r="H2101" i="2"/>
  <c r="H2100" i="2"/>
  <c r="H2099" i="2"/>
  <c r="H2098" i="2"/>
  <c r="H2097" i="2"/>
  <c r="H2096" i="2"/>
  <c r="H2095" i="2"/>
  <c r="H2094" i="2"/>
  <c r="H2093" i="2"/>
  <c r="H2092" i="2"/>
  <c r="H2091" i="2"/>
  <c r="H2090" i="2"/>
  <c r="H2089" i="2"/>
  <c r="H2088" i="2"/>
  <c r="H2087" i="2"/>
  <c r="H2086" i="2"/>
  <c r="H2085" i="2"/>
  <c r="H2084" i="2"/>
  <c r="H2083" i="2"/>
  <c r="H2082" i="2"/>
  <c r="H2081" i="2"/>
  <c r="H2080" i="2"/>
  <c r="H2079" i="2"/>
  <c r="H2078" i="2"/>
  <c r="H2077" i="2"/>
  <c r="H2076" i="2"/>
  <c r="H2075" i="2"/>
  <c r="H2074" i="2"/>
  <c r="H2073" i="2"/>
  <c r="H2072" i="2"/>
  <c r="H2071" i="2"/>
  <c r="H2070" i="2"/>
  <c r="H2069" i="2"/>
  <c r="H2068" i="2"/>
  <c r="H2067" i="2"/>
  <c r="H2066" i="2"/>
  <c r="H2065" i="2"/>
  <c r="H2064" i="2"/>
  <c r="H2063" i="2"/>
  <c r="H2062" i="2"/>
  <c r="H2061" i="2"/>
  <c r="H2060" i="2"/>
  <c r="H2059" i="2"/>
  <c r="H2058" i="2"/>
  <c r="H2057" i="2"/>
  <c r="H2056" i="2"/>
  <c r="H2055" i="2"/>
  <c r="H2054" i="2"/>
  <c r="H2053" i="2"/>
  <c r="H2052" i="2"/>
  <c r="H2051" i="2"/>
  <c r="H2050" i="2"/>
  <c r="H2049" i="2"/>
  <c r="H2048" i="2"/>
  <c r="H2047" i="2"/>
  <c r="H2046" i="2"/>
  <c r="H2045" i="2"/>
  <c r="H2044" i="2"/>
  <c r="H2043" i="2"/>
  <c r="H2042" i="2"/>
  <c r="H2041" i="2"/>
  <c r="H2040" i="2"/>
  <c r="H2039" i="2"/>
  <c r="H2038" i="2"/>
  <c r="H2037" i="2"/>
  <c r="H2036" i="2"/>
  <c r="H2035" i="2"/>
  <c r="H2034" i="2"/>
  <c r="H2033" i="2"/>
  <c r="H2032" i="2"/>
  <c r="H2031" i="2"/>
  <c r="H2030" i="2"/>
  <c r="H2029" i="2"/>
  <c r="H2028" i="2"/>
  <c r="H2027" i="2"/>
  <c r="H2026" i="2"/>
  <c r="H2025" i="2"/>
  <c r="H2024" i="2"/>
  <c r="H2023" i="2"/>
  <c r="H2022" i="2"/>
  <c r="H2021" i="2"/>
  <c r="H2020" i="2"/>
  <c r="H2019" i="2"/>
  <c r="H2018" i="2"/>
  <c r="H2017" i="2"/>
  <c r="H2016" i="2"/>
  <c r="H2015" i="2"/>
  <c r="H2014" i="2"/>
  <c r="H2013" i="2"/>
  <c r="H2012" i="2"/>
  <c r="H2011" i="2"/>
  <c r="H2010" i="2"/>
  <c r="H2009" i="2"/>
  <c r="H2008" i="2"/>
  <c r="H2007" i="2"/>
  <c r="H2006" i="2"/>
  <c r="H2005" i="2"/>
  <c r="H2004" i="2"/>
  <c r="H2003" i="2"/>
  <c r="H2002" i="2"/>
  <c r="H2001" i="2"/>
  <c r="H2000" i="2"/>
  <c r="H1999" i="2"/>
  <c r="H1998" i="2"/>
  <c r="H1997" i="2"/>
  <c r="H1996" i="2"/>
  <c r="H1995" i="2"/>
  <c r="H1994" i="2"/>
  <c r="H1993" i="2"/>
  <c r="H1992" i="2"/>
  <c r="H1991" i="2"/>
  <c r="H1990" i="2"/>
  <c r="H1989" i="2"/>
  <c r="H1988" i="2"/>
  <c r="H1987" i="2"/>
  <c r="H1986" i="2"/>
  <c r="H1985" i="2"/>
  <c r="H1984" i="2"/>
  <c r="H1983" i="2"/>
  <c r="H1982" i="2"/>
  <c r="H1981" i="2"/>
  <c r="H1980" i="2"/>
  <c r="H1979" i="2"/>
  <c r="H1978" i="2"/>
  <c r="H1977" i="2"/>
  <c r="H1976" i="2"/>
  <c r="H1975" i="2"/>
  <c r="H1974" i="2"/>
  <c r="H1973" i="2"/>
  <c r="H1972" i="2"/>
  <c r="H1971" i="2"/>
  <c r="H1970" i="2"/>
  <c r="H1969" i="2"/>
  <c r="H1968" i="2"/>
  <c r="H1967" i="2"/>
  <c r="H1966" i="2"/>
  <c r="H1965" i="2"/>
  <c r="H1964" i="2"/>
  <c r="H1963" i="2"/>
  <c r="H1962" i="2"/>
  <c r="H1961" i="2"/>
  <c r="H1960" i="2"/>
  <c r="H1959" i="2"/>
  <c r="H1958" i="2"/>
  <c r="H1957" i="2"/>
  <c r="H1956" i="2"/>
  <c r="H1955" i="2"/>
  <c r="H1954" i="2"/>
  <c r="H1953" i="2"/>
  <c r="H1952" i="2"/>
  <c r="H1951" i="2"/>
  <c r="H1950" i="2"/>
  <c r="H1949" i="2"/>
  <c r="H1948" i="2"/>
  <c r="H1947" i="2"/>
  <c r="H1946" i="2"/>
  <c r="H1945" i="2"/>
  <c r="H1944" i="2"/>
  <c r="H1943" i="2"/>
  <c r="H1942" i="2"/>
  <c r="H1941" i="2"/>
  <c r="H1940" i="2"/>
  <c r="H1939" i="2"/>
  <c r="H1938" i="2"/>
  <c r="H1937" i="2"/>
  <c r="H1936" i="2"/>
  <c r="H1935" i="2"/>
  <c r="H1934" i="2"/>
  <c r="H1933" i="2"/>
  <c r="H1932" i="2"/>
  <c r="H1931" i="2"/>
  <c r="H1930" i="2"/>
  <c r="H1929" i="2"/>
  <c r="H1928" i="2"/>
  <c r="H1927" i="2"/>
  <c r="H1926" i="2"/>
  <c r="H1925" i="2"/>
  <c r="H1924" i="2"/>
  <c r="H1923" i="2"/>
  <c r="H1922" i="2"/>
  <c r="H1921" i="2"/>
  <c r="H1920" i="2"/>
  <c r="H1919" i="2"/>
  <c r="H1918" i="2"/>
  <c r="H1917" i="2"/>
  <c r="H1916" i="2"/>
  <c r="H1915" i="2"/>
  <c r="H1914" i="2"/>
  <c r="H1913" i="2"/>
  <c r="H1912" i="2"/>
  <c r="H1911" i="2"/>
  <c r="H1910" i="2"/>
  <c r="H1909" i="2"/>
  <c r="H1908" i="2"/>
  <c r="H1907" i="2"/>
  <c r="H1906" i="2"/>
  <c r="H1905" i="2"/>
  <c r="H1904" i="2"/>
  <c r="H1903" i="2"/>
  <c r="H1902" i="2"/>
  <c r="H1901" i="2"/>
  <c r="H1900" i="2"/>
  <c r="H1899" i="2"/>
  <c r="H1898" i="2"/>
  <c r="H1897" i="2"/>
  <c r="H1896" i="2"/>
  <c r="H1895" i="2"/>
  <c r="H1894" i="2"/>
  <c r="H1893" i="2"/>
  <c r="H1892" i="2"/>
  <c r="H1891" i="2"/>
  <c r="H1890" i="2"/>
  <c r="H1889" i="2"/>
  <c r="H1888" i="2"/>
  <c r="H1887" i="2"/>
  <c r="H1886" i="2"/>
  <c r="H1885" i="2"/>
  <c r="H1884" i="2"/>
  <c r="H1883" i="2"/>
  <c r="H1882" i="2"/>
  <c r="H1881" i="2"/>
  <c r="H1880" i="2"/>
  <c r="H1879" i="2"/>
  <c r="H1878" i="2"/>
  <c r="H1877" i="2"/>
  <c r="H1876" i="2"/>
  <c r="H1875" i="2"/>
  <c r="H1874" i="2"/>
  <c r="H1873" i="2"/>
  <c r="H1872" i="2"/>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P296" i="2"/>
  <c r="O296" i="2"/>
  <c r="N296" i="2"/>
  <c r="M296" i="2"/>
  <c r="H296" i="2"/>
  <c r="P295" i="2"/>
  <c r="O295" i="2"/>
  <c r="N295" i="2"/>
  <c r="M295" i="2"/>
  <c r="H295" i="2"/>
  <c r="P294" i="2"/>
  <c r="O294" i="2"/>
  <c r="N294" i="2"/>
  <c r="M294" i="2"/>
  <c r="H294" i="2"/>
  <c r="P293" i="2"/>
  <c r="O293" i="2"/>
  <c r="N293" i="2"/>
  <c r="M293" i="2"/>
  <c r="H293" i="2"/>
  <c r="P292" i="2"/>
  <c r="O292" i="2"/>
  <c r="N292" i="2"/>
  <c r="M292" i="2"/>
  <c r="H292" i="2"/>
  <c r="P291" i="2"/>
  <c r="O291" i="2"/>
  <c r="N291" i="2"/>
  <c r="M291" i="2"/>
  <c r="H291" i="2"/>
  <c r="P290" i="2"/>
  <c r="O290" i="2"/>
  <c r="N290" i="2"/>
  <c r="M290" i="2"/>
  <c r="H290" i="2"/>
  <c r="P289" i="2"/>
  <c r="O289" i="2"/>
  <c r="N289" i="2"/>
  <c r="M289" i="2"/>
  <c r="H289" i="2"/>
  <c r="P288" i="2"/>
  <c r="O288" i="2"/>
  <c r="N288" i="2"/>
  <c r="M288" i="2"/>
  <c r="H288" i="2"/>
  <c r="P287" i="2"/>
  <c r="O287" i="2"/>
  <c r="N287" i="2"/>
  <c r="M287" i="2"/>
  <c r="H287" i="2"/>
  <c r="P286" i="2"/>
  <c r="O286" i="2"/>
  <c r="N286" i="2"/>
  <c r="M286" i="2"/>
  <c r="H286" i="2"/>
  <c r="P285" i="2"/>
  <c r="O285" i="2"/>
  <c r="N285" i="2"/>
  <c r="M285" i="2"/>
  <c r="H285" i="2"/>
  <c r="P284" i="2"/>
  <c r="O284" i="2"/>
  <c r="N284" i="2"/>
  <c r="M284" i="2"/>
  <c r="H284" i="2"/>
  <c r="P283" i="2"/>
  <c r="O283" i="2"/>
  <c r="N283" i="2"/>
  <c r="M283" i="2"/>
  <c r="H283" i="2"/>
  <c r="P282" i="2"/>
  <c r="O282" i="2"/>
  <c r="N282" i="2"/>
  <c r="M282" i="2"/>
  <c r="H282" i="2"/>
  <c r="P281" i="2"/>
  <c r="O281" i="2"/>
  <c r="N281" i="2"/>
  <c r="M281" i="2"/>
  <c r="H281" i="2"/>
  <c r="P280" i="2"/>
  <c r="O280" i="2"/>
  <c r="N280" i="2"/>
  <c r="M280" i="2"/>
  <c r="H280" i="2"/>
  <c r="P279" i="2"/>
  <c r="O279" i="2"/>
  <c r="N279" i="2"/>
  <c r="M279" i="2"/>
  <c r="H279" i="2"/>
  <c r="P278" i="2"/>
  <c r="O278" i="2"/>
  <c r="N278" i="2"/>
  <c r="M278" i="2"/>
  <c r="H278" i="2"/>
  <c r="P277" i="2"/>
  <c r="O277" i="2"/>
  <c r="N277" i="2"/>
  <c r="M277" i="2"/>
  <c r="H277" i="2"/>
  <c r="P276" i="2"/>
  <c r="O276" i="2"/>
  <c r="N276" i="2"/>
  <c r="M276" i="2"/>
  <c r="H276" i="2"/>
  <c r="P275" i="2"/>
  <c r="O275" i="2"/>
  <c r="N275" i="2"/>
  <c r="M275" i="2"/>
  <c r="H275" i="2"/>
  <c r="P274" i="2"/>
  <c r="O274" i="2"/>
  <c r="N274" i="2"/>
  <c r="M274" i="2"/>
  <c r="H274" i="2"/>
  <c r="P273" i="2"/>
  <c r="O273" i="2"/>
  <c r="N273" i="2"/>
  <c r="M273" i="2"/>
  <c r="H273" i="2"/>
  <c r="P272" i="2"/>
  <c r="O272" i="2"/>
  <c r="N272" i="2"/>
  <c r="M272" i="2"/>
  <c r="H272" i="2"/>
  <c r="P271" i="2"/>
  <c r="O271" i="2"/>
  <c r="N271" i="2"/>
  <c r="M271" i="2"/>
  <c r="H271" i="2"/>
  <c r="P270" i="2"/>
  <c r="O270" i="2"/>
  <c r="N270" i="2"/>
  <c r="M270" i="2"/>
  <c r="H270" i="2"/>
  <c r="P269" i="2"/>
  <c r="O269" i="2"/>
  <c r="N269" i="2"/>
  <c r="M269" i="2"/>
  <c r="H269" i="2"/>
  <c r="P268" i="2"/>
  <c r="O268" i="2"/>
  <c r="N268" i="2"/>
  <c r="M268" i="2"/>
  <c r="H268" i="2"/>
  <c r="P267" i="2"/>
  <c r="O267" i="2"/>
  <c r="N267" i="2"/>
  <c r="M267" i="2"/>
  <c r="H267" i="2"/>
  <c r="P266" i="2"/>
  <c r="O266" i="2"/>
  <c r="N266" i="2"/>
  <c r="M266" i="2"/>
  <c r="H266" i="2"/>
  <c r="P265" i="2"/>
  <c r="O265" i="2"/>
  <c r="N265" i="2"/>
  <c r="M265" i="2"/>
  <c r="H265" i="2"/>
  <c r="P264" i="2"/>
  <c r="O264" i="2"/>
  <c r="N264" i="2"/>
  <c r="M264" i="2"/>
  <c r="H264" i="2"/>
  <c r="P263" i="2"/>
  <c r="O263" i="2"/>
  <c r="N263" i="2"/>
  <c r="M263" i="2"/>
  <c r="H263" i="2"/>
  <c r="P262" i="2"/>
  <c r="O262" i="2"/>
  <c r="N262" i="2"/>
  <c r="M262" i="2"/>
  <c r="H262" i="2"/>
  <c r="P261" i="2"/>
  <c r="O261" i="2"/>
  <c r="N261" i="2"/>
  <c r="M261" i="2"/>
  <c r="H261" i="2"/>
  <c r="P260" i="2"/>
  <c r="O260" i="2"/>
  <c r="N260" i="2"/>
  <c r="M260" i="2"/>
  <c r="H260" i="2"/>
  <c r="P259" i="2"/>
  <c r="O259" i="2"/>
  <c r="N259" i="2"/>
  <c r="M259" i="2"/>
  <c r="H259" i="2"/>
  <c r="P258" i="2"/>
  <c r="O258" i="2"/>
  <c r="N258" i="2"/>
  <c r="M258" i="2"/>
  <c r="H258" i="2"/>
  <c r="P257" i="2"/>
  <c r="O257" i="2"/>
  <c r="N257" i="2"/>
  <c r="M257" i="2"/>
  <c r="H257" i="2"/>
  <c r="P256" i="2"/>
  <c r="O256" i="2"/>
  <c r="N256" i="2"/>
  <c r="M256" i="2"/>
  <c r="H256" i="2"/>
  <c r="P255" i="2"/>
  <c r="O255" i="2"/>
  <c r="N255" i="2"/>
  <c r="M255" i="2"/>
  <c r="H255" i="2"/>
  <c r="P254" i="2"/>
  <c r="O254" i="2"/>
  <c r="N254" i="2"/>
  <c r="M254" i="2"/>
  <c r="H254" i="2"/>
  <c r="P253" i="2"/>
  <c r="O253" i="2"/>
  <c r="N253" i="2"/>
  <c r="M253" i="2"/>
  <c r="H253" i="2"/>
  <c r="P252" i="2"/>
  <c r="O252" i="2"/>
  <c r="N252" i="2"/>
  <c r="M252" i="2"/>
  <c r="H252" i="2"/>
  <c r="P251" i="2"/>
  <c r="O251" i="2"/>
  <c r="N251" i="2"/>
  <c r="M251" i="2"/>
  <c r="H251" i="2"/>
  <c r="P250" i="2"/>
  <c r="O250" i="2"/>
  <c r="N250" i="2"/>
  <c r="M250" i="2"/>
  <c r="H250" i="2"/>
  <c r="P249" i="2"/>
  <c r="O249" i="2"/>
  <c r="N249" i="2"/>
  <c r="M249" i="2"/>
  <c r="H249" i="2"/>
  <c r="P248" i="2"/>
  <c r="O248" i="2"/>
  <c r="N248" i="2"/>
  <c r="M248" i="2"/>
  <c r="H248" i="2"/>
  <c r="P247" i="2"/>
  <c r="O247" i="2"/>
  <c r="N247" i="2"/>
  <c r="M247" i="2"/>
  <c r="H247" i="2"/>
  <c r="P246" i="2"/>
  <c r="O246" i="2"/>
  <c r="N246" i="2"/>
  <c r="M246" i="2"/>
  <c r="H246" i="2"/>
  <c r="P245" i="2"/>
  <c r="O245" i="2"/>
  <c r="N245" i="2"/>
  <c r="M245" i="2"/>
  <c r="H245" i="2"/>
  <c r="P244" i="2"/>
  <c r="O244" i="2"/>
  <c r="N244" i="2"/>
  <c r="M244" i="2"/>
  <c r="H244" i="2"/>
  <c r="P243" i="2"/>
  <c r="O243" i="2"/>
  <c r="N243" i="2"/>
  <c r="M243" i="2"/>
  <c r="H243" i="2"/>
  <c r="P242" i="2"/>
  <c r="O242" i="2"/>
  <c r="N242" i="2"/>
  <c r="M242" i="2"/>
  <c r="H242" i="2"/>
  <c r="P241" i="2"/>
  <c r="O241" i="2"/>
  <c r="N241" i="2"/>
  <c r="M241" i="2"/>
  <c r="H241" i="2"/>
  <c r="P240" i="2"/>
  <c r="O240" i="2"/>
  <c r="N240" i="2"/>
  <c r="M240" i="2"/>
  <c r="H240" i="2"/>
  <c r="P239" i="2"/>
  <c r="O239" i="2"/>
  <c r="N239" i="2"/>
  <c r="M239" i="2"/>
  <c r="H239" i="2"/>
  <c r="P238" i="2"/>
  <c r="O238" i="2"/>
  <c r="N238" i="2"/>
  <c r="M238" i="2"/>
  <c r="H238" i="2"/>
  <c r="P237" i="2"/>
  <c r="O237" i="2"/>
  <c r="N237" i="2"/>
  <c r="M237" i="2"/>
  <c r="H237" i="2"/>
  <c r="P236" i="2"/>
  <c r="O236" i="2"/>
  <c r="N236" i="2"/>
  <c r="M236" i="2"/>
  <c r="H236" i="2"/>
  <c r="P235" i="2"/>
  <c r="O235" i="2"/>
  <c r="N235" i="2"/>
  <c r="M235" i="2"/>
  <c r="H235" i="2"/>
  <c r="P234" i="2"/>
  <c r="O234" i="2"/>
  <c r="N234" i="2"/>
  <c r="M234" i="2"/>
  <c r="H234" i="2"/>
  <c r="P233" i="2"/>
  <c r="O233" i="2"/>
  <c r="N233" i="2"/>
  <c r="M233" i="2"/>
  <c r="H233" i="2"/>
  <c r="P232" i="2"/>
  <c r="O232" i="2"/>
  <c r="N232" i="2"/>
  <c r="M232" i="2"/>
  <c r="H232" i="2"/>
  <c r="P231" i="2"/>
  <c r="O231" i="2"/>
  <c r="N231" i="2"/>
  <c r="M231" i="2"/>
  <c r="H231" i="2"/>
  <c r="P230" i="2"/>
  <c r="O230" i="2"/>
  <c r="N230" i="2"/>
  <c r="M230" i="2"/>
  <c r="H230" i="2"/>
  <c r="P229" i="2"/>
  <c r="O229" i="2"/>
  <c r="N229" i="2"/>
  <c r="M229" i="2"/>
  <c r="H229" i="2"/>
  <c r="P228" i="2"/>
  <c r="O228" i="2"/>
  <c r="N228" i="2"/>
  <c r="M228" i="2"/>
  <c r="H228" i="2"/>
  <c r="P227" i="2"/>
  <c r="O227" i="2"/>
  <c r="N227" i="2"/>
  <c r="M227" i="2"/>
  <c r="H227" i="2"/>
  <c r="P226" i="2"/>
  <c r="O226" i="2"/>
  <c r="N226" i="2"/>
  <c r="M226" i="2"/>
  <c r="H226" i="2"/>
  <c r="P225" i="2"/>
  <c r="O225" i="2"/>
  <c r="N225" i="2"/>
  <c r="M225" i="2"/>
  <c r="H225" i="2"/>
  <c r="P224" i="2"/>
  <c r="O224" i="2"/>
  <c r="N224" i="2"/>
  <c r="M224" i="2"/>
  <c r="H224" i="2"/>
  <c r="P223" i="2"/>
  <c r="O223" i="2"/>
  <c r="N223" i="2"/>
  <c r="M223" i="2"/>
  <c r="H223" i="2"/>
  <c r="P222" i="2"/>
  <c r="O222" i="2"/>
  <c r="N222" i="2"/>
  <c r="M222" i="2"/>
  <c r="H222" i="2"/>
  <c r="P221" i="2"/>
  <c r="O221" i="2"/>
  <c r="N221" i="2"/>
  <c r="M221" i="2"/>
  <c r="H221" i="2"/>
  <c r="P220" i="2"/>
  <c r="O220" i="2"/>
  <c r="N220" i="2"/>
  <c r="M220" i="2"/>
  <c r="H220" i="2"/>
  <c r="P219" i="2"/>
  <c r="O219" i="2"/>
  <c r="N219" i="2"/>
  <c r="M219" i="2"/>
  <c r="H219" i="2"/>
  <c r="P218" i="2"/>
  <c r="O218" i="2"/>
  <c r="N218" i="2"/>
  <c r="M218" i="2"/>
  <c r="H218" i="2"/>
  <c r="P217" i="2"/>
  <c r="O217" i="2"/>
  <c r="N217" i="2"/>
  <c r="M217" i="2"/>
  <c r="H217" i="2"/>
  <c r="P216" i="2"/>
  <c r="O216" i="2"/>
  <c r="N216" i="2"/>
  <c r="M216" i="2"/>
  <c r="H216" i="2"/>
  <c r="P215" i="2"/>
  <c r="O215" i="2"/>
  <c r="N215" i="2"/>
  <c r="M215" i="2"/>
  <c r="H215" i="2"/>
  <c r="P214" i="2"/>
  <c r="O214" i="2"/>
  <c r="N214" i="2"/>
  <c r="M214" i="2"/>
  <c r="H214" i="2"/>
  <c r="P213" i="2"/>
  <c r="O213" i="2"/>
  <c r="N213" i="2"/>
  <c r="M213" i="2"/>
  <c r="H213" i="2"/>
  <c r="P212" i="2"/>
  <c r="O212" i="2"/>
  <c r="N212" i="2"/>
  <c r="M212" i="2"/>
  <c r="H212" i="2"/>
  <c r="P211" i="2"/>
  <c r="O211" i="2"/>
  <c r="N211" i="2"/>
  <c r="M211" i="2"/>
  <c r="H211" i="2"/>
  <c r="P210" i="2"/>
  <c r="O210" i="2"/>
  <c r="N210" i="2"/>
  <c r="M210" i="2"/>
  <c r="H210" i="2"/>
  <c r="P209" i="2"/>
  <c r="O209" i="2"/>
  <c r="N209" i="2"/>
  <c r="M209" i="2"/>
  <c r="H209" i="2"/>
  <c r="P208" i="2"/>
  <c r="O208" i="2"/>
  <c r="N208" i="2"/>
  <c r="M208" i="2"/>
  <c r="H208" i="2"/>
  <c r="P207" i="2"/>
  <c r="O207" i="2"/>
  <c r="N207" i="2"/>
  <c r="M207" i="2"/>
  <c r="H207" i="2"/>
  <c r="P206" i="2"/>
  <c r="O206" i="2"/>
  <c r="N206" i="2"/>
  <c r="M206" i="2"/>
  <c r="H206" i="2"/>
  <c r="P205" i="2"/>
  <c r="O205" i="2"/>
  <c r="N205" i="2"/>
  <c r="M205" i="2"/>
  <c r="H205" i="2"/>
  <c r="P204" i="2"/>
  <c r="O204" i="2"/>
  <c r="N204" i="2"/>
  <c r="M204" i="2"/>
  <c r="H204" i="2"/>
  <c r="P203" i="2"/>
  <c r="O203" i="2"/>
  <c r="N203" i="2"/>
  <c r="M203" i="2"/>
  <c r="H203" i="2"/>
  <c r="P202" i="2"/>
  <c r="O202" i="2"/>
  <c r="N202" i="2"/>
  <c r="M202" i="2"/>
  <c r="H202" i="2"/>
  <c r="P201" i="2"/>
  <c r="O201" i="2"/>
  <c r="N201" i="2"/>
  <c r="M201" i="2"/>
  <c r="H201" i="2"/>
  <c r="P200" i="2"/>
  <c r="O200" i="2"/>
  <c r="N200" i="2"/>
  <c r="M200" i="2"/>
  <c r="H200" i="2"/>
  <c r="P199" i="2"/>
  <c r="O199" i="2"/>
  <c r="N199" i="2"/>
  <c r="M199" i="2"/>
  <c r="H199" i="2"/>
  <c r="P198" i="2"/>
  <c r="O198" i="2"/>
  <c r="N198" i="2"/>
  <c r="M198" i="2"/>
  <c r="H198" i="2"/>
  <c r="P197" i="2"/>
  <c r="O197" i="2"/>
  <c r="N197" i="2"/>
  <c r="M197" i="2"/>
  <c r="H197" i="2"/>
  <c r="P196" i="2"/>
  <c r="O196" i="2"/>
  <c r="N196" i="2"/>
  <c r="M196" i="2"/>
  <c r="H196" i="2"/>
  <c r="P195" i="2"/>
  <c r="O195" i="2"/>
  <c r="N195" i="2"/>
  <c r="M195" i="2"/>
  <c r="H195" i="2"/>
  <c r="P194" i="2"/>
  <c r="O194" i="2"/>
  <c r="N194" i="2"/>
  <c r="M194" i="2"/>
  <c r="H194" i="2"/>
  <c r="P193" i="2"/>
  <c r="O193" i="2"/>
  <c r="N193" i="2"/>
  <c r="M193" i="2"/>
  <c r="H193" i="2"/>
  <c r="P192" i="2"/>
  <c r="O192" i="2"/>
  <c r="N192" i="2"/>
  <c r="M192" i="2"/>
  <c r="H192" i="2"/>
  <c r="P191" i="2"/>
  <c r="O191" i="2"/>
  <c r="N191" i="2"/>
  <c r="M191" i="2"/>
  <c r="H191" i="2"/>
  <c r="P190" i="2"/>
  <c r="O190" i="2"/>
  <c r="N190" i="2"/>
  <c r="M190" i="2"/>
  <c r="H190" i="2"/>
  <c r="P189" i="2"/>
  <c r="O189" i="2"/>
  <c r="N189" i="2"/>
  <c r="M189" i="2"/>
  <c r="H189" i="2"/>
  <c r="P188" i="2"/>
  <c r="O188" i="2"/>
  <c r="N188" i="2"/>
  <c r="M188" i="2"/>
  <c r="H188" i="2"/>
  <c r="P187" i="2"/>
  <c r="O187" i="2"/>
  <c r="N187" i="2"/>
  <c r="M187" i="2"/>
  <c r="H187" i="2"/>
  <c r="P186" i="2"/>
  <c r="O186" i="2"/>
  <c r="N186" i="2"/>
  <c r="M186" i="2"/>
  <c r="H186" i="2"/>
  <c r="P185" i="2"/>
  <c r="O185" i="2"/>
  <c r="N185" i="2"/>
  <c r="M185" i="2"/>
  <c r="H185" i="2"/>
  <c r="P184" i="2"/>
  <c r="O184" i="2"/>
  <c r="N184" i="2"/>
  <c r="M184" i="2"/>
  <c r="H184" i="2"/>
  <c r="P183" i="2"/>
  <c r="O183" i="2"/>
  <c r="N183" i="2"/>
  <c r="M183" i="2"/>
  <c r="H183" i="2"/>
  <c r="P182" i="2"/>
  <c r="O182" i="2"/>
  <c r="N182" i="2"/>
  <c r="M182" i="2"/>
  <c r="H182" i="2"/>
  <c r="P181" i="2"/>
  <c r="O181" i="2"/>
  <c r="N181" i="2"/>
  <c r="M181" i="2"/>
  <c r="H181" i="2"/>
  <c r="P180" i="2"/>
  <c r="O180" i="2"/>
  <c r="N180" i="2"/>
  <c r="M180" i="2"/>
  <c r="H180" i="2"/>
  <c r="P179" i="2"/>
  <c r="O179" i="2"/>
  <c r="N179" i="2"/>
  <c r="M179" i="2"/>
  <c r="H179" i="2"/>
  <c r="P178" i="2"/>
  <c r="O178" i="2"/>
  <c r="N178" i="2"/>
  <c r="M178" i="2"/>
  <c r="H178" i="2"/>
  <c r="P177" i="2"/>
  <c r="O177" i="2"/>
  <c r="N177" i="2"/>
  <c r="M177" i="2"/>
  <c r="H177" i="2"/>
  <c r="P176" i="2"/>
  <c r="O176" i="2"/>
  <c r="N176" i="2"/>
  <c r="M176" i="2"/>
  <c r="H176" i="2"/>
  <c r="P175" i="2"/>
  <c r="O175" i="2"/>
  <c r="N175" i="2"/>
  <c r="M175" i="2"/>
  <c r="H175" i="2"/>
  <c r="P174" i="2"/>
  <c r="O174" i="2"/>
  <c r="N174" i="2"/>
  <c r="M174" i="2"/>
  <c r="H174" i="2"/>
  <c r="P173" i="2"/>
  <c r="O173" i="2"/>
  <c r="N173" i="2"/>
  <c r="M173" i="2"/>
  <c r="H173" i="2"/>
  <c r="P172" i="2"/>
  <c r="O172" i="2"/>
  <c r="N172" i="2"/>
  <c r="M172" i="2"/>
  <c r="H172" i="2"/>
  <c r="P171" i="2"/>
  <c r="O171" i="2"/>
  <c r="N171" i="2"/>
  <c r="M171" i="2"/>
  <c r="H171" i="2"/>
  <c r="P170" i="2"/>
  <c r="O170" i="2"/>
  <c r="N170" i="2"/>
  <c r="M170" i="2"/>
  <c r="H170" i="2"/>
  <c r="P169" i="2"/>
  <c r="O169" i="2"/>
  <c r="N169" i="2"/>
  <c r="M169" i="2"/>
  <c r="H169" i="2"/>
  <c r="P168" i="2"/>
  <c r="O168" i="2"/>
  <c r="N168" i="2"/>
  <c r="M168" i="2"/>
  <c r="H168" i="2"/>
  <c r="P167" i="2"/>
  <c r="O167" i="2"/>
  <c r="N167" i="2"/>
  <c r="M167" i="2"/>
  <c r="H167" i="2"/>
  <c r="P166" i="2"/>
  <c r="O166" i="2"/>
  <c r="N166" i="2"/>
  <c r="M166" i="2"/>
  <c r="H166" i="2"/>
  <c r="P165" i="2"/>
  <c r="O165" i="2"/>
  <c r="N165" i="2"/>
  <c r="M165" i="2"/>
  <c r="H165" i="2"/>
  <c r="P164" i="2"/>
  <c r="O164" i="2"/>
  <c r="N164" i="2"/>
  <c r="M164" i="2"/>
  <c r="H164" i="2"/>
  <c r="P163" i="2"/>
  <c r="O163" i="2"/>
  <c r="N163" i="2"/>
  <c r="M163" i="2"/>
  <c r="H163" i="2"/>
  <c r="P162" i="2"/>
  <c r="O162" i="2"/>
  <c r="N162" i="2"/>
  <c r="M162" i="2"/>
  <c r="H162" i="2"/>
  <c r="P161" i="2"/>
  <c r="O161" i="2"/>
  <c r="N161" i="2"/>
  <c r="M161" i="2"/>
  <c r="H161" i="2"/>
  <c r="P160" i="2"/>
  <c r="O160" i="2"/>
  <c r="N160" i="2"/>
  <c r="M160" i="2"/>
  <c r="H160" i="2"/>
  <c r="P159" i="2"/>
  <c r="O159" i="2"/>
  <c r="N159" i="2"/>
  <c r="M159" i="2"/>
  <c r="H159" i="2"/>
  <c r="P158" i="2"/>
  <c r="O158" i="2"/>
  <c r="N158" i="2"/>
  <c r="M158" i="2"/>
  <c r="H158" i="2"/>
  <c r="P157" i="2"/>
  <c r="O157" i="2"/>
  <c r="N157" i="2"/>
  <c r="M157" i="2"/>
  <c r="H157" i="2"/>
  <c r="P156" i="2"/>
  <c r="O156" i="2"/>
  <c r="N156" i="2"/>
  <c r="M156" i="2"/>
  <c r="H156" i="2"/>
  <c r="P155" i="2"/>
  <c r="O155" i="2"/>
  <c r="N155" i="2"/>
  <c r="M155" i="2"/>
  <c r="H155" i="2"/>
  <c r="P154" i="2"/>
  <c r="O154" i="2"/>
  <c r="N154" i="2"/>
  <c r="M154" i="2"/>
  <c r="H154" i="2"/>
  <c r="P153" i="2"/>
  <c r="O153" i="2"/>
  <c r="N153" i="2"/>
  <c r="M153" i="2"/>
  <c r="H153" i="2"/>
  <c r="P152" i="2"/>
  <c r="O152" i="2"/>
  <c r="N152" i="2"/>
  <c r="M152" i="2"/>
  <c r="H152" i="2"/>
  <c r="P151" i="2"/>
  <c r="O151" i="2"/>
  <c r="N151" i="2"/>
  <c r="M151" i="2"/>
  <c r="H151" i="2"/>
  <c r="P150" i="2"/>
  <c r="O150" i="2"/>
  <c r="N150" i="2"/>
  <c r="M150" i="2"/>
  <c r="H150" i="2"/>
  <c r="P149" i="2"/>
  <c r="O149" i="2"/>
  <c r="N149" i="2"/>
  <c r="M149" i="2"/>
  <c r="H149" i="2"/>
  <c r="P148" i="2"/>
  <c r="O148" i="2"/>
  <c r="N148" i="2"/>
  <c r="M148" i="2"/>
  <c r="H148" i="2"/>
  <c r="P147" i="2"/>
  <c r="O147" i="2"/>
  <c r="N147" i="2"/>
  <c r="M147" i="2"/>
  <c r="H147" i="2"/>
  <c r="P146" i="2"/>
  <c r="O146" i="2"/>
  <c r="N146" i="2"/>
  <c r="M146" i="2"/>
  <c r="H146" i="2"/>
  <c r="P145" i="2"/>
  <c r="O145" i="2"/>
  <c r="N145" i="2"/>
  <c r="M145" i="2"/>
  <c r="H145" i="2"/>
  <c r="P144" i="2"/>
  <c r="O144" i="2"/>
  <c r="N144" i="2"/>
  <c r="M144" i="2"/>
  <c r="H144" i="2"/>
  <c r="P143" i="2"/>
  <c r="O143" i="2"/>
  <c r="N143" i="2"/>
  <c r="M143" i="2"/>
  <c r="H143" i="2"/>
  <c r="P142" i="2"/>
  <c r="O142" i="2"/>
  <c r="N142" i="2"/>
  <c r="M142" i="2"/>
  <c r="H142" i="2"/>
  <c r="P141" i="2"/>
  <c r="O141" i="2"/>
  <c r="N141" i="2"/>
  <c r="M141" i="2"/>
  <c r="H141" i="2"/>
  <c r="P140" i="2"/>
  <c r="O140" i="2"/>
  <c r="N140" i="2"/>
  <c r="M140" i="2"/>
  <c r="H140" i="2"/>
  <c r="P139" i="2"/>
  <c r="O139" i="2"/>
  <c r="N139" i="2"/>
  <c r="M139" i="2"/>
  <c r="H139" i="2"/>
  <c r="P138" i="2"/>
  <c r="O138" i="2"/>
  <c r="N138" i="2"/>
  <c r="M138" i="2"/>
  <c r="H138" i="2"/>
  <c r="P137" i="2"/>
  <c r="O137" i="2"/>
  <c r="N137" i="2"/>
  <c r="M137" i="2"/>
  <c r="H137" i="2"/>
  <c r="P136" i="2"/>
  <c r="O136" i="2"/>
  <c r="N136" i="2"/>
  <c r="M136" i="2"/>
  <c r="H136" i="2"/>
  <c r="P135" i="2"/>
  <c r="O135" i="2"/>
  <c r="N135" i="2"/>
  <c r="M135" i="2"/>
  <c r="H135" i="2"/>
  <c r="P134" i="2"/>
  <c r="O134" i="2"/>
  <c r="N134" i="2"/>
  <c r="M134" i="2"/>
  <c r="H134" i="2"/>
  <c r="P133" i="2"/>
  <c r="O133" i="2"/>
  <c r="N133" i="2"/>
  <c r="M133" i="2"/>
  <c r="H133" i="2"/>
  <c r="P132" i="2"/>
  <c r="O132" i="2"/>
  <c r="N132" i="2"/>
  <c r="M132" i="2"/>
  <c r="H132" i="2"/>
  <c r="P131" i="2"/>
  <c r="O131" i="2"/>
  <c r="N131" i="2"/>
  <c r="M131" i="2"/>
  <c r="H131" i="2"/>
  <c r="P130" i="2"/>
  <c r="O130" i="2"/>
  <c r="N130" i="2"/>
  <c r="M130" i="2"/>
  <c r="H130" i="2"/>
  <c r="P129" i="2"/>
  <c r="O129" i="2"/>
  <c r="N129" i="2"/>
  <c r="M129" i="2"/>
  <c r="H129" i="2"/>
  <c r="P128" i="2"/>
  <c r="O128" i="2"/>
  <c r="N128" i="2"/>
  <c r="M128" i="2"/>
  <c r="H128" i="2"/>
  <c r="P127" i="2"/>
  <c r="O127" i="2"/>
  <c r="N127" i="2"/>
  <c r="M127" i="2"/>
  <c r="H127" i="2"/>
  <c r="P126" i="2"/>
  <c r="O126" i="2"/>
  <c r="N126" i="2"/>
  <c r="M126" i="2"/>
  <c r="H126" i="2"/>
  <c r="P125" i="2"/>
  <c r="O125" i="2"/>
  <c r="N125" i="2"/>
  <c r="M125" i="2"/>
  <c r="H125" i="2"/>
  <c r="P124" i="2"/>
  <c r="O124" i="2"/>
  <c r="N124" i="2"/>
  <c r="M124" i="2"/>
  <c r="H124" i="2"/>
  <c r="P123" i="2"/>
  <c r="O123" i="2"/>
  <c r="N123" i="2"/>
  <c r="M123" i="2"/>
  <c r="H123" i="2"/>
  <c r="P122" i="2"/>
  <c r="O122" i="2"/>
  <c r="N122" i="2"/>
  <c r="M122" i="2"/>
  <c r="H122" i="2"/>
  <c r="P121" i="2"/>
  <c r="O121" i="2"/>
  <c r="N121" i="2"/>
  <c r="M121" i="2"/>
  <c r="H121" i="2"/>
  <c r="P120" i="2"/>
  <c r="O120" i="2"/>
  <c r="N120" i="2"/>
  <c r="M120" i="2"/>
  <c r="H120" i="2"/>
  <c r="P119" i="2"/>
  <c r="O119" i="2"/>
  <c r="N119" i="2"/>
  <c r="M119" i="2"/>
  <c r="H119" i="2"/>
  <c r="P118" i="2"/>
  <c r="O118" i="2"/>
  <c r="N118" i="2"/>
  <c r="M118" i="2"/>
  <c r="H118" i="2"/>
  <c r="P117" i="2"/>
  <c r="O117" i="2"/>
  <c r="N117" i="2"/>
  <c r="M117" i="2"/>
  <c r="H117" i="2"/>
  <c r="P116" i="2"/>
  <c r="O116" i="2"/>
  <c r="N116" i="2"/>
  <c r="M116" i="2"/>
  <c r="H116" i="2"/>
  <c r="P115" i="2"/>
  <c r="O115" i="2"/>
  <c r="N115" i="2"/>
  <c r="M115" i="2"/>
  <c r="H115" i="2"/>
  <c r="P114" i="2"/>
  <c r="O114" i="2"/>
  <c r="N114" i="2"/>
  <c r="M114" i="2"/>
  <c r="H114" i="2"/>
  <c r="P113" i="2"/>
  <c r="O113" i="2"/>
  <c r="N113" i="2"/>
  <c r="M113" i="2"/>
  <c r="H113" i="2"/>
  <c r="P112" i="2"/>
  <c r="O112" i="2"/>
  <c r="N112" i="2"/>
  <c r="M112" i="2"/>
  <c r="H112" i="2"/>
  <c r="P111" i="2"/>
  <c r="O111" i="2"/>
  <c r="N111" i="2"/>
  <c r="M111" i="2"/>
  <c r="H111" i="2"/>
  <c r="P110" i="2"/>
  <c r="O110" i="2"/>
  <c r="N110" i="2"/>
  <c r="M110" i="2"/>
  <c r="H110" i="2"/>
  <c r="P109" i="2"/>
  <c r="O109" i="2"/>
  <c r="N109" i="2"/>
  <c r="M109" i="2"/>
  <c r="H109" i="2"/>
  <c r="P108" i="2"/>
  <c r="O108" i="2"/>
  <c r="N108" i="2"/>
  <c r="M108" i="2"/>
  <c r="H108" i="2"/>
  <c r="P107" i="2"/>
  <c r="O107" i="2"/>
  <c r="N107" i="2"/>
  <c r="M107" i="2"/>
  <c r="H107" i="2"/>
  <c r="P106" i="2"/>
  <c r="O106" i="2"/>
  <c r="N106" i="2"/>
  <c r="M106" i="2"/>
  <c r="H106" i="2"/>
  <c r="P105" i="2"/>
  <c r="O105" i="2"/>
  <c r="N105" i="2"/>
  <c r="M105" i="2"/>
  <c r="H105" i="2"/>
  <c r="P104" i="2"/>
  <c r="O104" i="2"/>
  <c r="N104" i="2"/>
  <c r="M104" i="2"/>
  <c r="H104" i="2"/>
  <c r="X103" i="2"/>
  <c r="P103" i="2"/>
  <c r="O103" i="2"/>
  <c r="N103" i="2"/>
  <c r="M103" i="2"/>
  <c r="H103" i="2"/>
  <c r="X102" i="2"/>
  <c r="P102" i="2"/>
  <c r="O102" i="2"/>
  <c r="N102" i="2"/>
  <c r="M102" i="2"/>
  <c r="H102" i="2"/>
  <c r="X101" i="2"/>
  <c r="P101" i="2"/>
  <c r="O101" i="2"/>
  <c r="N101" i="2"/>
  <c r="M101" i="2"/>
  <c r="H101" i="2"/>
  <c r="X100" i="2"/>
  <c r="P100" i="2"/>
  <c r="O100" i="2"/>
  <c r="N100" i="2"/>
  <c r="M100" i="2"/>
  <c r="H100" i="2"/>
  <c r="X99" i="2"/>
  <c r="P99" i="2"/>
  <c r="O99" i="2"/>
  <c r="N99" i="2"/>
  <c r="M99" i="2"/>
  <c r="H99" i="2"/>
  <c r="X98" i="2"/>
  <c r="P98" i="2"/>
  <c r="O98" i="2"/>
  <c r="N98" i="2"/>
  <c r="M98" i="2"/>
  <c r="H98" i="2"/>
  <c r="X97" i="2"/>
  <c r="P97" i="2"/>
  <c r="O97" i="2"/>
  <c r="N97" i="2"/>
  <c r="M97" i="2"/>
  <c r="H97" i="2"/>
  <c r="X96" i="2"/>
  <c r="P96" i="2"/>
  <c r="O96" i="2"/>
  <c r="N96" i="2"/>
  <c r="M96" i="2"/>
  <c r="H96" i="2"/>
  <c r="X95" i="2"/>
  <c r="P95" i="2"/>
  <c r="O95" i="2"/>
  <c r="N95" i="2"/>
  <c r="M95" i="2"/>
  <c r="H95" i="2"/>
  <c r="X94" i="2"/>
  <c r="P94" i="2"/>
  <c r="O94" i="2"/>
  <c r="N94" i="2"/>
  <c r="M94" i="2"/>
  <c r="H94" i="2"/>
  <c r="X93" i="2"/>
  <c r="P93" i="2"/>
  <c r="O93" i="2"/>
  <c r="N93" i="2"/>
  <c r="M93" i="2"/>
  <c r="H93" i="2"/>
  <c r="X92" i="2"/>
  <c r="P92" i="2"/>
  <c r="O92" i="2"/>
  <c r="N92" i="2"/>
  <c r="M92" i="2"/>
  <c r="H92" i="2"/>
  <c r="X91" i="2"/>
  <c r="P91" i="2"/>
  <c r="O91" i="2"/>
  <c r="N91" i="2"/>
  <c r="M91" i="2"/>
  <c r="H91" i="2"/>
  <c r="X90" i="2"/>
  <c r="P90" i="2"/>
  <c r="O90" i="2"/>
  <c r="N90" i="2"/>
  <c r="M90" i="2"/>
  <c r="H90" i="2"/>
  <c r="AG89" i="2"/>
  <c r="AF89" i="2"/>
  <c r="X89" i="2"/>
  <c r="P89" i="2"/>
  <c r="O89" i="2"/>
  <c r="N89" i="2"/>
  <c r="M89" i="2"/>
  <c r="H89" i="2"/>
  <c r="X88" i="2"/>
  <c r="P88" i="2"/>
  <c r="O88" i="2"/>
  <c r="N88" i="2"/>
  <c r="M88" i="2"/>
  <c r="H88" i="2"/>
  <c r="X87" i="2"/>
  <c r="P87" i="2"/>
  <c r="O87" i="2"/>
  <c r="N87" i="2"/>
  <c r="M87" i="2"/>
  <c r="H87" i="2"/>
  <c r="X86" i="2"/>
  <c r="P86" i="2"/>
  <c r="O86" i="2"/>
  <c r="N86" i="2"/>
  <c r="M86" i="2"/>
  <c r="H86" i="2"/>
  <c r="X85" i="2"/>
  <c r="P85" i="2"/>
  <c r="O85" i="2"/>
  <c r="N85" i="2"/>
  <c r="M85" i="2"/>
  <c r="H85" i="2"/>
  <c r="AG84" i="2"/>
  <c r="AF84" i="2"/>
  <c r="X84" i="2"/>
  <c r="P84" i="2"/>
  <c r="O84" i="2"/>
  <c r="N84" i="2"/>
  <c r="M84" i="2"/>
  <c r="H84" i="2"/>
  <c r="X83" i="2"/>
  <c r="P83" i="2"/>
  <c r="O83" i="2"/>
  <c r="N83" i="2"/>
  <c r="M83" i="2"/>
  <c r="H83" i="2"/>
  <c r="X82" i="2"/>
  <c r="P82" i="2"/>
  <c r="O82" i="2"/>
  <c r="N82" i="2"/>
  <c r="M82" i="2"/>
  <c r="H82" i="2"/>
  <c r="X81" i="2"/>
  <c r="P81" i="2"/>
  <c r="O81" i="2"/>
  <c r="N81" i="2"/>
  <c r="M81" i="2"/>
  <c r="H81" i="2"/>
  <c r="X80" i="2"/>
  <c r="P80" i="2"/>
  <c r="O80" i="2"/>
  <c r="N80" i="2"/>
  <c r="M80" i="2"/>
  <c r="H80" i="2"/>
  <c r="AG79" i="2"/>
  <c r="AF79" i="2"/>
  <c r="X79" i="2"/>
  <c r="P79" i="2"/>
  <c r="O79" i="2"/>
  <c r="N79" i="2"/>
  <c r="M79" i="2"/>
  <c r="H79" i="2"/>
  <c r="X78" i="2"/>
  <c r="P78" i="2"/>
  <c r="O78" i="2"/>
  <c r="N78" i="2"/>
  <c r="M78" i="2"/>
  <c r="H78" i="2"/>
  <c r="X77" i="2"/>
  <c r="P77" i="2"/>
  <c r="O77" i="2"/>
  <c r="N77" i="2"/>
  <c r="M77" i="2"/>
  <c r="H77" i="2"/>
  <c r="X76" i="2"/>
  <c r="P76" i="2"/>
  <c r="O76" i="2"/>
  <c r="N76" i="2"/>
  <c r="M76" i="2"/>
  <c r="H76" i="2"/>
  <c r="X75" i="2"/>
  <c r="P75" i="2"/>
  <c r="O75" i="2"/>
  <c r="N75" i="2"/>
  <c r="M75" i="2"/>
  <c r="H75" i="2"/>
  <c r="AG74" i="2"/>
  <c r="AF74" i="2"/>
  <c r="X74" i="2"/>
  <c r="P74" i="2"/>
  <c r="O74" i="2"/>
  <c r="N74" i="2"/>
  <c r="M74" i="2"/>
  <c r="K74" i="2"/>
  <c r="J74" i="2"/>
  <c r="H74" i="2"/>
  <c r="X73" i="2"/>
  <c r="P73" i="2"/>
  <c r="O73" i="2"/>
  <c r="N73" i="2"/>
  <c r="M73" i="2"/>
  <c r="H73" i="2"/>
  <c r="X72" i="2"/>
  <c r="P72" i="2"/>
  <c r="O72" i="2"/>
  <c r="N72" i="2"/>
  <c r="M72" i="2"/>
  <c r="H72" i="2"/>
  <c r="X71" i="2"/>
  <c r="P71" i="2"/>
  <c r="O71" i="2"/>
  <c r="N71" i="2"/>
  <c r="M71" i="2"/>
  <c r="H71" i="2"/>
  <c r="X70" i="2"/>
  <c r="P70" i="2"/>
  <c r="O70" i="2"/>
  <c r="N70" i="2"/>
  <c r="M70" i="2"/>
  <c r="H70" i="2"/>
  <c r="AG69" i="2"/>
  <c r="AF69" i="2"/>
  <c r="X69" i="2"/>
  <c r="P69" i="2"/>
  <c r="O69" i="2"/>
  <c r="N69" i="2"/>
  <c r="M69" i="2"/>
  <c r="K69" i="2"/>
  <c r="J69" i="2"/>
  <c r="H69" i="2"/>
  <c r="X68" i="2"/>
  <c r="P68" i="2"/>
  <c r="O68" i="2"/>
  <c r="N68" i="2"/>
  <c r="M68" i="2"/>
  <c r="H68" i="2"/>
  <c r="X67" i="2"/>
  <c r="P67" i="2"/>
  <c r="O67" i="2"/>
  <c r="N67" i="2"/>
  <c r="M67" i="2"/>
  <c r="H67" i="2"/>
  <c r="X66" i="2"/>
  <c r="P66" i="2"/>
  <c r="O66" i="2"/>
  <c r="N66" i="2"/>
  <c r="M66" i="2"/>
  <c r="H66" i="2"/>
  <c r="X65" i="2"/>
  <c r="P65" i="2"/>
  <c r="O65" i="2"/>
  <c r="N65" i="2"/>
  <c r="M65" i="2"/>
  <c r="H65" i="2"/>
  <c r="X64" i="2"/>
  <c r="P64" i="2"/>
  <c r="O64" i="2"/>
  <c r="N64" i="2"/>
  <c r="M64" i="2"/>
  <c r="K64" i="2"/>
  <c r="J64" i="2"/>
  <c r="H64" i="2"/>
  <c r="X63" i="2"/>
  <c r="P63" i="2"/>
  <c r="O63" i="2"/>
  <c r="N63" i="2"/>
  <c r="M63" i="2"/>
  <c r="H63" i="2"/>
  <c r="X62" i="2"/>
  <c r="P62" i="2"/>
  <c r="O62" i="2"/>
  <c r="N62" i="2"/>
  <c r="M62" i="2"/>
  <c r="H62" i="2"/>
  <c r="X61" i="2"/>
  <c r="P61" i="2"/>
  <c r="O61" i="2"/>
  <c r="N61" i="2"/>
  <c r="M61" i="2"/>
  <c r="H61" i="2"/>
  <c r="P60" i="2"/>
  <c r="O60" i="2"/>
  <c r="N60" i="2"/>
  <c r="M60" i="2"/>
  <c r="H60" i="2"/>
  <c r="P59" i="2"/>
  <c r="O59" i="2"/>
  <c r="N59" i="2"/>
  <c r="M59" i="2"/>
  <c r="K59" i="2"/>
  <c r="J59" i="2"/>
  <c r="H59" i="2"/>
  <c r="P58" i="2"/>
  <c r="O58" i="2"/>
  <c r="N58" i="2"/>
  <c r="M58" i="2"/>
  <c r="H58" i="2"/>
  <c r="P57" i="2"/>
  <c r="O57" i="2"/>
  <c r="N57" i="2"/>
  <c r="M57" i="2"/>
  <c r="H57" i="2"/>
  <c r="P56" i="2"/>
  <c r="O56" i="2"/>
  <c r="N56" i="2"/>
  <c r="M56" i="2"/>
  <c r="H56" i="2"/>
  <c r="P55" i="2"/>
  <c r="O55" i="2"/>
  <c r="N55" i="2"/>
  <c r="M55" i="2"/>
  <c r="H55" i="2"/>
  <c r="P54" i="2"/>
  <c r="O54" i="2"/>
  <c r="N54" i="2"/>
  <c r="M54" i="2"/>
  <c r="K54" i="2"/>
  <c r="J54" i="2"/>
  <c r="H54" i="2"/>
  <c r="P53" i="2"/>
  <c r="O53" i="2"/>
  <c r="N53" i="2"/>
  <c r="M53" i="2"/>
  <c r="H53" i="2"/>
  <c r="P52" i="2"/>
  <c r="O52" i="2"/>
  <c r="N52" i="2"/>
  <c r="M52" i="2"/>
  <c r="H52" i="2"/>
  <c r="P51" i="2"/>
  <c r="O51" i="2"/>
  <c r="N51" i="2"/>
  <c r="M51" i="2"/>
  <c r="H51" i="2"/>
  <c r="P50" i="2"/>
  <c r="O50" i="2"/>
  <c r="N50" i="2"/>
  <c r="M50" i="2"/>
  <c r="H50" i="2"/>
  <c r="P49" i="2"/>
  <c r="O49" i="2"/>
  <c r="N49" i="2"/>
  <c r="M49" i="2"/>
  <c r="K49" i="2"/>
  <c r="J49" i="2"/>
  <c r="H49" i="2"/>
  <c r="P48" i="2"/>
  <c r="O48" i="2"/>
  <c r="N48" i="2"/>
  <c r="M48" i="2"/>
  <c r="H48" i="2"/>
  <c r="P47" i="2"/>
  <c r="O47" i="2"/>
  <c r="N47" i="2"/>
  <c r="M47" i="2"/>
  <c r="H47" i="2"/>
  <c r="P46" i="2"/>
  <c r="O46" i="2"/>
  <c r="N46" i="2"/>
  <c r="M46" i="2"/>
  <c r="H46" i="2"/>
  <c r="P45" i="2"/>
  <c r="O45" i="2"/>
  <c r="N45" i="2"/>
  <c r="M45" i="2"/>
  <c r="H45" i="2"/>
  <c r="P44" i="2"/>
  <c r="O44" i="2"/>
  <c r="N44" i="2"/>
  <c r="M44" i="2"/>
  <c r="K44" i="2"/>
  <c r="J44" i="2"/>
  <c r="H44" i="2"/>
  <c r="H43" i="2"/>
  <c r="H42" i="2"/>
  <c r="H41" i="2"/>
  <c r="H40" i="2"/>
  <c r="H39" i="2"/>
  <c r="S36" i="2"/>
  <c r="R36" i="2"/>
  <c r="Q36" i="2"/>
  <c r="Z34" i="2"/>
  <c r="BZ97" i="11"/>
  <c r="BY97" i="11"/>
  <c r="BX97" i="11"/>
  <c r="BW97" i="11"/>
  <c r="BV97" i="11"/>
  <c r="BU97" i="11"/>
  <c r="BT97" i="11"/>
  <c r="BS97" i="11"/>
  <c r="BR97" i="11"/>
  <c r="BQ97" i="11"/>
  <c r="BP97" i="11"/>
  <c r="BO97" i="11"/>
  <c r="BN97" i="11"/>
  <c r="BM97" i="11"/>
  <c r="BL97" i="11"/>
  <c r="BK97" i="11"/>
  <c r="BJ97" i="11"/>
  <c r="BI97" i="11"/>
  <c r="BH97" i="11"/>
  <c r="BG97" i="11"/>
  <c r="BF97" i="11"/>
  <c r="BE97" i="11"/>
  <c r="BD97" i="11"/>
  <c r="BC97" i="11"/>
  <c r="BB97" i="11"/>
  <c r="BA97" i="11"/>
  <c r="AZ97" i="11"/>
  <c r="AY97" i="11"/>
  <c r="AX97" i="11"/>
  <c r="AW97" i="11"/>
  <c r="AV97" i="11"/>
  <c r="AU97" i="11"/>
  <c r="AT97" i="11"/>
  <c r="AS97" i="11"/>
  <c r="AR97" i="11"/>
  <c r="AQ97" i="11"/>
  <c r="AP97" i="11"/>
  <c r="AO97" i="11"/>
  <c r="AN97" i="11"/>
  <c r="AM97" i="11"/>
  <c r="AL97" i="11"/>
  <c r="AK97" i="11"/>
  <c r="AJ97" i="11"/>
  <c r="AI97" i="11"/>
  <c r="AH97" i="11"/>
  <c r="AG97" i="11"/>
  <c r="AF97" i="11"/>
  <c r="AE97" i="11"/>
  <c r="AD97" i="11"/>
  <c r="AC97" i="11"/>
  <c r="AB97" i="11"/>
  <c r="AA97" i="11"/>
  <c r="Z97" i="11"/>
  <c r="Y97" i="11"/>
  <c r="X97" i="11"/>
  <c r="W97" i="11"/>
  <c r="V97" i="11"/>
  <c r="U97" i="11"/>
  <c r="T97" i="11"/>
  <c r="S97" i="11"/>
  <c r="BV96" i="11"/>
  <c r="BQ96" i="11"/>
  <c r="BL96" i="11"/>
  <c r="BG96" i="11"/>
  <c r="BB96" i="11"/>
  <c r="AW96" i="11"/>
  <c r="AR96" i="11"/>
  <c r="AM96" i="11"/>
  <c r="AH96" i="11"/>
  <c r="AC96" i="11"/>
  <c r="X96" i="11"/>
  <c r="S96" i="11"/>
  <c r="O96" i="11"/>
  <c r="N96" i="11"/>
  <c r="M96" i="11"/>
  <c r="L96" i="11"/>
  <c r="K96" i="11"/>
  <c r="J96" i="11"/>
  <c r="I96" i="11"/>
  <c r="H96" i="11"/>
  <c r="G96" i="11"/>
  <c r="F96" i="11"/>
  <c r="E96" i="11"/>
  <c r="D96" i="11"/>
  <c r="O95" i="11"/>
  <c r="N95" i="11"/>
  <c r="C95" i="11"/>
  <c r="O94" i="11"/>
  <c r="N94" i="11"/>
  <c r="R93" i="11"/>
  <c r="C93" i="11"/>
  <c r="BZ55" i="11"/>
  <c r="BY55" i="11"/>
  <c r="BX55" i="11"/>
  <c r="BW55" i="11"/>
  <c r="BV55" i="11"/>
  <c r="BU55" i="11"/>
  <c r="BT55" i="11"/>
  <c r="BS55" i="11"/>
  <c r="BR55" i="11"/>
  <c r="BQ55" i="11"/>
  <c r="BP55" i="11"/>
  <c r="BO55" i="11"/>
  <c r="BN55" i="11"/>
  <c r="BM55" i="11"/>
  <c r="BL55" i="11"/>
  <c r="BK55" i="11"/>
  <c r="BJ55" i="11"/>
  <c r="BI55" i="11"/>
  <c r="BH55" i="11"/>
  <c r="BG55" i="11"/>
  <c r="BF55" i="11"/>
  <c r="BE55" i="11"/>
  <c r="BD55" i="11"/>
  <c r="BC55" i="11"/>
  <c r="BB55" i="11"/>
  <c r="BA55" i="11"/>
  <c r="AZ55" i="11"/>
  <c r="AY55" i="11"/>
  <c r="AX55" i="11"/>
  <c r="AW55" i="11"/>
  <c r="AV55" i="11"/>
  <c r="AU55" i="11"/>
  <c r="AT55" i="11"/>
  <c r="AS55" i="11"/>
  <c r="AR55" i="11"/>
  <c r="AQ55" i="11"/>
  <c r="AP55" i="11"/>
  <c r="AO55" i="11"/>
  <c r="AN55" i="11"/>
  <c r="AM55" i="11"/>
  <c r="AL55" i="11"/>
  <c r="AK55" i="11"/>
  <c r="AJ55" i="11"/>
  <c r="AI55" i="11"/>
  <c r="AH55" i="11"/>
  <c r="AG55" i="11"/>
  <c r="AF55" i="11"/>
  <c r="AE55" i="11"/>
  <c r="AD55" i="11"/>
  <c r="AC55" i="11"/>
  <c r="AB55" i="11"/>
  <c r="AA55" i="11"/>
  <c r="Z55" i="11"/>
  <c r="Y55" i="11"/>
  <c r="X55" i="11"/>
  <c r="W55" i="11"/>
  <c r="V55" i="11"/>
  <c r="U55" i="11"/>
  <c r="T55" i="11"/>
  <c r="S55" i="11"/>
  <c r="BV54" i="11"/>
  <c r="BQ54" i="11"/>
  <c r="BL54" i="11"/>
  <c r="BG54" i="11"/>
  <c r="BB54" i="11"/>
  <c r="AW54" i="11"/>
  <c r="AR54" i="11"/>
  <c r="AM54" i="11"/>
  <c r="AH54" i="11"/>
  <c r="AC54" i="11"/>
  <c r="X54" i="11"/>
  <c r="S54" i="11"/>
  <c r="O54" i="11"/>
  <c r="N54" i="11"/>
  <c r="M54" i="11"/>
  <c r="L54" i="11"/>
  <c r="K54" i="11"/>
  <c r="J54" i="11"/>
  <c r="I54" i="11"/>
  <c r="H54" i="11"/>
  <c r="G54" i="11"/>
  <c r="F54" i="11"/>
  <c r="E54" i="11"/>
  <c r="D54" i="11"/>
  <c r="O53" i="11"/>
  <c r="N53" i="11"/>
  <c r="O52" i="11"/>
  <c r="N52" i="11"/>
  <c r="R51" i="11"/>
  <c r="C51" i="11"/>
  <c r="J36" i="11"/>
  <c r="I36" i="11"/>
  <c r="H36" i="11"/>
  <c r="G36" i="11"/>
  <c r="F36" i="11"/>
  <c r="J33" i="11"/>
  <c r="I33" i="11"/>
  <c r="H33" i="11"/>
  <c r="G33" i="11"/>
  <c r="F33" i="11"/>
  <c r="E33" i="11"/>
  <c r="J28" i="11"/>
  <c r="I28" i="11"/>
  <c r="H28" i="11"/>
  <c r="G28" i="11"/>
  <c r="F28" i="11"/>
  <c r="K27" i="11"/>
  <c r="J26" i="11"/>
  <c r="I26" i="11"/>
  <c r="H26" i="11"/>
  <c r="G26" i="11"/>
  <c r="F26" i="11"/>
  <c r="F24" i="11"/>
  <c r="K23" i="11"/>
  <c r="J23" i="11"/>
  <c r="I23" i="11"/>
  <c r="H23" i="11"/>
  <c r="G23" i="11"/>
  <c r="K21" i="11"/>
  <c r="J21" i="11"/>
  <c r="I21" i="11"/>
  <c r="H21" i="11"/>
  <c r="G21" i="11"/>
  <c r="K20" i="11"/>
  <c r="J20" i="11"/>
  <c r="I20" i="11"/>
  <c r="H20" i="11"/>
  <c r="G20" i="11"/>
  <c r="K19" i="11"/>
  <c r="J19" i="11"/>
  <c r="I19" i="11"/>
  <c r="H19" i="11"/>
  <c r="G19" i="11"/>
  <c r="K16" i="11"/>
  <c r="J16" i="11"/>
  <c r="I16" i="11"/>
  <c r="H16" i="11"/>
  <c r="G16" i="11"/>
  <c r="K15" i="11"/>
  <c r="J15" i="11"/>
  <c r="I15" i="11"/>
  <c r="H15" i="11"/>
  <c r="G15" i="11"/>
  <c r="C15" i="11"/>
  <c r="K14" i="11"/>
  <c r="J14" i="11"/>
  <c r="I14" i="11"/>
  <c r="H14" i="11"/>
  <c r="G14" i="11"/>
  <c r="K13" i="11"/>
  <c r="J13" i="11"/>
  <c r="I13" i="11"/>
  <c r="H13" i="11"/>
  <c r="G13" i="11"/>
  <c r="K12" i="11"/>
  <c r="J12" i="11"/>
  <c r="I12" i="11"/>
  <c r="H12" i="11"/>
  <c r="G12" i="11"/>
  <c r="BZ7" i="11"/>
  <c r="BY7" i="11"/>
  <c r="BX7" i="11"/>
  <c r="BW7" i="11"/>
  <c r="BV7" i="11"/>
  <c r="BU7" i="11"/>
  <c r="BT7" i="11"/>
  <c r="BS7" i="11"/>
  <c r="BR7" i="11"/>
  <c r="BQ7" i="11"/>
  <c r="BP7" i="11"/>
  <c r="BO7" i="11"/>
  <c r="BN7" i="11"/>
  <c r="BM7" i="11"/>
  <c r="BL7" i="11"/>
  <c r="BK7" i="11"/>
  <c r="BJ7" i="11"/>
  <c r="BI7" i="11"/>
  <c r="BH7" i="11"/>
  <c r="BG7" i="11"/>
  <c r="BF7" i="11"/>
  <c r="BE7" i="11"/>
  <c r="BD7" i="11"/>
  <c r="BC7" i="11"/>
  <c r="BB7" i="11"/>
  <c r="BA7" i="11"/>
  <c r="AZ7" i="11"/>
  <c r="AY7" i="11"/>
  <c r="AX7" i="11"/>
  <c r="AW7" i="11"/>
  <c r="AV7" i="11"/>
  <c r="AU7" i="11"/>
  <c r="AT7" i="11"/>
  <c r="AS7" i="11"/>
  <c r="AR7" i="11"/>
  <c r="AQ7" i="11"/>
  <c r="AP7" i="11"/>
  <c r="AO7" i="11"/>
  <c r="AN7" i="11"/>
  <c r="AM7" i="11"/>
  <c r="AL7" i="11"/>
  <c r="AK7" i="11"/>
  <c r="AJ7" i="11"/>
  <c r="AI7" i="11"/>
  <c r="AH7" i="11"/>
  <c r="AG7" i="11"/>
  <c r="AF7" i="11"/>
  <c r="AE7" i="11"/>
  <c r="AD7" i="11"/>
  <c r="AC7" i="11"/>
  <c r="AB7" i="11"/>
  <c r="AA7" i="11"/>
  <c r="Z7" i="11"/>
  <c r="Y7" i="11"/>
  <c r="X7" i="11"/>
  <c r="W7" i="11"/>
  <c r="V7" i="11"/>
  <c r="U7" i="11"/>
  <c r="T7" i="11"/>
  <c r="S7" i="11"/>
  <c r="P7" i="11"/>
  <c r="O7" i="11"/>
  <c r="N7" i="11"/>
  <c r="M7" i="11"/>
  <c r="L7" i="11"/>
  <c r="K7" i="11"/>
  <c r="J7" i="11"/>
  <c r="I7" i="11"/>
  <c r="H7" i="11"/>
  <c r="G7" i="11"/>
  <c r="F7" i="11"/>
  <c r="E7" i="11"/>
  <c r="D7" i="11"/>
  <c r="BV5" i="11"/>
  <c r="BQ5" i="11"/>
  <c r="BL5" i="11"/>
  <c r="BG5" i="11"/>
  <c r="BB5" i="11"/>
  <c r="AW5" i="11"/>
  <c r="AR5" i="11"/>
  <c r="AM5" i="11"/>
  <c r="AH5" i="11"/>
  <c r="AC5" i="11"/>
  <c r="X5" i="11"/>
  <c r="S5" i="11"/>
  <c r="O5" i="11"/>
  <c r="N5" i="11"/>
  <c r="N5" i="11" a="1"/>
  <c r="H5" i="11"/>
  <c r="C5" i="11"/>
  <c r="R4" i="11"/>
  <c r="N4" i="11"/>
  <c r="N4" i="11" a="1"/>
  <c r="R3" i="11"/>
  <c r="C3" i="11"/>
  <c r="BZ105" i="12"/>
  <c r="BY105" i="12"/>
  <c r="BX105" i="12"/>
  <c r="BW105" i="12"/>
  <c r="BV105" i="12"/>
  <c r="BU105" i="12"/>
  <c r="BT105" i="12"/>
  <c r="BS105" i="12"/>
  <c r="BR105" i="12"/>
  <c r="BQ105" i="12"/>
  <c r="BP105" i="12"/>
  <c r="BO105" i="12"/>
  <c r="BN105" i="12"/>
  <c r="BM105" i="12"/>
  <c r="BL105" i="12"/>
  <c r="BK105" i="12"/>
  <c r="BJ105" i="12"/>
  <c r="BI105" i="12"/>
  <c r="BH105" i="12"/>
  <c r="BG105" i="12"/>
  <c r="BF105" i="12"/>
  <c r="BE105" i="12"/>
  <c r="BD105" i="12"/>
  <c r="BC105" i="12"/>
  <c r="BB105" i="12"/>
  <c r="BA105" i="12"/>
  <c r="AZ105" i="12"/>
  <c r="AY105" i="12"/>
  <c r="AX105" i="12"/>
  <c r="AW105" i="12"/>
  <c r="AV105" i="12"/>
  <c r="AU105" i="12"/>
  <c r="AT105" i="12"/>
  <c r="AS105" i="12"/>
  <c r="AR105" i="12"/>
  <c r="AQ105" i="12"/>
  <c r="AP105" i="12"/>
  <c r="AO105" i="12"/>
  <c r="AN105" i="12"/>
  <c r="AM105" i="12"/>
  <c r="AL105" i="12"/>
  <c r="AK105" i="12"/>
  <c r="AJ105" i="12"/>
  <c r="AI105" i="12"/>
  <c r="AH105" i="12"/>
  <c r="AG105" i="12"/>
  <c r="AF105" i="12"/>
  <c r="AE105" i="12"/>
  <c r="AD105" i="12"/>
  <c r="AC105" i="12"/>
  <c r="AB105" i="12"/>
  <c r="AA105" i="12"/>
  <c r="Z105" i="12"/>
  <c r="Y105" i="12"/>
  <c r="X105" i="12"/>
  <c r="W105" i="12"/>
  <c r="V105" i="12"/>
  <c r="U105" i="12"/>
  <c r="T105" i="12"/>
  <c r="S105" i="12"/>
  <c r="O67" i="12"/>
  <c r="O66" i="12"/>
  <c r="O65" i="12"/>
  <c r="O64" i="12"/>
  <c r="S63" i="12"/>
  <c r="R63" i="12"/>
  <c r="O61" i="12"/>
  <c r="O60" i="12"/>
  <c r="O59" i="12"/>
  <c r="O58" i="12"/>
  <c r="O55" i="12"/>
  <c r="O54" i="12"/>
  <c r="O53" i="12"/>
  <c r="O52" i="12"/>
  <c r="J49" i="12"/>
  <c r="I49" i="12"/>
  <c r="H49" i="12"/>
  <c r="G49" i="12"/>
  <c r="F49" i="12"/>
  <c r="E49" i="12"/>
  <c r="C49" i="12"/>
  <c r="J48" i="12"/>
  <c r="I48" i="12"/>
  <c r="H48" i="12"/>
  <c r="G48" i="12"/>
  <c r="F48" i="12"/>
  <c r="E48" i="12"/>
  <c r="C48" i="12"/>
  <c r="J47" i="12"/>
  <c r="I47" i="12"/>
  <c r="H47" i="12"/>
  <c r="G47" i="12"/>
  <c r="F47" i="12"/>
  <c r="E47" i="12"/>
  <c r="C47" i="12"/>
  <c r="J46" i="12"/>
  <c r="I46" i="12"/>
  <c r="H46" i="12"/>
  <c r="G46" i="12"/>
  <c r="F46" i="12"/>
  <c r="E46" i="12"/>
  <c r="C46" i="12"/>
  <c r="J45" i="12"/>
  <c r="I45" i="12"/>
  <c r="H45" i="12"/>
  <c r="G45" i="12"/>
  <c r="F45" i="12"/>
  <c r="E45" i="12"/>
  <c r="C45" i="12"/>
  <c r="J44" i="12"/>
  <c r="I44" i="12"/>
  <c r="H44" i="12"/>
  <c r="G44" i="12"/>
  <c r="F44" i="12"/>
  <c r="E44" i="12"/>
  <c r="C44" i="12"/>
  <c r="R43" i="12"/>
  <c r="C43" i="12"/>
  <c r="J41" i="12"/>
  <c r="I41" i="12"/>
  <c r="H41" i="12"/>
  <c r="G41" i="12"/>
  <c r="F41" i="12"/>
  <c r="E41" i="12"/>
  <c r="C41" i="12"/>
  <c r="J40" i="12"/>
  <c r="I40" i="12"/>
  <c r="H40" i="12"/>
  <c r="G40" i="12"/>
  <c r="F40" i="12"/>
  <c r="E40" i="12"/>
  <c r="C40" i="12"/>
  <c r="AN39" i="12"/>
  <c r="AM39" i="12"/>
  <c r="AL39" i="12"/>
  <c r="AK39" i="12"/>
  <c r="AJ39" i="12"/>
  <c r="AI39" i="12"/>
  <c r="AH39" i="12"/>
  <c r="AG39" i="12"/>
  <c r="AF39" i="12"/>
  <c r="AE39" i="12"/>
  <c r="AD39" i="12"/>
  <c r="AC39" i="12"/>
  <c r="AA39" i="12"/>
  <c r="R39" i="12"/>
  <c r="O39" i="12"/>
  <c r="N39" i="12"/>
  <c r="M39" i="12"/>
  <c r="L39" i="12"/>
  <c r="K39" i="12"/>
  <c r="J39" i="12"/>
  <c r="I39" i="12"/>
  <c r="H39" i="12"/>
  <c r="G39" i="12"/>
  <c r="F39" i="12"/>
  <c r="E39" i="12"/>
  <c r="C39" i="12"/>
  <c r="J38" i="12"/>
  <c r="I38" i="12"/>
  <c r="H38" i="12"/>
  <c r="G38" i="12"/>
  <c r="F38" i="12"/>
  <c r="E38" i="12"/>
  <c r="C38" i="12"/>
  <c r="J37" i="12"/>
  <c r="I37" i="12"/>
  <c r="H37" i="12"/>
  <c r="G37" i="12"/>
  <c r="F37" i="12"/>
  <c r="E37" i="12"/>
  <c r="C37" i="12"/>
  <c r="O29" i="12"/>
  <c r="N29" i="12"/>
  <c r="M29" i="12"/>
  <c r="L29" i="12"/>
  <c r="K29" i="12"/>
  <c r="J29" i="12"/>
  <c r="I29" i="12"/>
  <c r="H29" i="12"/>
  <c r="G29" i="12"/>
  <c r="F29" i="12"/>
  <c r="E29" i="12"/>
  <c r="C29" i="12"/>
  <c r="J28" i="12"/>
  <c r="I28" i="12"/>
  <c r="H28" i="12"/>
  <c r="G28" i="12"/>
  <c r="F28" i="12"/>
  <c r="E28" i="12"/>
  <c r="C28" i="12"/>
  <c r="C27" i="12"/>
  <c r="O26" i="12"/>
  <c r="N26" i="12"/>
  <c r="M26" i="12"/>
  <c r="L26" i="12"/>
  <c r="K26" i="12"/>
  <c r="C26" i="12"/>
  <c r="J25" i="12"/>
  <c r="I25" i="12"/>
  <c r="H25" i="12"/>
  <c r="G25" i="12"/>
  <c r="F25" i="12"/>
  <c r="E25" i="12"/>
  <c r="C25" i="12"/>
  <c r="J23" i="12"/>
  <c r="I23" i="12"/>
  <c r="H23" i="12"/>
  <c r="G23" i="12"/>
  <c r="F23" i="12"/>
  <c r="E23" i="12"/>
  <c r="C23" i="12"/>
  <c r="J21" i="12"/>
  <c r="I21" i="12"/>
  <c r="H21" i="12"/>
  <c r="G21" i="12"/>
  <c r="F21" i="12"/>
  <c r="E21" i="12"/>
  <c r="J20" i="12"/>
  <c r="I20" i="12"/>
  <c r="H20" i="12"/>
  <c r="G20" i="12"/>
  <c r="F20" i="12"/>
  <c r="E20" i="12"/>
  <c r="C20" i="12"/>
  <c r="J18" i="12"/>
  <c r="I18" i="12"/>
  <c r="H18" i="12"/>
  <c r="G18" i="12"/>
  <c r="F18" i="12"/>
  <c r="E18" i="12"/>
  <c r="J17" i="12"/>
  <c r="I17" i="12"/>
  <c r="H17" i="12"/>
  <c r="G17" i="12"/>
  <c r="F17" i="12"/>
  <c r="E17" i="12"/>
  <c r="J16" i="12"/>
  <c r="I16" i="12"/>
  <c r="H16" i="12"/>
  <c r="G16" i="12"/>
  <c r="F16" i="12"/>
  <c r="E16" i="12"/>
  <c r="C16" i="12"/>
  <c r="J15" i="12"/>
  <c r="I15" i="12"/>
  <c r="H15" i="12"/>
  <c r="G15" i="12"/>
  <c r="F15" i="12"/>
  <c r="E15" i="12"/>
  <c r="C15" i="12"/>
  <c r="J14" i="12"/>
  <c r="I14" i="12"/>
  <c r="H14" i="12"/>
  <c r="G14" i="12"/>
  <c r="F14" i="12"/>
  <c r="E14" i="12"/>
  <c r="AN13" i="12"/>
  <c r="AM13" i="12"/>
  <c r="AL13" i="12"/>
  <c r="AK13" i="12"/>
  <c r="AJ13" i="12"/>
  <c r="AI13" i="12"/>
  <c r="AH13" i="12"/>
  <c r="AG13" i="12"/>
  <c r="AF13" i="12"/>
  <c r="AE13" i="12"/>
  <c r="AD13" i="12"/>
  <c r="AC13" i="12"/>
  <c r="AA13" i="12"/>
  <c r="R13" i="12"/>
  <c r="O13" i="12"/>
  <c r="N13" i="12"/>
  <c r="M13" i="12"/>
  <c r="L13" i="12"/>
  <c r="K13" i="12"/>
  <c r="J13" i="12"/>
  <c r="I13" i="12"/>
  <c r="H13" i="12"/>
  <c r="G13" i="12"/>
  <c r="F13" i="12"/>
  <c r="E13" i="12"/>
  <c r="J12" i="12"/>
  <c r="I12" i="12"/>
  <c r="H12" i="12"/>
  <c r="G12" i="12"/>
  <c r="F12" i="12"/>
  <c r="E12" i="12"/>
  <c r="C12" i="12"/>
  <c r="J11" i="12"/>
  <c r="I11" i="12"/>
  <c r="H11" i="12"/>
  <c r="G11" i="12"/>
  <c r="F11" i="12"/>
  <c r="E11" i="12"/>
  <c r="J10" i="12"/>
  <c r="I10" i="12"/>
  <c r="H10" i="12"/>
  <c r="G10" i="12"/>
  <c r="F10" i="12"/>
  <c r="E10" i="12"/>
  <c r="C10" i="12"/>
  <c r="J9" i="12"/>
  <c r="I9" i="12"/>
  <c r="H9" i="12"/>
  <c r="G9" i="12"/>
  <c r="F9" i="12"/>
  <c r="E9" i="12"/>
  <c r="C9" i="12"/>
  <c r="AN7" i="12"/>
  <c r="AM7" i="12"/>
  <c r="AL7" i="12"/>
  <c r="AK7" i="12"/>
  <c r="AJ7" i="12"/>
  <c r="AI7" i="12"/>
  <c r="AH7" i="12"/>
  <c r="AG7" i="12"/>
  <c r="AF7" i="12"/>
  <c r="AE7" i="12"/>
  <c r="AD7" i="12"/>
  <c r="AC7" i="12"/>
  <c r="AA7" i="12"/>
  <c r="Z7" i="12"/>
  <c r="Y7" i="12"/>
  <c r="X7" i="12"/>
  <c r="W7" i="12"/>
  <c r="V7" i="12"/>
  <c r="U7" i="12"/>
  <c r="T7" i="12"/>
  <c r="S7" i="12"/>
  <c r="R7" i="12"/>
  <c r="O7" i="12"/>
  <c r="N7" i="12"/>
  <c r="M7" i="12"/>
  <c r="L7" i="12"/>
  <c r="K7" i="12"/>
  <c r="J7" i="12"/>
  <c r="I7" i="12"/>
  <c r="H7" i="12"/>
  <c r="G7" i="12"/>
  <c r="F7" i="12"/>
  <c r="E7" i="12"/>
  <c r="AN5" i="12"/>
  <c r="AM5" i="12"/>
  <c r="AC5" i="12"/>
  <c r="AA5" i="12"/>
  <c r="Z5" i="12"/>
  <c r="R5" i="12"/>
  <c r="O5" i="12"/>
  <c r="N5" i="12"/>
  <c r="N5" i="12" a="1"/>
  <c r="H5" i="12"/>
  <c r="C5" i="12"/>
  <c r="AM4" i="12"/>
  <c r="AC4" i="12"/>
  <c r="Z4" i="12"/>
  <c r="R4" i="12"/>
  <c r="N4" i="12"/>
  <c r="N4" i="12" a="1"/>
  <c r="AM3" i="12"/>
  <c r="AC3" i="12"/>
  <c r="Z3" i="12"/>
  <c r="R3" i="12"/>
  <c r="N3" i="12"/>
  <c r="C3" i="12"/>
  <c r="O138" i="8"/>
  <c r="N138" i="8"/>
  <c r="M138" i="8"/>
  <c r="L138" i="8"/>
  <c r="K138" i="8"/>
  <c r="C138" i="8"/>
  <c r="O137" i="8"/>
  <c r="N137" i="8"/>
  <c r="M137" i="8"/>
  <c r="L137" i="8"/>
  <c r="K137" i="8"/>
  <c r="C137" i="8"/>
  <c r="C136" i="8"/>
  <c r="C135" i="8"/>
  <c r="C134" i="8"/>
  <c r="C133" i="8"/>
  <c r="O132" i="8"/>
  <c r="N132" i="8"/>
  <c r="M132" i="8"/>
  <c r="L132" i="8"/>
  <c r="K132" i="8"/>
  <c r="O130" i="8"/>
  <c r="N130" i="8"/>
  <c r="M130" i="8"/>
  <c r="L130" i="8"/>
  <c r="K130" i="8"/>
  <c r="C130" i="8"/>
  <c r="O129" i="8"/>
  <c r="N129" i="8"/>
  <c r="M129" i="8"/>
  <c r="L129" i="8"/>
  <c r="K129" i="8"/>
  <c r="C129" i="8"/>
  <c r="C128" i="8"/>
  <c r="C127" i="8"/>
  <c r="C126" i="8"/>
  <c r="C125" i="8"/>
  <c r="O124" i="8"/>
  <c r="N124" i="8"/>
  <c r="M124" i="8"/>
  <c r="L124" i="8"/>
  <c r="K124" i="8"/>
  <c r="O122" i="8"/>
  <c r="N122" i="8"/>
  <c r="M122" i="8"/>
  <c r="L122" i="8"/>
  <c r="K122" i="8"/>
  <c r="C122" i="8"/>
  <c r="O121" i="8"/>
  <c r="N121" i="8"/>
  <c r="M121" i="8"/>
  <c r="L121" i="8"/>
  <c r="K121" i="8"/>
  <c r="C121" i="8"/>
  <c r="C120" i="8"/>
  <c r="C119" i="8"/>
  <c r="C118" i="8"/>
  <c r="C117" i="8"/>
  <c r="O116" i="8"/>
  <c r="N116" i="8"/>
  <c r="M116" i="8"/>
  <c r="L116" i="8"/>
  <c r="K116" i="8"/>
  <c r="O114" i="8"/>
  <c r="N114" i="8"/>
  <c r="M114" i="8"/>
  <c r="L114" i="8"/>
  <c r="K114" i="8"/>
  <c r="C114" i="8"/>
  <c r="O113" i="8"/>
  <c r="N113" i="8"/>
  <c r="M113" i="8"/>
  <c r="L113" i="8"/>
  <c r="K113" i="8"/>
  <c r="C113" i="8"/>
  <c r="C112" i="8"/>
  <c r="C111" i="8"/>
  <c r="C110" i="8"/>
  <c r="C109" i="8"/>
  <c r="O108" i="8"/>
  <c r="N108" i="8"/>
  <c r="M108" i="8"/>
  <c r="L108" i="8"/>
  <c r="K108" i="8"/>
  <c r="C105" i="8"/>
  <c r="C104" i="8"/>
  <c r="C103" i="8"/>
  <c r="C102" i="8"/>
  <c r="C101" i="8"/>
  <c r="C100" i="8"/>
  <c r="C99" i="8"/>
  <c r="C98" i="8"/>
  <c r="C97" i="8"/>
  <c r="C96" i="8"/>
  <c r="C95" i="8"/>
  <c r="C94" i="8"/>
  <c r="C93" i="8"/>
  <c r="BJ92" i="8"/>
  <c r="BI92" i="8"/>
  <c r="BH92" i="8"/>
  <c r="BG92" i="8"/>
  <c r="BF92" i="8"/>
  <c r="BE92" i="8"/>
  <c r="BD92" i="8"/>
  <c r="BC92" i="8"/>
  <c r="BB92" i="8"/>
  <c r="BA92" i="8"/>
  <c r="AZ92" i="8"/>
  <c r="AY92" i="8"/>
  <c r="AX92" i="8"/>
  <c r="AW92" i="8"/>
  <c r="AV92" i="8"/>
  <c r="AU92" i="8"/>
  <c r="AT92" i="8"/>
  <c r="AS92" i="8"/>
  <c r="AR92" i="8"/>
  <c r="AQ92" i="8"/>
  <c r="AP92" i="8"/>
  <c r="AO92" i="8"/>
  <c r="AN92" i="8"/>
  <c r="AM92" i="8"/>
  <c r="AL92" i="8"/>
  <c r="AK92" i="8"/>
  <c r="AJ92" i="8"/>
  <c r="AI92" i="8"/>
  <c r="AH92" i="8"/>
  <c r="AG92" i="8"/>
  <c r="AF92" i="8"/>
  <c r="AE92" i="8"/>
  <c r="AD92" i="8"/>
  <c r="AC92" i="8"/>
  <c r="AB92" i="8"/>
  <c r="AA92" i="8"/>
  <c r="Z92" i="8"/>
  <c r="Y92" i="8"/>
  <c r="X92" i="8"/>
  <c r="W92" i="8"/>
  <c r="V92" i="8"/>
  <c r="U92" i="8"/>
  <c r="T92" i="8"/>
  <c r="S92" i="8"/>
  <c r="BB91" i="8"/>
  <c r="AW91" i="8"/>
  <c r="AR91" i="8"/>
  <c r="AM91" i="8"/>
  <c r="AH91" i="8"/>
  <c r="AC91" i="8"/>
  <c r="X91" i="8"/>
  <c r="S91" i="8"/>
  <c r="O91" i="8"/>
  <c r="N91" i="8"/>
  <c r="M91" i="8"/>
  <c r="L91" i="8"/>
  <c r="K91" i="8"/>
  <c r="J91" i="8"/>
  <c r="I91" i="8"/>
  <c r="H91" i="8"/>
  <c r="G91" i="8"/>
  <c r="F91" i="8"/>
  <c r="E91" i="8"/>
  <c r="D91" i="8"/>
  <c r="BJ90" i="8"/>
  <c r="BI90" i="8"/>
  <c r="O90" i="8"/>
  <c r="N90" i="8"/>
  <c r="C90" i="8"/>
  <c r="BI89" i="8"/>
  <c r="R89" i="8"/>
  <c r="N89" i="8"/>
  <c r="C89" i="8"/>
  <c r="BI88" i="8"/>
  <c r="R88" i="8"/>
  <c r="N88" i="8"/>
  <c r="C88" i="8"/>
  <c r="J76" i="8"/>
  <c r="I76" i="8"/>
  <c r="H76" i="8"/>
  <c r="G76" i="8"/>
  <c r="F76" i="8"/>
  <c r="E76" i="8"/>
  <c r="D76" i="8"/>
  <c r="C76" i="8"/>
  <c r="J75" i="8"/>
  <c r="I75" i="8"/>
  <c r="H75" i="8"/>
  <c r="G75" i="8"/>
  <c r="F75" i="8"/>
  <c r="E75" i="8"/>
  <c r="D75" i="8"/>
  <c r="C75" i="8"/>
  <c r="J74" i="8"/>
  <c r="I74" i="8"/>
  <c r="H74" i="8"/>
  <c r="G74" i="8"/>
  <c r="F74" i="8"/>
  <c r="E74" i="8"/>
  <c r="D74" i="8"/>
  <c r="C74" i="8"/>
  <c r="J73" i="8"/>
  <c r="I73" i="8"/>
  <c r="H73" i="8"/>
  <c r="G73" i="8"/>
  <c r="F73" i="8"/>
  <c r="E73" i="8"/>
  <c r="D73" i="8"/>
  <c r="C73" i="8"/>
  <c r="J72" i="8"/>
  <c r="I72" i="8"/>
  <c r="H72" i="8"/>
  <c r="G72" i="8"/>
  <c r="F72" i="8"/>
  <c r="E72" i="8"/>
  <c r="D72" i="8"/>
  <c r="C72" i="8"/>
  <c r="J71" i="8"/>
  <c r="I71" i="8"/>
  <c r="H71" i="8"/>
  <c r="G71" i="8"/>
  <c r="F71" i="8"/>
  <c r="E71" i="8"/>
  <c r="D71" i="8"/>
  <c r="C71" i="8"/>
  <c r="O69" i="8"/>
  <c r="N69" i="8"/>
  <c r="M69" i="8"/>
  <c r="L69" i="8"/>
  <c r="K69" i="8"/>
  <c r="J69" i="8"/>
  <c r="I69" i="8"/>
  <c r="H69" i="8"/>
  <c r="G69" i="8"/>
  <c r="F69" i="8"/>
  <c r="E69" i="8"/>
  <c r="D69" i="8"/>
  <c r="BN67" i="8"/>
  <c r="BD67" i="8"/>
  <c r="BC67" i="8"/>
  <c r="BB67" i="8"/>
  <c r="BA67" i="8"/>
  <c r="AZ67" i="8"/>
  <c r="AY67" i="8"/>
  <c r="AX67" i="8"/>
  <c r="AW67" i="8"/>
  <c r="AV67" i="8"/>
  <c r="AU67" i="8"/>
  <c r="AT67" i="8"/>
  <c r="AS67" i="8"/>
  <c r="AR67" i="8"/>
  <c r="AQ67" i="8"/>
  <c r="AP67" i="8"/>
  <c r="AO67" i="8"/>
  <c r="AN67" i="8"/>
  <c r="AM67" i="8"/>
  <c r="AL67" i="8"/>
  <c r="AK67" i="8"/>
  <c r="AJ67" i="8"/>
  <c r="AI67" i="8"/>
  <c r="AH67" i="8"/>
  <c r="AG67" i="8"/>
  <c r="AF67" i="8"/>
  <c r="AE67" i="8"/>
  <c r="AD67" i="8"/>
  <c r="AC67" i="8"/>
  <c r="AB67" i="8"/>
  <c r="R67" i="8"/>
  <c r="J67" i="8"/>
  <c r="I67" i="8"/>
  <c r="H67" i="8"/>
  <c r="G67" i="8"/>
  <c r="F67" i="8"/>
  <c r="E67" i="8"/>
  <c r="BN66" i="8"/>
  <c r="BM66" i="8"/>
  <c r="BL66" i="8"/>
  <c r="BK66" i="8"/>
  <c r="BJ66" i="8"/>
  <c r="BI66" i="8"/>
  <c r="BH66" i="8"/>
  <c r="BG66" i="8"/>
  <c r="BF66" i="8"/>
  <c r="R66" i="8"/>
  <c r="BM65" i="8"/>
  <c r="BL65" i="8"/>
  <c r="BK65" i="8"/>
  <c r="BJ65" i="8"/>
  <c r="BI65" i="8"/>
  <c r="BH65" i="8"/>
  <c r="BG65" i="8"/>
  <c r="BF65" i="8"/>
  <c r="BE65" i="8"/>
  <c r="AB65" i="8"/>
  <c r="AB65" i="8" a="1"/>
  <c r="R65" i="8"/>
  <c r="K65" i="8"/>
  <c r="BD64" i="8"/>
  <c r="BC64" i="8"/>
  <c r="BB64" i="8"/>
  <c r="BA64" i="8"/>
  <c r="AZ64" i="8"/>
  <c r="AY64" i="8"/>
  <c r="AX64" i="8"/>
  <c r="AW64" i="8"/>
  <c r="AV64" i="8"/>
  <c r="AU64" i="8"/>
  <c r="AT64" i="8"/>
  <c r="AS64" i="8"/>
  <c r="AR64" i="8"/>
  <c r="AQ64" i="8"/>
  <c r="AP64" i="8"/>
  <c r="AO64" i="8"/>
  <c r="AN64" i="8"/>
  <c r="AM64" i="8"/>
  <c r="AL64" i="8"/>
  <c r="AK64" i="8"/>
  <c r="AJ64" i="8"/>
  <c r="AI64" i="8"/>
  <c r="AH64" i="8"/>
  <c r="AG64" i="8"/>
  <c r="AF64" i="8"/>
  <c r="AE64" i="8"/>
  <c r="AD64" i="8"/>
  <c r="AC64" i="8"/>
  <c r="AB64" i="8"/>
  <c r="R64" i="8"/>
  <c r="J64" i="8"/>
  <c r="I64" i="8"/>
  <c r="H64" i="8"/>
  <c r="G64" i="8"/>
  <c r="F64" i="8"/>
  <c r="BM63" i="8"/>
  <c r="BL63" i="8"/>
  <c r="BK63" i="8"/>
  <c r="BJ63" i="8"/>
  <c r="BI63" i="8"/>
  <c r="BH63" i="8"/>
  <c r="BG63" i="8"/>
  <c r="BF63" i="8"/>
  <c r="AG63" i="8"/>
  <c r="R63" i="8"/>
  <c r="R62" i="8"/>
  <c r="J62" i="8"/>
  <c r="I62" i="8"/>
  <c r="H62" i="8"/>
  <c r="G62" i="8"/>
  <c r="F62" i="8"/>
  <c r="E62" i="8"/>
  <c r="D62" i="8"/>
  <c r="R61" i="8"/>
  <c r="BN60" i="8"/>
  <c r="BM60" i="8"/>
  <c r="BL60" i="8"/>
  <c r="BK60" i="8"/>
  <c r="BJ60" i="8"/>
  <c r="BI60" i="8"/>
  <c r="BH60" i="8"/>
  <c r="BG60" i="8"/>
  <c r="BF60" i="8"/>
  <c r="BE60" i="8"/>
  <c r="BC60" i="8"/>
  <c r="R60" i="8"/>
  <c r="K60" i="8"/>
  <c r="J60" i="8"/>
  <c r="I60" i="8"/>
  <c r="H60" i="8"/>
  <c r="G60" i="8"/>
  <c r="F60" i="8"/>
  <c r="E60" i="8"/>
  <c r="D60" i="8"/>
  <c r="C60" i="8"/>
  <c r="BN59" i="8"/>
  <c r="BM59" i="8"/>
  <c r="BL59" i="8"/>
  <c r="BK59" i="8"/>
  <c r="BJ59" i="8"/>
  <c r="BI59" i="8"/>
  <c r="BH59" i="8"/>
  <c r="BG59" i="8"/>
  <c r="BF59" i="8"/>
  <c r="BE59" i="8"/>
  <c r="BA59" i="8"/>
  <c r="AZ59" i="8"/>
  <c r="AY59" i="8"/>
  <c r="AX59" i="8"/>
  <c r="AW59" i="8"/>
  <c r="AV59" i="8"/>
  <c r="AU59" i="8"/>
  <c r="AT59" i="8"/>
  <c r="AS59" i="8"/>
  <c r="AR59" i="8"/>
  <c r="AQ59" i="8"/>
  <c r="AP59" i="8"/>
  <c r="AO59" i="8"/>
  <c r="AN59" i="8"/>
  <c r="AM59" i="8"/>
  <c r="AL59" i="8"/>
  <c r="AK59" i="8"/>
  <c r="AJ59" i="8"/>
  <c r="AI59" i="8"/>
  <c r="AH59" i="8"/>
  <c r="AG59" i="8"/>
  <c r="AF59" i="8"/>
  <c r="AE59" i="8"/>
  <c r="AD59" i="8"/>
  <c r="AC59" i="8"/>
  <c r="R59" i="8"/>
  <c r="K59" i="8"/>
  <c r="BN58" i="8"/>
  <c r="BM58" i="8"/>
  <c r="BL58" i="8"/>
  <c r="BK58" i="8"/>
  <c r="BJ58" i="8"/>
  <c r="BI58" i="8"/>
  <c r="BH58" i="8"/>
  <c r="BG58" i="8"/>
  <c r="BF58" i="8"/>
  <c r="BE58" i="8"/>
  <c r="R58" i="8"/>
  <c r="O58" i="8"/>
  <c r="N58" i="8"/>
  <c r="M58" i="8"/>
  <c r="L58" i="8"/>
  <c r="K58" i="8"/>
  <c r="BN57" i="8"/>
  <c r="BM57" i="8"/>
  <c r="BL57" i="8"/>
  <c r="BK57" i="8"/>
  <c r="BJ57" i="8"/>
  <c r="BI57" i="8"/>
  <c r="BH57" i="8"/>
  <c r="BG57" i="8"/>
  <c r="BF57" i="8"/>
  <c r="BE57" i="8"/>
  <c r="BC57" i="8"/>
  <c r="BB57" i="8"/>
  <c r="R57" i="8"/>
  <c r="K57" i="8"/>
  <c r="J57" i="8"/>
  <c r="I57" i="8"/>
  <c r="H57" i="8"/>
  <c r="G57" i="8"/>
  <c r="F57" i="8"/>
  <c r="E57" i="8"/>
  <c r="D57" i="8"/>
  <c r="R56" i="8"/>
  <c r="K56" i="8"/>
  <c r="J56" i="8"/>
  <c r="I56" i="8"/>
  <c r="H56" i="8"/>
  <c r="G56" i="8"/>
  <c r="F56" i="8"/>
  <c r="E56" i="8"/>
  <c r="D56" i="8"/>
  <c r="R55" i="8"/>
  <c r="BN54" i="8"/>
  <c r="BD54" i="8"/>
  <c r="BC54" i="8"/>
  <c r="BB54" i="8"/>
  <c r="BA54" i="8"/>
  <c r="AZ54" i="8"/>
  <c r="AY54" i="8"/>
  <c r="AX54" i="8"/>
  <c r="AW54" i="8"/>
  <c r="AV54" i="8"/>
  <c r="AU54" i="8"/>
  <c r="AT54" i="8"/>
  <c r="AS54" i="8"/>
  <c r="AR54" i="8"/>
  <c r="AQ54" i="8"/>
  <c r="AP54" i="8"/>
  <c r="AO54" i="8"/>
  <c r="AN54" i="8"/>
  <c r="AM54" i="8"/>
  <c r="AL54" i="8"/>
  <c r="AK54" i="8"/>
  <c r="AJ54" i="8"/>
  <c r="AI54" i="8"/>
  <c r="AH54" i="8"/>
  <c r="AG54" i="8"/>
  <c r="AF54" i="8"/>
  <c r="AE54" i="8"/>
  <c r="AD54" i="8"/>
  <c r="AC54" i="8"/>
  <c r="R54" i="8"/>
  <c r="J54" i="8"/>
  <c r="I54" i="8"/>
  <c r="H54" i="8"/>
  <c r="G54" i="8"/>
  <c r="F54" i="8"/>
  <c r="E54" i="8"/>
  <c r="D54" i="8"/>
  <c r="BN53" i="8"/>
  <c r="BM53" i="8"/>
  <c r="BL53" i="8"/>
  <c r="BK53" i="8"/>
  <c r="BJ53" i="8"/>
  <c r="BI53" i="8"/>
  <c r="BH53" i="8"/>
  <c r="BG53" i="8"/>
  <c r="BF53" i="8"/>
  <c r="BE53" i="8"/>
  <c r="BD53" i="8"/>
  <c r="BC53" i="8"/>
  <c r="BB53" i="8"/>
  <c r="BA53" i="8"/>
  <c r="AZ53" i="8"/>
  <c r="AY53" i="8"/>
  <c r="AX53" i="8"/>
  <c r="AW53" i="8"/>
  <c r="AV53" i="8"/>
  <c r="AU53" i="8"/>
  <c r="AT53" i="8"/>
  <c r="AS53" i="8"/>
  <c r="AR53" i="8"/>
  <c r="AQ53" i="8"/>
  <c r="AP53" i="8"/>
  <c r="AO53" i="8"/>
  <c r="AN53" i="8"/>
  <c r="AM53" i="8"/>
  <c r="AL53" i="8"/>
  <c r="AK53" i="8"/>
  <c r="AJ53" i="8"/>
  <c r="AI53" i="8"/>
  <c r="AH53" i="8"/>
  <c r="AG53" i="8"/>
  <c r="AF53" i="8"/>
  <c r="AE53" i="8"/>
  <c r="AD53" i="8"/>
  <c r="AC53" i="8"/>
  <c r="AB53" i="8"/>
  <c r="AA53" i="8"/>
  <c r="Z53" i="8"/>
  <c r="Y53" i="8"/>
  <c r="X53" i="8"/>
  <c r="W53" i="8"/>
  <c r="V53" i="8"/>
  <c r="U53" i="8"/>
  <c r="T53" i="8"/>
  <c r="S53" i="8"/>
  <c r="BG52" i="8"/>
  <c r="BB52" i="8"/>
  <c r="AW52" i="8"/>
  <c r="AR52" i="8"/>
  <c r="AM52" i="8"/>
  <c r="AH52" i="8"/>
  <c r="AC52" i="8"/>
  <c r="X52" i="8"/>
  <c r="S52" i="8"/>
  <c r="O52" i="8"/>
  <c r="N52" i="8"/>
  <c r="M52" i="8"/>
  <c r="L52" i="8"/>
  <c r="K52" i="8"/>
  <c r="J52" i="8"/>
  <c r="I52" i="8"/>
  <c r="H52" i="8"/>
  <c r="G52" i="8"/>
  <c r="F52" i="8"/>
  <c r="E52" i="8"/>
  <c r="D52" i="8"/>
  <c r="BN51" i="8"/>
  <c r="BM51" i="8"/>
  <c r="R51" i="8"/>
  <c r="O51" i="8"/>
  <c r="N51" i="8"/>
  <c r="C51" i="8"/>
  <c r="BM50" i="8"/>
  <c r="R50" i="8"/>
  <c r="N50" i="8"/>
  <c r="C50" i="8"/>
  <c r="BM49" i="8"/>
  <c r="R49" i="8"/>
  <c r="N49" i="8"/>
  <c r="C49" i="8"/>
  <c r="O44" i="8"/>
  <c r="N44" i="8"/>
  <c r="M44" i="8"/>
  <c r="L44" i="8"/>
  <c r="O43" i="8"/>
  <c r="N43" i="8"/>
  <c r="M43" i="8"/>
  <c r="L43" i="8"/>
  <c r="O42" i="8"/>
  <c r="N42" i="8"/>
  <c r="M42" i="8"/>
  <c r="L42" i="8"/>
  <c r="O41" i="8"/>
  <c r="N41" i="8"/>
  <c r="M41" i="8"/>
  <c r="L41" i="8"/>
  <c r="K41" i="8"/>
  <c r="J41" i="8"/>
  <c r="I41" i="8"/>
  <c r="H41" i="8"/>
  <c r="G41" i="8"/>
  <c r="F41" i="8"/>
  <c r="E41" i="8"/>
  <c r="D41" i="8"/>
  <c r="J39" i="8"/>
  <c r="I39" i="8"/>
  <c r="H39" i="8"/>
  <c r="G39" i="8"/>
  <c r="F39" i="8"/>
  <c r="E39" i="8"/>
  <c r="D39" i="8"/>
  <c r="O37" i="8"/>
  <c r="N37" i="8"/>
  <c r="M37" i="8"/>
  <c r="L37" i="8"/>
  <c r="K37" i="8"/>
  <c r="J37" i="8"/>
  <c r="I37" i="8"/>
  <c r="H37" i="8"/>
  <c r="G37" i="8"/>
  <c r="F37" i="8"/>
  <c r="E37" i="8"/>
  <c r="D37" i="8"/>
  <c r="O35" i="8"/>
  <c r="N35" i="8"/>
  <c r="M35" i="8"/>
  <c r="L35" i="8"/>
  <c r="K35" i="8"/>
  <c r="J35" i="8"/>
  <c r="I35" i="8"/>
  <c r="H35" i="8"/>
  <c r="G35" i="8"/>
  <c r="F35" i="8"/>
  <c r="E35" i="8"/>
  <c r="D35" i="8"/>
  <c r="O34" i="8"/>
  <c r="N34" i="8"/>
  <c r="M34" i="8"/>
  <c r="L34" i="8"/>
  <c r="K34" i="8"/>
  <c r="J34" i="8"/>
  <c r="I34" i="8"/>
  <c r="H34" i="8"/>
  <c r="G34" i="8"/>
  <c r="F34" i="8"/>
  <c r="E34" i="8"/>
  <c r="D34" i="8"/>
  <c r="O33" i="8"/>
  <c r="N33" i="8"/>
  <c r="M33" i="8"/>
  <c r="L33" i="8"/>
  <c r="K33" i="8"/>
  <c r="J33" i="8"/>
  <c r="I33" i="8"/>
  <c r="H33" i="8"/>
  <c r="G33" i="8"/>
  <c r="F33" i="8"/>
  <c r="E33" i="8"/>
  <c r="D33" i="8"/>
  <c r="O32" i="8"/>
  <c r="N32" i="8"/>
  <c r="M32" i="8"/>
  <c r="L32" i="8"/>
  <c r="K32" i="8"/>
  <c r="J32" i="8"/>
  <c r="I32" i="8"/>
  <c r="H32" i="8"/>
  <c r="G32" i="8"/>
  <c r="F32" i="8"/>
  <c r="E32" i="8"/>
  <c r="D32" i="8"/>
  <c r="O31" i="8"/>
  <c r="N31" i="8"/>
  <c r="M31" i="8"/>
  <c r="L31" i="8"/>
  <c r="K31" i="8"/>
  <c r="J31" i="8"/>
  <c r="I31" i="8"/>
  <c r="H31" i="8"/>
  <c r="G31" i="8"/>
  <c r="F31" i="8"/>
  <c r="E31" i="8"/>
  <c r="D31" i="8"/>
  <c r="O29" i="8"/>
  <c r="N29" i="8"/>
  <c r="M29" i="8"/>
  <c r="L29" i="8"/>
  <c r="J29" i="8"/>
  <c r="I29" i="8"/>
  <c r="H29" i="8"/>
  <c r="G29" i="8"/>
  <c r="F29" i="8"/>
  <c r="E29" i="8"/>
  <c r="D29" i="8"/>
  <c r="O28" i="8"/>
  <c r="N28" i="8"/>
  <c r="M28" i="8"/>
  <c r="L28" i="8"/>
  <c r="K28" i="8"/>
  <c r="J28" i="8"/>
  <c r="I28" i="8"/>
  <c r="H28" i="8"/>
  <c r="G28" i="8"/>
  <c r="F28" i="8"/>
  <c r="E28" i="8"/>
  <c r="D28" i="8"/>
  <c r="BF26" i="8"/>
  <c r="BE26" i="8"/>
  <c r="BD26" i="8"/>
  <c r="BC26" i="8"/>
  <c r="BB26" i="8"/>
  <c r="BA26" i="8"/>
  <c r="AZ26" i="8"/>
  <c r="AY26" i="8"/>
  <c r="AX26" i="8"/>
  <c r="AW26" i="8"/>
  <c r="AV26" i="8"/>
  <c r="AU26" i="8"/>
  <c r="AT26" i="8"/>
  <c r="AS26" i="8"/>
  <c r="AR26" i="8"/>
  <c r="AQ26" i="8"/>
  <c r="AP26" i="8"/>
  <c r="AO26" i="8"/>
  <c r="AN26" i="8"/>
  <c r="AM26" i="8"/>
  <c r="AL26" i="8"/>
  <c r="AK26" i="8"/>
  <c r="AJ26" i="8"/>
  <c r="AI26" i="8"/>
  <c r="AH26" i="8"/>
  <c r="AG26" i="8"/>
  <c r="AF26" i="8"/>
  <c r="AE26" i="8"/>
  <c r="AD26" i="8"/>
  <c r="AC26" i="8"/>
  <c r="AB26" i="8"/>
  <c r="AA26" i="8"/>
  <c r="Z26" i="8"/>
  <c r="Y26" i="8"/>
  <c r="X26" i="8"/>
  <c r="W26" i="8"/>
  <c r="V26" i="8"/>
  <c r="U26" i="8"/>
  <c r="T26" i="8"/>
  <c r="S26" i="8"/>
  <c r="R26" i="8"/>
  <c r="J26" i="8"/>
  <c r="I26" i="8"/>
  <c r="H26" i="8"/>
  <c r="G26" i="8"/>
  <c r="F26" i="8"/>
  <c r="E26" i="8"/>
  <c r="D26" i="8"/>
  <c r="BD25" i="8"/>
  <c r="BC25" i="8"/>
  <c r="BB25" i="8"/>
  <c r="BA25" i="8"/>
  <c r="AZ25" i="8"/>
  <c r="AY25" i="8"/>
  <c r="AX25" i="8"/>
  <c r="AW25" i="8"/>
  <c r="AV25" i="8"/>
  <c r="AU25" i="8"/>
  <c r="AT25" i="8"/>
  <c r="AS25" i="8"/>
  <c r="AR25" i="8"/>
  <c r="AQ25" i="8"/>
  <c r="AP25" i="8"/>
  <c r="AO25" i="8"/>
  <c r="AN25" i="8"/>
  <c r="AM25" i="8"/>
  <c r="AL25" i="8"/>
  <c r="AK25" i="8"/>
  <c r="AJ25" i="8"/>
  <c r="AI25" i="8"/>
  <c r="AH25" i="8"/>
  <c r="AG25" i="8"/>
  <c r="AF25" i="8"/>
  <c r="AE25" i="8"/>
  <c r="AD25" i="8"/>
  <c r="AC25" i="8"/>
  <c r="AB25" i="8"/>
  <c r="AA25" i="8"/>
  <c r="Z25" i="8"/>
  <c r="Y25" i="8"/>
  <c r="X25" i="8"/>
  <c r="W25" i="8"/>
  <c r="V25" i="8"/>
  <c r="U25" i="8"/>
  <c r="T25" i="8"/>
  <c r="S25" i="8"/>
  <c r="R25" i="8"/>
  <c r="J25" i="8"/>
  <c r="I25" i="8"/>
  <c r="H25" i="8"/>
  <c r="G25" i="8"/>
  <c r="F25" i="8"/>
  <c r="E25" i="8"/>
  <c r="D25"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J24" i="8"/>
  <c r="I24" i="8"/>
  <c r="H24" i="8"/>
  <c r="G24" i="8"/>
  <c r="F24" i="8"/>
  <c r="E24" i="8"/>
  <c r="D24"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J23" i="8"/>
  <c r="I23" i="8"/>
  <c r="H23" i="8"/>
  <c r="G23" i="8"/>
  <c r="F23" i="8"/>
  <c r="E23" i="8"/>
  <c r="D23"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J22" i="8"/>
  <c r="I22" i="8"/>
  <c r="H22" i="8"/>
  <c r="G22" i="8"/>
  <c r="F22" i="8"/>
  <c r="E22" i="8"/>
  <c r="D22"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J21" i="8"/>
  <c r="I21" i="8"/>
  <c r="H21" i="8"/>
  <c r="G21" i="8"/>
  <c r="F21" i="8"/>
  <c r="E21" i="8"/>
  <c r="D21"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O20" i="8"/>
  <c r="N20" i="8"/>
  <c r="M20" i="8"/>
  <c r="L20" i="8"/>
  <c r="K20" i="8"/>
  <c r="J20" i="8"/>
  <c r="I20" i="8"/>
  <c r="H20" i="8"/>
  <c r="G20" i="8"/>
  <c r="F20" i="8"/>
  <c r="E20" i="8"/>
  <c r="D20" i="8"/>
  <c r="R18" i="8"/>
  <c r="BD17" i="8"/>
  <c r="BC17" i="8"/>
  <c r="BB17" i="8"/>
  <c r="BA17" i="8"/>
  <c r="AZ17" i="8"/>
  <c r="AY17" i="8"/>
  <c r="AX17" i="8"/>
  <c r="AW17" i="8"/>
  <c r="AV17" i="8"/>
  <c r="AU17" i="8"/>
  <c r="AT17" i="8"/>
  <c r="AS17" i="8"/>
  <c r="AR17" i="8"/>
  <c r="AQ17" i="8"/>
  <c r="AP17" i="8"/>
  <c r="AO17" i="8"/>
  <c r="AN17" i="8"/>
  <c r="AM17" i="8"/>
  <c r="AL17" i="8"/>
  <c r="AK17" i="8"/>
  <c r="AJ17" i="8"/>
  <c r="AI17" i="8"/>
  <c r="AH17" i="8"/>
  <c r="AG17" i="8"/>
  <c r="AF17" i="8"/>
  <c r="AE17" i="8"/>
  <c r="AD17" i="8"/>
  <c r="AC17" i="8"/>
  <c r="AB17" i="8"/>
  <c r="AA17" i="8"/>
  <c r="Z17" i="8"/>
  <c r="Y17" i="8"/>
  <c r="X17" i="8"/>
  <c r="W17" i="8"/>
  <c r="V17" i="8"/>
  <c r="U17" i="8"/>
  <c r="T17" i="8"/>
  <c r="S17" i="8"/>
  <c r="R17" i="8"/>
  <c r="J17" i="8"/>
  <c r="I17" i="8"/>
  <c r="H17" i="8"/>
  <c r="G17" i="8"/>
  <c r="F17" i="8"/>
  <c r="E17" i="8"/>
  <c r="D17" i="8"/>
  <c r="R16" i="8"/>
  <c r="BD15" i="8"/>
  <c r="BC15" i="8"/>
  <c r="BB15" i="8"/>
  <c r="BA15" i="8"/>
  <c r="AZ15" i="8"/>
  <c r="AY15" i="8"/>
  <c r="AX15" i="8"/>
  <c r="AW15" i="8"/>
  <c r="AV15" i="8"/>
  <c r="AU15" i="8"/>
  <c r="AT15" i="8"/>
  <c r="AS15" i="8"/>
  <c r="AR15" i="8"/>
  <c r="AQ15" i="8"/>
  <c r="AP15" i="8"/>
  <c r="AO15" i="8"/>
  <c r="AN15" i="8"/>
  <c r="AM15" i="8"/>
  <c r="AL15" i="8"/>
  <c r="AK15" i="8"/>
  <c r="AJ15" i="8"/>
  <c r="AI15" i="8"/>
  <c r="AH15" i="8"/>
  <c r="AG15" i="8"/>
  <c r="AF15" i="8"/>
  <c r="AE15" i="8"/>
  <c r="AD15" i="8"/>
  <c r="AC15" i="8"/>
  <c r="AB15" i="8"/>
  <c r="AA15" i="8"/>
  <c r="Z15" i="8"/>
  <c r="Y15" i="8"/>
  <c r="X15" i="8"/>
  <c r="W15" i="8"/>
  <c r="V15" i="8"/>
  <c r="U15" i="8"/>
  <c r="T15" i="8"/>
  <c r="S15" i="8"/>
  <c r="R15" i="8"/>
  <c r="J15" i="8"/>
  <c r="I15" i="8"/>
  <c r="H15" i="8"/>
  <c r="G15" i="8"/>
  <c r="F15" i="8"/>
  <c r="E15" i="8"/>
  <c r="D15" i="8"/>
  <c r="R14" i="8"/>
  <c r="BD13" i="8"/>
  <c r="BC13" i="8"/>
  <c r="BB13" i="8"/>
  <c r="BA13" i="8"/>
  <c r="AZ13" i="8"/>
  <c r="AY13" i="8"/>
  <c r="AX13" i="8"/>
  <c r="AW13" i="8"/>
  <c r="AV13" i="8"/>
  <c r="AU13" i="8"/>
  <c r="AT13" i="8"/>
  <c r="AS13" i="8"/>
  <c r="AR13" i="8"/>
  <c r="AQ13" i="8"/>
  <c r="AP13" i="8"/>
  <c r="AO13" i="8"/>
  <c r="AN13" i="8"/>
  <c r="AM13" i="8"/>
  <c r="AL13" i="8"/>
  <c r="AK13" i="8"/>
  <c r="AJ13" i="8"/>
  <c r="AI13" i="8"/>
  <c r="AH13" i="8"/>
  <c r="AG13" i="8"/>
  <c r="AF13" i="8"/>
  <c r="AE13" i="8"/>
  <c r="AD13" i="8"/>
  <c r="AC13" i="8"/>
  <c r="AB13" i="8"/>
  <c r="AA13" i="8"/>
  <c r="Z13" i="8"/>
  <c r="Y13" i="8"/>
  <c r="X13" i="8"/>
  <c r="W13" i="8"/>
  <c r="V13" i="8"/>
  <c r="U13" i="8"/>
  <c r="T13" i="8"/>
  <c r="S13" i="8"/>
  <c r="R13" i="8"/>
  <c r="J13" i="8"/>
  <c r="I13" i="8"/>
  <c r="H13" i="8"/>
  <c r="G13" i="8"/>
  <c r="F13" i="8"/>
  <c r="E13" i="8"/>
  <c r="D13" i="8"/>
  <c r="BF12" i="8"/>
  <c r="BE12" i="8"/>
  <c r="BD12" i="8"/>
  <c r="BC12" i="8"/>
  <c r="BB12" i="8"/>
  <c r="BA12" i="8"/>
  <c r="AZ12" i="8"/>
  <c r="AY12" i="8"/>
  <c r="AX12" i="8"/>
  <c r="AW12" i="8"/>
  <c r="AV12" i="8"/>
  <c r="AU12" i="8"/>
  <c r="AT12" i="8"/>
  <c r="AS12" i="8"/>
  <c r="AR12" i="8"/>
  <c r="AQ12" i="8"/>
  <c r="AP12" i="8"/>
  <c r="AO12" i="8"/>
  <c r="AN12" i="8"/>
  <c r="AM12" i="8"/>
  <c r="AL12" i="8"/>
  <c r="AK12" i="8"/>
  <c r="AJ12" i="8"/>
  <c r="AI12" i="8"/>
  <c r="AH12" i="8"/>
  <c r="AG12" i="8"/>
  <c r="AF12" i="8"/>
  <c r="AE12" i="8"/>
  <c r="AD12" i="8"/>
  <c r="AC12" i="8"/>
  <c r="AB12" i="8"/>
  <c r="AA12" i="8"/>
  <c r="Z12" i="8"/>
  <c r="Y12" i="8"/>
  <c r="X12" i="8"/>
  <c r="W12" i="8"/>
  <c r="V12" i="8"/>
  <c r="U12" i="8"/>
  <c r="T12" i="8"/>
  <c r="S12" i="8"/>
  <c r="R12" i="8"/>
  <c r="J12" i="8"/>
  <c r="I12" i="8"/>
  <c r="H12" i="8"/>
  <c r="G12" i="8"/>
  <c r="F12" i="8"/>
  <c r="E12" i="8"/>
  <c r="D12" i="8"/>
  <c r="S11" i="8"/>
  <c r="S11" i="8" a="1"/>
  <c r="R11" i="8"/>
  <c r="J11" i="8"/>
  <c r="I11" i="8"/>
  <c r="H11" i="8"/>
  <c r="G11" i="8"/>
  <c r="F11" i="8"/>
  <c r="E11" i="8"/>
  <c r="D11" i="8"/>
  <c r="R10" i="8"/>
  <c r="BF9" i="8"/>
  <c r="BE9" i="8"/>
  <c r="BD9" i="8"/>
  <c r="BC9" i="8"/>
  <c r="BB9" i="8"/>
  <c r="BA9" i="8"/>
  <c r="AZ9" i="8"/>
  <c r="AY9" i="8"/>
  <c r="AX9" i="8"/>
  <c r="AW9" i="8"/>
  <c r="AV9" i="8"/>
  <c r="AU9" i="8"/>
  <c r="AT9" i="8"/>
  <c r="AS9" i="8"/>
  <c r="AR9" i="8"/>
  <c r="AQ9" i="8"/>
  <c r="AP9" i="8"/>
  <c r="AO9" i="8"/>
  <c r="AN9" i="8"/>
  <c r="AM9" i="8"/>
  <c r="AL9" i="8"/>
  <c r="AK9" i="8"/>
  <c r="AJ9" i="8"/>
  <c r="AI9" i="8"/>
  <c r="AH9" i="8"/>
  <c r="AG9" i="8"/>
  <c r="AF9" i="8"/>
  <c r="AE9" i="8"/>
  <c r="AD9" i="8"/>
  <c r="AC9" i="8"/>
  <c r="AB9" i="8"/>
  <c r="AA9" i="8"/>
  <c r="Z9" i="8"/>
  <c r="Y9" i="8"/>
  <c r="X9" i="8"/>
  <c r="W9" i="8"/>
  <c r="V9" i="8"/>
  <c r="U9" i="8"/>
  <c r="T9" i="8"/>
  <c r="S9" i="8"/>
  <c r="R9" i="8"/>
  <c r="J9" i="8"/>
  <c r="I9" i="8"/>
  <c r="H9" i="8"/>
  <c r="G9" i="8"/>
  <c r="F9" i="8"/>
  <c r="E9" i="8"/>
  <c r="D9" i="8"/>
  <c r="R8" i="8"/>
  <c r="BN7" i="8"/>
  <c r="BM7" i="8"/>
  <c r="BL7" i="8"/>
  <c r="BK7" i="8"/>
  <c r="BJ7" i="8"/>
  <c r="BI7" i="8"/>
  <c r="BH7" i="8"/>
  <c r="BG7" i="8"/>
  <c r="BF7" i="8"/>
  <c r="BE7" i="8"/>
  <c r="BD7" i="8"/>
  <c r="BC7" i="8"/>
  <c r="BB7" i="8"/>
  <c r="BA7" i="8"/>
  <c r="AZ7" i="8"/>
  <c r="AY7" i="8"/>
  <c r="AX7" i="8"/>
  <c r="AW7" i="8"/>
  <c r="AV7" i="8"/>
  <c r="AU7" i="8"/>
  <c r="AT7" i="8"/>
  <c r="AS7" i="8"/>
  <c r="AR7" i="8"/>
  <c r="AQ7" i="8"/>
  <c r="AP7" i="8"/>
  <c r="AO7" i="8"/>
  <c r="AN7" i="8"/>
  <c r="AM7" i="8"/>
  <c r="AL7" i="8"/>
  <c r="AK7" i="8"/>
  <c r="AJ7" i="8"/>
  <c r="AI7" i="8"/>
  <c r="AH7" i="8"/>
  <c r="AG7" i="8"/>
  <c r="AF7" i="8"/>
  <c r="AE7" i="8"/>
  <c r="AD7" i="8"/>
  <c r="AC7" i="8"/>
  <c r="AB7" i="8"/>
  <c r="AA7" i="8"/>
  <c r="Z7" i="8"/>
  <c r="Y7" i="8"/>
  <c r="X7" i="8"/>
  <c r="W7" i="8"/>
  <c r="V7" i="8"/>
  <c r="U7" i="8"/>
  <c r="T7" i="8"/>
  <c r="S7" i="8"/>
  <c r="O7" i="8"/>
  <c r="N7" i="8"/>
  <c r="M7" i="8"/>
  <c r="L7" i="8"/>
  <c r="K7" i="8"/>
  <c r="J7" i="8"/>
  <c r="I7" i="8"/>
  <c r="H7" i="8"/>
  <c r="G7" i="8"/>
  <c r="F7" i="8"/>
  <c r="E7" i="8"/>
  <c r="D7" i="8"/>
  <c r="BF6" i="8"/>
  <c r="BE6" i="8"/>
  <c r="BD6" i="8"/>
  <c r="BC6" i="8"/>
  <c r="BB6" i="8"/>
  <c r="BA6" i="8"/>
  <c r="AZ6" i="8"/>
  <c r="AY6" i="8"/>
  <c r="AX6" i="8"/>
  <c r="AW6" i="8"/>
  <c r="AV6" i="8"/>
  <c r="AU6" i="8"/>
  <c r="AT6" i="8"/>
  <c r="AS6" i="8"/>
  <c r="AR6" i="8"/>
  <c r="AQ6" i="8"/>
  <c r="AP6" i="8"/>
  <c r="AO6" i="8"/>
  <c r="AN6" i="8"/>
  <c r="AM6" i="8"/>
  <c r="AL6" i="8"/>
  <c r="AK6" i="8"/>
  <c r="AJ6" i="8"/>
  <c r="AI6" i="8"/>
  <c r="AH6" i="8"/>
  <c r="AG6" i="8"/>
  <c r="AF6" i="8"/>
  <c r="AE6" i="8"/>
  <c r="AD6" i="8"/>
  <c r="AC6" i="8"/>
  <c r="AB6" i="8"/>
  <c r="AA6" i="8"/>
  <c r="Z6" i="8"/>
  <c r="Y6" i="8"/>
  <c r="X6" i="8"/>
  <c r="W6" i="8"/>
  <c r="V6" i="8"/>
  <c r="U6" i="8"/>
  <c r="T6" i="8"/>
  <c r="BN5" i="8"/>
  <c r="BM5" i="8"/>
  <c r="BL5" i="8"/>
  <c r="BG5" i="8"/>
  <c r="BB5" i="8"/>
  <c r="AW5" i="8"/>
  <c r="AR5" i="8"/>
  <c r="AM5" i="8"/>
  <c r="AH5" i="8"/>
  <c r="AC5" i="8"/>
  <c r="X5" i="8"/>
  <c r="S5" i="8"/>
  <c r="O5" i="8"/>
  <c r="N5" i="8"/>
  <c r="N5" i="8" a="1"/>
  <c r="H5" i="8"/>
  <c r="C5" i="8"/>
  <c r="BN4" i="8"/>
  <c r="BM4" i="8"/>
  <c r="R4" i="8"/>
  <c r="N4" i="8"/>
  <c r="N4" i="8" a="1"/>
  <c r="C4" i="8"/>
  <c r="BM3" i="8"/>
  <c r="BH3" i="8"/>
  <c r="R3" i="8"/>
  <c r="N3" i="8"/>
  <c r="C3" i="8"/>
  <c r="E196" i="7"/>
  <c r="D196" i="7"/>
  <c r="C196" i="7"/>
  <c r="D195" i="7"/>
  <c r="D194" i="7"/>
  <c r="D193" i="7"/>
  <c r="I192" i="7"/>
  <c r="H192" i="7"/>
  <c r="G192" i="7"/>
  <c r="F192" i="7"/>
  <c r="E192" i="7"/>
  <c r="D192" i="7"/>
  <c r="J166" i="7"/>
  <c r="BD110" i="7"/>
  <c r="BC110" i="7"/>
  <c r="BB110" i="7"/>
  <c r="BA110" i="7"/>
  <c r="AZ110" i="7"/>
  <c r="AY110" i="7"/>
  <c r="AX110" i="7"/>
  <c r="AW110" i="7"/>
  <c r="AV110" i="7"/>
  <c r="AU110" i="7"/>
  <c r="AT110" i="7"/>
  <c r="AS110" i="7"/>
  <c r="AR110" i="7"/>
  <c r="AQ110" i="7"/>
  <c r="AP110" i="7"/>
  <c r="AO110" i="7"/>
  <c r="AN110" i="7"/>
  <c r="AM110" i="7"/>
  <c r="AL110" i="7"/>
  <c r="AK110" i="7"/>
  <c r="AJ110" i="7"/>
  <c r="AI110" i="7"/>
  <c r="AH110" i="7"/>
  <c r="AG110" i="7"/>
  <c r="AF110" i="7"/>
  <c r="AE110" i="7"/>
  <c r="AD110" i="7"/>
  <c r="AC110" i="7"/>
  <c r="AB110" i="7"/>
  <c r="AA110" i="7"/>
  <c r="Z110" i="7"/>
  <c r="Y110" i="7"/>
  <c r="X110" i="7"/>
  <c r="R110" i="7"/>
  <c r="J110" i="7"/>
  <c r="I110" i="7"/>
  <c r="H110" i="7"/>
  <c r="G110" i="7"/>
  <c r="F110" i="7"/>
  <c r="E110" i="7"/>
  <c r="C110" i="7"/>
  <c r="BD109" i="7"/>
  <c r="BC109" i="7"/>
  <c r="BB109" i="7"/>
  <c r="BA109" i="7"/>
  <c r="AZ109" i="7"/>
  <c r="AY109" i="7"/>
  <c r="AX109" i="7"/>
  <c r="AW109" i="7"/>
  <c r="AV109" i="7"/>
  <c r="AU109" i="7"/>
  <c r="AT109" i="7"/>
  <c r="AS109" i="7"/>
  <c r="AR109" i="7"/>
  <c r="AQ109" i="7"/>
  <c r="AP109" i="7"/>
  <c r="AO109" i="7"/>
  <c r="AN109" i="7"/>
  <c r="AM109" i="7"/>
  <c r="AL109" i="7"/>
  <c r="AK109" i="7"/>
  <c r="AJ109" i="7"/>
  <c r="AI109" i="7"/>
  <c r="AH109" i="7"/>
  <c r="AG109" i="7"/>
  <c r="AF109" i="7"/>
  <c r="AE109" i="7"/>
  <c r="AD109" i="7"/>
  <c r="AC109" i="7"/>
  <c r="AB109" i="7"/>
  <c r="AA109" i="7"/>
  <c r="Z109" i="7"/>
  <c r="Y109" i="7"/>
  <c r="X109" i="7"/>
  <c r="R109" i="7"/>
  <c r="J109" i="7"/>
  <c r="I109" i="7"/>
  <c r="H109" i="7"/>
  <c r="G109" i="7"/>
  <c r="F109" i="7"/>
  <c r="E109" i="7"/>
  <c r="C109" i="7"/>
  <c r="BD108" i="7"/>
  <c r="BC108" i="7"/>
  <c r="BB108" i="7"/>
  <c r="BA108" i="7"/>
  <c r="AZ108" i="7"/>
  <c r="AY108" i="7"/>
  <c r="AX108" i="7"/>
  <c r="AW108" i="7"/>
  <c r="AV108" i="7"/>
  <c r="AU108" i="7"/>
  <c r="AT108" i="7"/>
  <c r="AS108" i="7"/>
  <c r="AR108" i="7"/>
  <c r="AQ108" i="7"/>
  <c r="AP108" i="7"/>
  <c r="AO108" i="7"/>
  <c r="AN108" i="7"/>
  <c r="AM108" i="7"/>
  <c r="AL108" i="7"/>
  <c r="AK108" i="7"/>
  <c r="AJ108" i="7"/>
  <c r="AI108" i="7"/>
  <c r="AH108" i="7"/>
  <c r="AG108" i="7"/>
  <c r="AF108" i="7"/>
  <c r="AE108" i="7"/>
  <c r="AD108" i="7"/>
  <c r="AC108" i="7"/>
  <c r="AB108" i="7"/>
  <c r="AA108" i="7"/>
  <c r="Z108" i="7"/>
  <c r="Y108" i="7"/>
  <c r="X108" i="7"/>
  <c r="R108" i="7"/>
  <c r="J108" i="7"/>
  <c r="I108" i="7"/>
  <c r="H108" i="7"/>
  <c r="G108" i="7"/>
  <c r="F108" i="7"/>
  <c r="E108" i="7"/>
  <c r="C108" i="7"/>
  <c r="BD107" i="7"/>
  <c r="BC107" i="7"/>
  <c r="BB107" i="7"/>
  <c r="BA107" i="7"/>
  <c r="AZ107" i="7"/>
  <c r="AY107" i="7"/>
  <c r="AX107" i="7"/>
  <c r="AW107" i="7"/>
  <c r="AV107" i="7"/>
  <c r="AU107" i="7"/>
  <c r="AT107" i="7"/>
  <c r="AS107" i="7"/>
  <c r="AR107" i="7"/>
  <c r="AQ107" i="7"/>
  <c r="AP107" i="7"/>
  <c r="AO107" i="7"/>
  <c r="AN107" i="7"/>
  <c r="AM107" i="7"/>
  <c r="AL107" i="7"/>
  <c r="AK107" i="7"/>
  <c r="AJ107" i="7"/>
  <c r="AI107" i="7"/>
  <c r="AH107" i="7"/>
  <c r="AG107" i="7"/>
  <c r="AF107" i="7"/>
  <c r="AE107" i="7"/>
  <c r="AD107" i="7"/>
  <c r="AC107" i="7"/>
  <c r="AB107" i="7"/>
  <c r="AA107" i="7"/>
  <c r="Z107" i="7"/>
  <c r="Y107" i="7"/>
  <c r="X107" i="7"/>
  <c r="R107" i="7"/>
  <c r="J107" i="7"/>
  <c r="I107" i="7"/>
  <c r="H107" i="7"/>
  <c r="G107" i="7"/>
  <c r="F107" i="7"/>
  <c r="E107" i="7"/>
  <c r="C107" i="7"/>
  <c r="BD106" i="7"/>
  <c r="BC106" i="7"/>
  <c r="BB106" i="7"/>
  <c r="BA106" i="7"/>
  <c r="AZ106" i="7"/>
  <c r="AY106" i="7"/>
  <c r="AX106" i="7"/>
  <c r="AW106" i="7"/>
  <c r="AV106" i="7"/>
  <c r="AU106" i="7"/>
  <c r="AT106" i="7"/>
  <c r="AS106" i="7"/>
  <c r="AR106" i="7"/>
  <c r="AQ106" i="7"/>
  <c r="AP106" i="7"/>
  <c r="AO106" i="7"/>
  <c r="AN106" i="7"/>
  <c r="AM106" i="7"/>
  <c r="AL106" i="7"/>
  <c r="AK106" i="7"/>
  <c r="AJ106" i="7"/>
  <c r="AI106" i="7"/>
  <c r="AH106" i="7"/>
  <c r="AG106" i="7"/>
  <c r="AF106" i="7"/>
  <c r="AE106" i="7"/>
  <c r="AD106" i="7"/>
  <c r="AC106" i="7"/>
  <c r="AB106" i="7"/>
  <c r="AA106" i="7"/>
  <c r="Z106" i="7"/>
  <c r="Y106" i="7"/>
  <c r="X106" i="7"/>
  <c r="R106" i="7"/>
  <c r="J106" i="7"/>
  <c r="I106" i="7"/>
  <c r="H106" i="7"/>
  <c r="G106" i="7"/>
  <c r="F106" i="7"/>
  <c r="E106" i="7"/>
  <c r="C106" i="7"/>
  <c r="R105" i="7"/>
  <c r="BD103" i="7"/>
  <c r="BC103" i="7"/>
  <c r="BB103" i="7"/>
  <c r="BA103" i="7"/>
  <c r="AZ103" i="7"/>
  <c r="AY103" i="7"/>
  <c r="AX103" i="7"/>
  <c r="AW103" i="7"/>
  <c r="AV103" i="7"/>
  <c r="AU103" i="7"/>
  <c r="AT103" i="7"/>
  <c r="AS103" i="7"/>
  <c r="AR103" i="7"/>
  <c r="AQ103" i="7"/>
  <c r="AP103" i="7"/>
  <c r="AO103" i="7"/>
  <c r="AN103" i="7"/>
  <c r="AM103" i="7"/>
  <c r="AL103" i="7"/>
  <c r="AK103" i="7"/>
  <c r="AJ103" i="7"/>
  <c r="AI103" i="7"/>
  <c r="AH103" i="7"/>
  <c r="AG103" i="7"/>
  <c r="AF103" i="7"/>
  <c r="AE103" i="7"/>
  <c r="AD103" i="7"/>
  <c r="AC103" i="7"/>
  <c r="AB103" i="7"/>
  <c r="AA103" i="7"/>
  <c r="Z103" i="7"/>
  <c r="Y103" i="7"/>
  <c r="X103" i="7"/>
  <c r="R103" i="7"/>
  <c r="J103" i="7"/>
  <c r="I103" i="7"/>
  <c r="H103" i="7"/>
  <c r="G103" i="7"/>
  <c r="F103" i="7"/>
  <c r="E103" i="7"/>
  <c r="C103" i="7"/>
  <c r="BD102" i="7"/>
  <c r="BC102" i="7"/>
  <c r="BB102" i="7"/>
  <c r="BA102" i="7"/>
  <c r="AZ102" i="7"/>
  <c r="AY102" i="7"/>
  <c r="AX102" i="7"/>
  <c r="AW102" i="7"/>
  <c r="AV102" i="7"/>
  <c r="AU102" i="7"/>
  <c r="AT102" i="7"/>
  <c r="AS102" i="7"/>
  <c r="AR102" i="7"/>
  <c r="AQ102" i="7"/>
  <c r="AP102" i="7"/>
  <c r="AO102" i="7"/>
  <c r="AN102" i="7"/>
  <c r="AM102" i="7"/>
  <c r="AL102" i="7"/>
  <c r="AK102" i="7"/>
  <c r="AJ102" i="7"/>
  <c r="AI102" i="7"/>
  <c r="AH102" i="7"/>
  <c r="AG102" i="7"/>
  <c r="AF102" i="7"/>
  <c r="AE102" i="7"/>
  <c r="AD102" i="7"/>
  <c r="AC102" i="7"/>
  <c r="AB102" i="7"/>
  <c r="AA102" i="7"/>
  <c r="Z102" i="7"/>
  <c r="Y102" i="7"/>
  <c r="X102" i="7"/>
  <c r="R102" i="7"/>
  <c r="J102" i="7"/>
  <c r="I102" i="7"/>
  <c r="H102" i="7"/>
  <c r="G102" i="7"/>
  <c r="F102" i="7"/>
  <c r="E102" i="7"/>
  <c r="C102" i="7"/>
  <c r="BD101" i="7"/>
  <c r="BC101" i="7"/>
  <c r="BB101" i="7"/>
  <c r="BA101" i="7"/>
  <c r="AZ101" i="7"/>
  <c r="AY101" i="7"/>
  <c r="AX101" i="7"/>
  <c r="AW101" i="7"/>
  <c r="AV101" i="7"/>
  <c r="AU101" i="7"/>
  <c r="AT101" i="7"/>
  <c r="AS101" i="7"/>
  <c r="AR101" i="7"/>
  <c r="AQ101" i="7"/>
  <c r="AP101" i="7"/>
  <c r="AO101" i="7"/>
  <c r="AN101" i="7"/>
  <c r="AM101" i="7"/>
  <c r="AL101" i="7"/>
  <c r="AK101" i="7"/>
  <c r="AJ101" i="7"/>
  <c r="AI101" i="7"/>
  <c r="AH101" i="7"/>
  <c r="AG101" i="7"/>
  <c r="AF101" i="7"/>
  <c r="AE101" i="7"/>
  <c r="AD101" i="7"/>
  <c r="AC101" i="7"/>
  <c r="AB101" i="7"/>
  <c r="AA101" i="7"/>
  <c r="Z101" i="7"/>
  <c r="Y101" i="7"/>
  <c r="X101" i="7"/>
  <c r="R101" i="7"/>
  <c r="J101" i="7"/>
  <c r="I101" i="7"/>
  <c r="H101" i="7"/>
  <c r="G101" i="7"/>
  <c r="F101" i="7"/>
  <c r="E101" i="7"/>
  <c r="C101" i="7"/>
  <c r="BD100" i="7"/>
  <c r="BC100" i="7"/>
  <c r="BB100" i="7"/>
  <c r="BA100" i="7"/>
  <c r="AZ100" i="7"/>
  <c r="AY100" i="7"/>
  <c r="AX100" i="7"/>
  <c r="AW100" i="7"/>
  <c r="AV100" i="7"/>
  <c r="AU100" i="7"/>
  <c r="AT100" i="7"/>
  <c r="AS100" i="7"/>
  <c r="AR100" i="7"/>
  <c r="AQ100" i="7"/>
  <c r="AP100" i="7"/>
  <c r="AO100" i="7"/>
  <c r="AN100" i="7"/>
  <c r="AM100" i="7"/>
  <c r="AL100" i="7"/>
  <c r="AK100" i="7"/>
  <c r="AJ100" i="7"/>
  <c r="AI100" i="7"/>
  <c r="AH100" i="7"/>
  <c r="AG100" i="7"/>
  <c r="AF100" i="7"/>
  <c r="AE100" i="7"/>
  <c r="AD100" i="7"/>
  <c r="AC100" i="7"/>
  <c r="AB100" i="7"/>
  <c r="AA100" i="7"/>
  <c r="Z100" i="7"/>
  <c r="Y100" i="7"/>
  <c r="X100" i="7"/>
  <c r="R100" i="7"/>
  <c r="J100" i="7"/>
  <c r="I100" i="7"/>
  <c r="H100" i="7"/>
  <c r="G100" i="7"/>
  <c r="F100" i="7"/>
  <c r="E100" i="7"/>
  <c r="C100" i="7"/>
  <c r="BD99" i="7"/>
  <c r="BC99" i="7"/>
  <c r="BB99" i="7"/>
  <c r="BA99" i="7"/>
  <c r="AZ99" i="7"/>
  <c r="AY99" i="7"/>
  <c r="AX99" i="7"/>
  <c r="AW99" i="7"/>
  <c r="AV99" i="7"/>
  <c r="AU99" i="7"/>
  <c r="AT99" i="7"/>
  <c r="AS99" i="7"/>
  <c r="AR99" i="7"/>
  <c r="AQ99" i="7"/>
  <c r="AP99" i="7"/>
  <c r="AO99" i="7"/>
  <c r="AN99" i="7"/>
  <c r="AM99" i="7"/>
  <c r="AL99" i="7"/>
  <c r="AK99" i="7"/>
  <c r="AJ99" i="7"/>
  <c r="AI99" i="7"/>
  <c r="AH99" i="7"/>
  <c r="AG99" i="7"/>
  <c r="AF99" i="7"/>
  <c r="AE99" i="7"/>
  <c r="AD99" i="7"/>
  <c r="AC99" i="7"/>
  <c r="AB99" i="7"/>
  <c r="AA99" i="7"/>
  <c r="Z99" i="7"/>
  <c r="Y99" i="7"/>
  <c r="X99" i="7"/>
  <c r="R99" i="7"/>
  <c r="J99" i="7"/>
  <c r="I99" i="7"/>
  <c r="H99" i="7"/>
  <c r="G99" i="7"/>
  <c r="F99" i="7"/>
  <c r="E99" i="7"/>
  <c r="C99" i="7"/>
  <c r="BD98" i="7"/>
  <c r="BC98" i="7"/>
  <c r="BB98" i="7"/>
  <c r="BA98" i="7"/>
  <c r="AZ98" i="7"/>
  <c r="AY98" i="7"/>
  <c r="AX98" i="7"/>
  <c r="AW98" i="7"/>
  <c r="AV98" i="7"/>
  <c r="AU98" i="7"/>
  <c r="AT98" i="7"/>
  <c r="AS98" i="7"/>
  <c r="AR98" i="7"/>
  <c r="AQ98" i="7"/>
  <c r="AP98" i="7"/>
  <c r="AO98" i="7"/>
  <c r="AN98" i="7"/>
  <c r="AM98" i="7"/>
  <c r="AL98" i="7"/>
  <c r="AK98" i="7"/>
  <c r="AJ98" i="7"/>
  <c r="AI98" i="7"/>
  <c r="AH98" i="7"/>
  <c r="AG98" i="7"/>
  <c r="AF98" i="7"/>
  <c r="AE98" i="7"/>
  <c r="AD98" i="7"/>
  <c r="AC98" i="7"/>
  <c r="AB98" i="7"/>
  <c r="AA98" i="7"/>
  <c r="Z98" i="7"/>
  <c r="Y98" i="7"/>
  <c r="X98" i="7"/>
  <c r="R98" i="7"/>
  <c r="J98" i="7"/>
  <c r="I98" i="7"/>
  <c r="H98" i="7"/>
  <c r="G98" i="7"/>
  <c r="F98" i="7"/>
  <c r="E98" i="7"/>
  <c r="C98" i="7"/>
  <c r="BD97" i="7"/>
  <c r="BC97" i="7"/>
  <c r="BB97" i="7"/>
  <c r="BA97" i="7"/>
  <c r="AZ97" i="7"/>
  <c r="AY97" i="7"/>
  <c r="AX97" i="7"/>
  <c r="AW97" i="7"/>
  <c r="AV97" i="7"/>
  <c r="AU97" i="7"/>
  <c r="AT97" i="7"/>
  <c r="AS97" i="7"/>
  <c r="AR97" i="7"/>
  <c r="AQ97" i="7"/>
  <c r="AP97" i="7"/>
  <c r="AO97" i="7"/>
  <c r="AN97" i="7"/>
  <c r="AM97" i="7"/>
  <c r="AL97" i="7"/>
  <c r="AK97" i="7"/>
  <c r="AJ97" i="7"/>
  <c r="AI97" i="7"/>
  <c r="AH97" i="7"/>
  <c r="AG97" i="7"/>
  <c r="AF97" i="7"/>
  <c r="AE97" i="7"/>
  <c r="AD97" i="7"/>
  <c r="AC97" i="7"/>
  <c r="AB97" i="7"/>
  <c r="AA97" i="7"/>
  <c r="Z97" i="7"/>
  <c r="Y97" i="7"/>
  <c r="X97" i="7"/>
  <c r="R97" i="7"/>
  <c r="J97" i="7"/>
  <c r="I97" i="7"/>
  <c r="H97" i="7"/>
  <c r="G97" i="7"/>
  <c r="F97" i="7"/>
  <c r="E97" i="7"/>
  <c r="C97" i="7"/>
  <c r="R96" i="7"/>
  <c r="BZ95" i="7"/>
  <c r="BY95" i="7"/>
  <c r="BX95" i="7"/>
  <c r="BW95" i="7"/>
  <c r="BV95" i="7"/>
  <c r="BU95" i="7"/>
  <c r="BT95" i="7"/>
  <c r="BS95" i="7"/>
  <c r="BR95" i="7"/>
  <c r="BQ95" i="7"/>
  <c r="BP95" i="7"/>
  <c r="BO95" i="7"/>
  <c r="BN95" i="7"/>
  <c r="BM95" i="7"/>
  <c r="BL95" i="7"/>
  <c r="BK95" i="7"/>
  <c r="BJ95" i="7"/>
  <c r="BI95" i="7"/>
  <c r="BH95" i="7"/>
  <c r="BG95" i="7"/>
  <c r="BF95" i="7"/>
  <c r="BE95" i="7"/>
  <c r="BD95" i="7"/>
  <c r="BC95" i="7"/>
  <c r="BB95" i="7"/>
  <c r="BA95" i="7"/>
  <c r="AZ95" i="7"/>
  <c r="AY95" i="7"/>
  <c r="AX95" i="7"/>
  <c r="AW95" i="7"/>
  <c r="AV95" i="7"/>
  <c r="AU95" i="7"/>
  <c r="AT95" i="7"/>
  <c r="AS95" i="7"/>
  <c r="AR95" i="7"/>
  <c r="AQ95" i="7"/>
  <c r="AP95" i="7"/>
  <c r="AO95" i="7"/>
  <c r="AN95" i="7"/>
  <c r="AM95" i="7"/>
  <c r="AL95" i="7"/>
  <c r="AK95" i="7"/>
  <c r="AJ95" i="7"/>
  <c r="AI95" i="7"/>
  <c r="AH95" i="7"/>
  <c r="AG95" i="7"/>
  <c r="AF95" i="7"/>
  <c r="AE95" i="7"/>
  <c r="AD95" i="7"/>
  <c r="AC95" i="7"/>
  <c r="AB95" i="7"/>
  <c r="AA95" i="7"/>
  <c r="Z95" i="7"/>
  <c r="Y95" i="7"/>
  <c r="X95" i="7"/>
  <c r="W95" i="7"/>
  <c r="V95" i="7"/>
  <c r="U95" i="7"/>
  <c r="T95" i="7"/>
  <c r="S95" i="7"/>
  <c r="BV94" i="7"/>
  <c r="BQ94" i="7"/>
  <c r="BL94" i="7"/>
  <c r="BG94" i="7"/>
  <c r="BB94" i="7"/>
  <c r="AW94" i="7"/>
  <c r="AR94" i="7"/>
  <c r="AM94" i="7"/>
  <c r="AH94" i="7"/>
  <c r="AC94" i="7"/>
  <c r="X94" i="7"/>
  <c r="S94" i="7"/>
  <c r="O94" i="7"/>
  <c r="N94" i="7"/>
  <c r="M94" i="7"/>
  <c r="L94" i="7"/>
  <c r="K94" i="7"/>
  <c r="J94" i="7"/>
  <c r="I94" i="7"/>
  <c r="H94" i="7"/>
  <c r="G94" i="7"/>
  <c r="F94" i="7"/>
  <c r="E94" i="7"/>
  <c r="D94" i="7"/>
  <c r="BY93" i="7"/>
  <c r="BX93" i="7"/>
  <c r="R93" i="7"/>
  <c r="O93" i="7"/>
  <c r="N93" i="7"/>
  <c r="C93" i="7"/>
  <c r="BX92" i="7"/>
  <c r="R92" i="7"/>
  <c r="N92" i="7"/>
  <c r="C92" i="7"/>
  <c r="BX91" i="7"/>
  <c r="R91" i="7"/>
  <c r="N91" i="7"/>
  <c r="C91" i="7"/>
  <c r="BD75" i="7"/>
  <c r="BC75" i="7"/>
  <c r="BB75" i="7"/>
  <c r="BA75" i="7"/>
  <c r="AZ75" i="7"/>
  <c r="AY75" i="7"/>
  <c r="AX75" i="7"/>
  <c r="AW75" i="7"/>
  <c r="AV75" i="7"/>
  <c r="AU75" i="7"/>
  <c r="AT75" i="7"/>
  <c r="AS75" i="7"/>
  <c r="AR75" i="7"/>
  <c r="AQ75" i="7"/>
  <c r="AP75" i="7"/>
  <c r="AO75" i="7"/>
  <c r="AN75" i="7"/>
  <c r="AM75" i="7"/>
  <c r="AL75" i="7"/>
  <c r="AK75" i="7"/>
  <c r="AJ75" i="7"/>
  <c r="AI75" i="7"/>
  <c r="AH75" i="7"/>
  <c r="AG75" i="7"/>
  <c r="AF75" i="7"/>
  <c r="AE75" i="7"/>
  <c r="AD75" i="7"/>
  <c r="AC75" i="7"/>
  <c r="AB75" i="7"/>
  <c r="AA75" i="7"/>
  <c r="Z75" i="7"/>
  <c r="Y75" i="7"/>
  <c r="X75" i="7"/>
  <c r="V75" i="7"/>
  <c r="U75" i="7"/>
  <c r="T75" i="7"/>
  <c r="R75" i="7"/>
  <c r="J75" i="7"/>
  <c r="I75" i="7"/>
  <c r="H75" i="7"/>
  <c r="G75" i="7"/>
  <c r="F75" i="7"/>
  <c r="E75" i="7"/>
  <c r="C75" i="7"/>
  <c r="BD74" i="7"/>
  <c r="BC74" i="7"/>
  <c r="BB74" i="7"/>
  <c r="BA74" i="7"/>
  <c r="AZ74" i="7"/>
  <c r="AY74" i="7"/>
  <c r="AX74" i="7"/>
  <c r="AW74" i="7"/>
  <c r="AV74" i="7"/>
  <c r="AU74" i="7"/>
  <c r="AT74" i="7"/>
  <c r="AS74" i="7"/>
  <c r="AR74" i="7"/>
  <c r="AQ74" i="7"/>
  <c r="AP74" i="7"/>
  <c r="AO74" i="7"/>
  <c r="AN74" i="7"/>
  <c r="AM74" i="7"/>
  <c r="AL74" i="7"/>
  <c r="AK74" i="7"/>
  <c r="AJ74" i="7"/>
  <c r="AI74" i="7"/>
  <c r="AH74" i="7"/>
  <c r="AG74" i="7"/>
  <c r="AF74" i="7"/>
  <c r="AE74" i="7"/>
  <c r="AD74" i="7"/>
  <c r="AC74" i="7"/>
  <c r="AB74" i="7"/>
  <c r="AA74" i="7"/>
  <c r="Z74" i="7"/>
  <c r="Y74" i="7"/>
  <c r="X74" i="7"/>
  <c r="V74" i="7"/>
  <c r="U74" i="7"/>
  <c r="T74" i="7"/>
  <c r="R74" i="7"/>
  <c r="J74" i="7"/>
  <c r="I74" i="7"/>
  <c r="H74" i="7"/>
  <c r="G74" i="7"/>
  <c r="F74" i="7"/>
  <c r="E74" i="7"/>
  <c r="C74" i="7"/>
  <c r="BD73" i="7"/>
  <c r="BC73" i="7"/>
  <c r="BB73" i="7"/>
  <c r="BA73" i="7"/>
  <c r="AZ73" i="7"/>
  <c r="AY73" i="7"/>
  <c r="AX73" i="7"/>
  <c r="AW73" i="7"/>
  <c r="AV73" i="7"/>
  <c r="AU73" i="7"/>
  <c r="AT73" i="7"/>
  <c r="AS73" i="7"/>
  <c r="AR73" i="7"/>
  <c r="AQ73" i="7"/>
  <c r="AP73" i="7"/>
  <c r="AO73" i="7"/>
  <c r="AN73" i="7"/>
  <c r="AM73" i="7"/>
  <c r="AL73" i="7"/>
  <c r="AK73" i="7"/>
  <c r="AJ73" i="7"/>
  <c r="AI73" i="7"/>
  <c r="AH73" i="7"/>
  <c r="AG73" i="7"/>
  <c r="AF73" i="7"/>
  <c r="AE73" i="7"/>
  <c r="AD73" i="7"/>
  <c r="AC73" i="7"/>
  <c r="AB73" i="7"/>
  <c r="AA73" i="7"/>
  <c r="Z73" i="7"/>
  <c r="Y73" i="7"/>
  <c r="X73" i="7"/>
  <c r="V73" i="7"/>
  <c r="U73" i="7"/>
  <c r="T73" i="7"/>
  <c r="R73" i="7"/>
  <c r="J73" i="7"/>
  <c r="I73" i="7"/>
  <c r="H73" i="7"/>
  <c r="G73" i="7"/>
  <c r="F73" i="7"/>
  <c r="E73" i="7"/>
  <c r="C73" i="7"/>
  <c r="BD72" i="7"/>
  <c r="BC72" i="7"/>
  <c r="BB72" i="7"/>
  <c r="BA72" i="7"/>
  <c r="AZ72" i="7"/>
  <c r="AY72" i="7"/>
  <c r="AX72" i="7"/>
  <c r="AW72" i="7"/>
  <c r="AV72" i="7"/>
  <c r="AU72" i="7"/>
  <c r="AT72" i="7"/>
  <c r="AS72" i="7"/>
  <c r="AR72" i="7"/>
  <c r="AQ72" i="7"/>
  <c r="AP72" i="7"/>
  <c r="AO72" i="7"/>
  <c r="AN72" i="7"/>
  <c r="AM72" i="7"/>
  <c r="AL72" i="7"/>
  <c r="AK72" i="7"/>
  <c r="AJ72" i="7"/>
  <c r="AI72" i="7"/>
  <c r="AH72" i="7"/>
  <c r="AG72" i="7"/>
  <c r="AF72" i="7"/>
  <c r="AE72" i="7"/>
  <c r="AD72" i="7"/>
  <c r="AC72" i="7"/>
  <c r="AB72" i="7"/>
  <c r="AA72" i="7"/>
  <c r="Z72" i="7"/>
  <c r="Y72" i="7"/>
  <c r="X72" i="7"/>
  <c r="V72" i="7"/>
  <c r="U72" i="7"/>
  <c r="T72" i="7"/>
  <c r="R72" i="7"/>
  <c r="J72" i="7"/>
  <c r="I72" i="7"/>
  <c r="H72" i="7"/>
  <c r="G72" i="7"/>
  <c r="F72" i="7"/>
  <c r="E72" i="7"/>
  <c r="C72" i="7"/>
  <c r="BD71" i="7"/>
  <c r="BC71" i="7"/>
  <c r="BB71" i="7"/>
  <c r="BA71" i="7"/>
  <c r="AZ71" i="7"/>
  <c r="AY71" i="7"/>
  <c r="AX71" i="7"/>
  <c r="AW71" i="7"/>
  <c r="AV71" i="7"/>
  <c r="AU71" i="7"/>
  <c r="AT71" i="7"/>
  <c r="AS71" i="7"/>
  <c r="AR71" i="7"/>
  <c r="AQ71" i="7"/>
  <c r="AP71" i="7"/>
  <c r="AO71" i="7"/>
  <c r="AN71" i="7"/>
  <c r="AM71" i="7"/>
  <c r="AL71" i="7"/>
  <c r="AK71" i="7"/>
  <c r="AJ71" i="7"/>
  <c r="AI71" i="7"/>
  <c r="AH71" i="7"/>
  <c r="AG71" i="7"/>
  <c r="AF71" i="7"/>
  <c r="AE71" i="7"/>
  <c r="AD71" i="7"/>
  <c r="AC71" i="7"/>
  <c r="AB71" i="7"/>
  <c r="AA71" i="7"/>
  <c r="Z71" i="7"/>
  <c r="Y71" i="7"/>
  <c r="X71" i="7"/>
  <c r="V71" i="7"/>
  <c r="U71" i="7"/>
  <c r="T71" i="7"/>
  <c r="R71" i="7"/>
  <c r="J71" i="7"/>
  <c r="I71" i="7"/>
  <c r="H71" i="7"/>
  <c r="G71" i="7"/>
  <c r="F71" i="7"/>
  <c r="E71" i="7"/>
  <c r="C71" i="7"/>
  <c r="BD70" i="7"/>
  <c r="BC70" i="7"/>
  <c r="BB70" i="7"/>
  <c r="BA70" i="7"/>
  <c r="AZ70" i="7"/>
  <c r="AY70" i="7"/>
  <c r="AX70" i="7"/>
  <c r="AW70" i="7"/>
  <c r="AV70" i="7"/>
  <c r="AU70" i="7"/>
  <c r="AT70" i="7"/>
  <c r="AS70" i="7"/>
  <c r="AR70" i="7"/>
  <c r="AQ70" i="7"/>
  <c r="AP70" i="7"/>
  <c r="AO70" i="7"/>
  <c r="AN70" i="7"/>
  <c r="AM70" i="7"/>
  <c r="AL70" i="7"/>
  <c r="AK70" i="7"/>
  <c r="AJ70" i="7"/>
  <c r="AI70" i="7"/>
  <c r="AH70" i="7"/>
  <c r="AG70" i="7"/>
  <c r="AF70" i="7"/>
  <c r="AE70" i="7"/>
  <c r="AD70" i="7"/>
  <c r="AC70" i="7"/>
  <c r="AB70" i="7"/>
  <c r="AA70" i="7"/>
  <c r="Z70" i="7"/>
  <c r="Y70" i="7"/>
  <c r="X70" i="7"/>
  <c r="V70" i="7"/>
  <c r="U70" i="7"/>
  <c r="T70" i="7"/>
  <c r="R70" i="7"/>
  <c r="J70" i="7"/>
  <c r="I70" i="7"/>
  <c r="H70" i="7"/>
  <c r="G70" i="7"/>
  <c r="F70" i="7"/>
  <c r="E70" i="7"/>
  <c r="C70" i="7"/>
  <c r="BD69" i="7"/>
  <c r="BC69" i="7"/>
  <c r="BB69" i="7"/>
  <c r="BA69" i="7"/>
  <c r="AZ69" i="7"/>
  <c r="AY69" i="7"/>
  <c r="AX69" i="7"/>
  <c r="AW69" i="7"/>
  <c r="AV69" i="7"/>
  <c r="AU69" i="7"/>
  <c r="AT69" i="7"/>
  <c r="AS69" i="7"/>
  <c r="AR69" i="7"/>
  <c r="AQ69" i="7"/>
  <c r="AP69" i="7"/>
  <c r="AO69" i="7"/>
  <c r="AN69" i="7"/>
  <c r="AM69" i="7"/>
  <c r="AL69" i="7"/>
  <c r="AK69" i="7"/>
  <c r="AJ69" i="7"/>
  <c r="AI69" i="7"/>
  <c r="AH69" i="7"/>
  <c r="AG69" i="7"/>
  <c r="AF69" i="7"/>
  <c r="AE69" i="7"/>
  <c r="AD69" i="7"/>
  <c r="AC69" i="7"/>
  <c r="AB69" i="7"/>
  <c r="AA69" i="7"/>
  <c r="Z69" i="7"/>
  <c r="Y69" i="7"/>
  <c r="X69" i="7"/>
  <c r="V69" i="7"/>
  <c r="U69" i="7"/>
  <c r="T69" i="7"/>
  <c r="R69" i="7"/>
  <c r="J69" i="7"/>
  <c r="I69" i="7"/>
  <c r="H69" i="7"/>
  <c r="G69" i="7"/>
  <c r="F69" i="7"/>
  <c r="E69" i="7"/>
  <c r="C69" i="7"/>
  <c r="BD68" i="7"/>
  <c r="BC68" i="7"/>
  <c r="BB68" i="7"/>
  <c r="BA68" i="7"/>
  <c r="AZ68" i="7"/>
  <c r="AY68" i="7"/>
  <c r="AX68" i="7"/>
  <c r="AW68" i="7"/>
  <c r="AV68" i="7"/>
  <c r="AU68" i="7"/>
  <c r="AT68" i="7"/>
  <c r="AS68" i="7"/>
  <c r="AR68" i="7"/>
  <c r="AQ68" i="7"/>
  <c r="AP68" i="7"/>
  <c r="AO68" i="7"/>
  <c r="AN68" i="7"/>
  <c r="AM68" i="7"/>
  <c r="AL68" i="7"/>
  <c r="AK68" i="7"/>
  <c r="AJ68" i="7"/>
  <c r="AI68" i="7"/>
  <c r="AH68" i="7"/>
  <c r="AG68" i="7"/>
  <c r="AF68" i="7"/>
  <c r="AE68" i="7"/>
  <c r="AD68" i="7"/>
  <c r="AC68" i="7"/>
  <c r="AB68" i="7"/>
  <c r="AA68" i="7"/>
  <c r="Z68" i="7"/>
  <c r="Y68" i="7"/>
  <c r="X68" i="7"/>
  <c r="V68" i="7"/>
  <c r="U68" i="7"/>
  <c r="T68" i="7"/>
  <c r="R68" i="7"/>
  <c r="J68" i="7"/>
  <c r="I68" i="7"/>
  <c r="H68" i="7"/>
  <c r="G68" i="7"/>
  <c r="F68" i="7"/>
  <c r="E68" i="7"/>
  <c r="C68" i="7"/>
  <c r="BD67" i="7"/>
  <c r="BC67" i="7"/>
  <c r="BB67" i="7"/>
  <c r="BA67" i="7"/>
  <c r="AZ67" i="7"/>
  <c r="AY67" i="7"/>
  <c r="AX67" i="7"/>
  <c r="AW67" i="7"/>
  <c r="AV67" i="7"/>
  <c r="AU67" i="7"/>
  <c r="AT67" i="7"/>
  <c r="AS67" i="7"/>
  <c r="AR67" i="7"/>
  <c r="AQ67" i="7"/>
  <c r="AP67" i="7"/>
  <c r="AO67" i="7"/>
  <c r="AN67" i="7"/>
  <c r="AM67" i="7"/>
  <c r="AL67" i="7"/>
  <c r="AK67" i="7"/>
  <c r="AJ67" i="7"/>
  <c r="AI67" i="7"/>
  <c r="AH67" i="7"/>
  <c r="AG67" i="7"/>
  <c r="AF67" i="7"/>
  <c r="AE67" i="7"/>
  <c r="AD67" i="7"/>
  <c r="AC67" i="7"/>
  <c r="AB67" i="7"/>
  <c r="AA67" i="7"/>
  <c r="Z67" i="7"/>
  <c r="Y67" i="7"/>
  <c r="X67" i="7"/>
  <c r="V67" i="7"/>
  <c r="U67" i="7"/>
  <c r="T67" i="7"/>
  <c r="R67" i="7"/>
  <c r="J67" i="7"/>
  <c r="I67" i="7"/>
  <c r="H67" i="7"/>
  <c r="G67" i="7"/>
  <c r="F67" i="7"/>
  <c r="E67" i="7"/>
  <c r="C67" i="7"/>
  <c r="BD66" i="7"/>
  <c r="BC66" i="7"/>
  <c r="BB66" i="7"/>
  <c r="BA66" i="7"/>
  <c r="AZ66" i="7"/>
  <c r="AY66" i="7"/>
  <c r="AX66" i="7"/>
  <c r="AW66" i="7"/>
  <c r="AV66" i="7"/>
  <c r="AU66" i="7"/>
  <c r="AT66" i="7"/>
  <c r="AS66" i="7"/>
  <c r="AR66" i="7"/>
  <c r="AQ66" i="7"/>
  <c r="AP66" i="7"/>
  <c r="AO66" i="7"/>
  <c r="AN66" i="7"/>
  <c r="AM66" i="7"/>
  <c r="AL66" i="7"/>
  <c r="AK66" i="7"/>
  <c r="AJ66" i="7"/>
  <c r="AI66" i="7"/>
  <c r="AH66" i="7"/>
  <c r="AG66" i="7"/>
  <c r="AF66" i="7"/>
  <c r="AE66" i="7"/>
  <c r="AD66" i="7"/>
  <c r="AC66" i="7"/>
  <c r="AB66" i="7"/>
  <c r="AA66" i="7"/>
  <c r="Z66" i="7"/>
  <c r="Y66" i="7"/>
  <c r="X66" i="7"/>
  <c r="V66" i="7"/>
  <c r="U66" i="7"/>
  <c r="T66" i="7"/>
  <c r="R66" i="7"/>
  <c r="J66" i="7"/>
  <c r="I66" i="7"/>
  <c r="H66" i="7"/>
  <c r="G66" i="7"/>
  <c r="F66" i="7"/>
  <c r="E66" i="7"/>
  <c r="C66" i="7"/>
  <c r="BD65" i="7"/>
  <c r="BC65" i="7"/>
  <c r="BB65" i="7"/>
  <c r="BA65" i="7"/>
  <c r="AZ65" i="7"/>
  <c r="AY65" i="7"/>
  <c r="AX65" i="7"/>
  <c r="AW65" i="7"/>
  <c r="AV65" i="7"/>
  <c r="AU65" i="7"/>
  <c r="AT65" i="7"/>
  <c r="AS65" i="7"/>
  <c r="AR65" i="7"/>
  <c r="AQ65" i="7"/>
  <c r="AP65" i="7"/>
  <c r="AO65" i="7"/>
  <c r="AN65" i="7"/>
  <c r="AM65" i="7"/>
  <c r="AL65" i="7"/>
  <c r="AK65" i="7"/>
  <c r="AJ65" i="7"/>
  <c r="AI65" i="7"/>
  <c r="AH65" i="7"/>
  <c r="AG65" i="7"/>
  <c r="AF65" i="7"/>
  <c r="AE65" i="7"/>
  <c r="AD65" i="7"/>
  <c r="AC65" i="7"/>
  <c r="AB65" i="7"/>
  <c r="AA65" i="7"/>
  <c r="Z65" i="7"/>
  <c r="Y65" i="7"/>
  <c r="X65" i="7"/>
  <c r="V65" i="7"/>
  <c r="U65" i="7"/>
  <c r="T65" i="7"/>
  <c r="R65" i="7"/>
  <c r="J65" i="7"/>
  <c r="I65" i="7"/>
  <c r="H65" i="7"/>
  <c r="G65" i="7"/>
  <c r="F65" i="7"/>
  <c r="E65" i="7"/>
  <c r="C65" i="7"/>
  <c r="BD64" i="7"/>
  <c r="BC64" i="7"/>
  <c r="BB64" i="7"/>
  <c r="BA64" i="7"/>
  <c r="AZ64" i="7"/>
  <c r="AY64" i="7"/>
  <c r="AX64" i="7"/>
  <c r="AW64" i="7"/>
  <c r="AV64" i="7"/>
  <c r="AU64" i="7"/>
  <c r="AT64" i="7"/>
  <c r="AS64" i="7"/>
  <c r="AR64" i="7"/>
  <c r="AQ64" i="7"/>
  <c r="AP64" i="7"/>
  <c r="AO64" i="7"/>
  <c r="AN64" i="7"/>
  <c r="AM64" i="7"/>
  <c r="AL64" i="7"/>
  <c r="AK64" i="7"/>
  <c r="AJ64" i="7"/>
  <c r="AI64" i="7"/>
  <c r="AH64" i="7"/>
  <c r="AG64" i="7"/>
  <c r="AF64" i="7"/>
  <c r="AE64" i="7"/>
  <c r="AD64" i="7"/>
  <c r="AC64" i="7"/>
  <c r="AB64" i="7"/>
  <c r="AA64" i="7"/>
  <c r="Z64" i="7"/>
  <c r="Y64" i="7"/>
  <c r="X64" i="7"/>
  <c r="V64" i="7"/>
  <c r="U64" i="7"/>
  <c r="T64" i="7"/>
  <c r="R64" i="7"/>
  <c r="J64" i="7"/>
  <c r="I64" i="7"/>
  <c r="H64" i="7"/>
  <c r="G64" i="7"/>
  <c r="F64" i="7"/>
  <c r="E64" i="7"/>
  <c r="C64" i="7"/>
  <c r="BD63" i="7"/>
  <c r="BC63" i="7"/>
  <c r="BB63" i="7"/>
  <c r="BA63" i="7"/>
  <c r="AZ63" i="7"/>
  <c r="AY63" i="7"/>
  <c r="AX63" i="7"/>
  <c r="AW63" i="7"/>
  <c r="AV63" i="7"/>
  <c r="AU63" i="7"/>
  <c r="AT63" i="7"/>
  <c r="AS63" i="7"/>
  <c r="AR63" i="7"/>
  <c r="AQ63" i="7"/>
  <c r="AP63" i="7"/>
  <c r="AO63" i="7"/>
  <c r="AN63" i="7"/>
  <c r="AM63" i="7"/>
  <c r="AL63" i="7"/>
  <c r="AK63" i="7"/>
  <c r="AJ63" i="7"/>
  <c r="AI63" i="7"/>
  <c r="AH63" i="7"/>
  <c r="AG63" i="7"/>
  <c r="AF63" i="7"/>
  <c r="AE63" i="7"/>
  <c r="AD63" i="7"/>
  <c r="AC63" i="7"/>
  <c r="AB63" i="7"/>
  <c r="AA63" i="7"/>
  <c r="Z63" i="7"/>
  <c r="Y63" i="7"/>
  <c r="X63" i="7"/>
  <c r="V63" i="7"/>
  <c r="U63" i="7"/>
  <c r="T63" i="7"/>
  <c r="R63" i="7"/>
  <c r="J63" i="7"/>
  <c r="I63" i="7"/>
  <c r="H63" i="7"/>
  <c r="G63" i="7"/>
  <c r="F63" i="7"/>
  <c r="E63" i="7"/>
  <c r="C63" i="7"/>
  <c r="BD62" i="7"/>
  <c r="BC62" i="7"/>
  <c r="BB62" i="7"/>
  <c r="BA62" i="7"/>
  <c r="AZ62" i="7"/>
  <c r="AY62" i="7"/>
  <c r="AX62" i="7"/>
  <c r="AW62" i="7"/>
  <c r="AV62" i="7"/>
  <c r="AU62" i="7"/>
  <c r="AT62" i="7"/>
  <c r="AS62" i="7"/>
  <c r="AR62" i="7"/>
  <c r="AQ62" i="7"/>
  <c r="AP62" i="7"/>
  <c r="AO62" i="7"/>
  <c r="AN62" i="7"/>
  <c r="AM62" i="7"/>
  <c r="AL62" i="7"/>
  <c r="AK62" i="7"/>
  <c r="AJ62" i="7"/>
  <c r="AI62" i="7"/>
  <c r="AH62" i="7"/>
  <c r="AG62" i="7"/>
  <c r="AF62" i="7"/>
  <c r="AE62" i="7"/>
  <c r="AD62" i="7"/>
  <c r="AC62" i="7"/>
  <c r="AB62" i="7"/>
  <c r="AA62" i="7"/>
  <c r="Z62" i="7"/>
  <c r="Y62" i="7"/>
  <c r="X62" i="7"/>
  <c r="V62" i="7"/>
  <c r="U62" i="7"/>
  <c r="T62" i="7"/>
  <c r="R62" i="7"/>
  <c r="J62" i="7"/>
  <c r="I62" i="7"/>
  <c r="H62" i="7"/>
  <c r="G62" i="7"/>
  <c r="F62" i="7"/>
  <c r="E62" i="7"/>
  <c r="C62" i="7"/>
  <c r="BD61" i="7"/>
  <c r="BC61" i="7"/>
  <c r="BB61" i="7"/>
  <c r="BA61" i="7"/>
  <c r="AZ61" i="7"/>
  <c r="AY61" i="7"/>
  <c r="AX61" i="7"/>
  <c r="AW61" i="7"/>
  <c r="AV61" i="7"/>
  <c r="AU61" i="7"/>
  <c r="AT61" i="7"/>
  <c r="AS61" i="7"/>
  <c r="AR61" i="7"/>
  <c r="AQ61" i="7"/>
  <c r="AP61" i="7"/>
  <c r="AO61" i="7"/>
  <c r="AN61" i="7"/>
  <c r="AM61" i="7"/>
  <c r="AL61" i="7"/>
  <c r="AK61" i="7"/>
  <c r="AJ61" i="7"/>
  <c r="AI61" i="7"/>
  <c r="AH61" i="7"/>
  <c r="AG61" i="7"/>
  <c r="AF61" i="7"/>
  <c r="AE61" i="7"/>
  <c r="AD61" i="7"/>
  <c r="AC61" i="7"/>
  <c r="AB61" i="7"/>
  <c r="AA61" i="7"/>
  <c r="Z61" i="7"/>
  <c r="Y61" i="7"/>
  <c r="X61" i="7"/>
  <c r="V61" i="7"/>
  <c r="U61" i="7"/>
  <c r="T61" i="7"/>
  <c r="R61" i="7"/>
  <c r="J61" i="7"/>
  <c r="I61" i="7"/>
  <c r="H61" i="7"/>
  <c r="G61" i="7"/>
  <c r="F61" i="7"/>
  <c r="E61" i="7"/>
  <c r="C61" i="7"/>
  <c r="BD60" i="7"/>
  <c r="BC60" i="7"/>
  <c r="BB60" i="7"/>
  <c r="BA60" i="7"/>
  <c r="AZ60" i="7"/>
  <c r="AY60" i="7"/>
  <c r="AX60" i="7"/>
  <c r="AW60" i="7"/>
  <c r="AV60" i="7"/>
  <c r="AU60" i="7"/>
  <c r="AT60" i="7"/>
  <c r="AS60" i="7"/>
  <c r="AR60" i="7"/>
  <c r="AQ60" i="7"/>
  <c r="AP60" i="7"/>
  <c r="AO60" i="7"/>
  <c r="AN60" i="7"/>
  <c r="AM60" i="7"/>
  <c r="AL60" i="7"/>
  <c r="AK60" i="7"/>
  <c r="AJ60" i="7"/>
  <c r="AI60" i="7"/>
  <c r="AH60" i="7"/>
  <c r="AG60" i="7"/>
  <c r="AF60" i="7"/>
  <c r="AE60" i="7"/>
  <c r="AD60" i="7"/>
  <c r="AC60" i="7"/>
  <c r="AB60" i="7"/>
  <c r="AA60" i="7"/>
  <c r="Z60" i="7"/>
  <c r="Y60" i="7"/>
  <c r="X60" i="7"/>
  <c r="V60" i="7"/>
  <c r="U60" i="7"/>
  <c r="T60" i="7"/>
  <c r="R60" i="7"/>
  <c r="J60" i="7"/>
  <c r="I60" i="7"/>
  <c r="H60" i="7"/>
  <c r="G60" i="7"/>
  <c r="F60" i="7"/>
  <c r="E60" i="7"/>
  <c r="C60" i="7"/>
  <c r="BD59" i="7"/>
  <c r="BC59" i="7"/>
  <c r="BB59" i="7"/>
  <c r="BA59" i="7"/>
  <c r="AZ59" i="7"/>
  <c r="AY59" i="7"/>
  <c r="AX59" i="7"/>
  <c r="AW59" i="7"/>
  <c r="AV59" i="7"/>
  <c r="AU59" i="7"/>
  <c r="AT59" i="7"/>
  <c r="AS59" i="7"/>
  <c r="AR59" i="7"/>
  <c r="AQ59" i="7"/>
  <c r="AP59" i="7"/>
  <c r="AO59" i="7"/>
  <c r="AN59" i="7"/>
  <c r="AM59" i="7"/>
  <c r="AL59" i="7"/>
  <c r="AK59" i="7"/>
  <c r="AJ59" i="7"/>
  <c r="AI59" i="7"/>
  <c r="AH59" i="7"/>
  <c r="AG59" i="7"/>
  <c r="AF59" i="7"/>
  <c r="AE59" i="7"/>
  <c r="AD59" i="7"/>
  <c r="AC59" i="7"/>
  <c r="AB59" i="7"/>
  <c r="AA59" i="7"/>
  <c r="Z59" i="7"/>
  <c r="Y59" i="7"/>
  <c r="X59" i="7"/>
  <c r="V59" i="7"/>
  <c r="U59" i="7"/>
  <c r="T59" i="7"/>
  <c r="R59" i="7"/>
  <c r="J59" i="7"/>
  <c r="I59" i="7"/>
  <c r="H59" i="7"/>
  <c r="G59" i="7"/>
  <c r="F59" i="7"/>
  <c r="E59" i="7"/>
  <c r="C59" i="7"/>
  <c r="BD58" i="7"/>
  <c r="BC58" i="7"/>
  <c r="BB58" i="7"/>
  <c r="BA58" i="7"/>
  <c r="AZ58" i="7"/>
  <c r="AY58" i="7"/>
  <c r="AX58" i="7"/>
  <c r="AW58" i="7"/>
  <c r="AV58" i="7"/>
  <c r="AU58" i="7"/>
  <c r="AT58" i="7"/>
  <c r="AS58" i="7"/>
  <c r="AR58" i="7"/>
  <c r="AQ58" i="7"/>
  <c r="AP58" i="7"/>
  <c r="AO58" i="7"/>
  <c r="AN58" i="7"/>
  <c r="AM58" i="7"/>
  <c r="AL58" i="7"/>
  <c r="AK58" i="7"/>
  <c r="AJ58" i="7"/>
  <c r="AI58" i="7"/>
  <c r="AH58" i="7"/>
  <c r="AG58" i="7"/>
  <c r="AF58" i="7"/>
  <c r="AE58" i="7"/>
  <c r="AD58" i="7"/>
  <c r="AC58" i="7"/>
  <c r="AB58" i="7"/>
  <c r="AA58" i="7"/>
  <c r="Z58" i="7"/>
  <c r="Y58" i="7"/>
  <c r="X58" i="7"/>
  <c r="V58" i="7"/>
  <c r="U58" i="7"/>
  <c r="T58" i="7"/>
  <c r="R58" i="7"/>
  <c r="J58" i="7"/>
  <c r="I58" i="7"/>
  <c r="H58" i="7"/>
  <c r="G58" i="7"/>
  <c r="F58" i="7"/>
  <c r="E58" i="7"/>
  <c r="C58" i="7"/>
  <c r="BD57" i="7"/>
  <c r="BC57" i="7"/>
  <c r="BB57" i="7"/>
  <c r="BA57" i="7"/>
  <c r="AZ57" i="7"/>
  <c r="AY57" i="7"/>
  <c r="AX57" i="7"/>
  <c r="AW57" i="7"/>
  <c r="AV57" i="7"/>
  <c r="AU57" i="7"/>
  <c r="AT57" i="7"/>
  <c r="AS57" i="7"/>
  <c r="AR57" i="7"/>
  <c r="AQ57" i="7"/>
  <c r="AP57" i="7"/>
  <c r="AO57" i="7"/>
  <c r="AN57" i="7"/>
  <c r="AM57" i="7"/>
  <c r="AL57" i="7"/>
  <c r="AK57" i="7"/>
  <c r="AJ57" i="7"/>
  <c r="AI57" i="7"/>
  <c r="AH57" i="7"/>
  <c r="AG57" i="7"/>
  <c r="AF57" i="7"/>
  <c r="AE57" i="7"/>
  <c r="AD57" i="7"/>
  <c r="AC57" i="7"/>
  <c r="AB57" i="7"/>
  <c r="AA57" i="7"/>
  <c r="Z57" i="7"/>
  <c r="Y57" i="7"/>
  <c r="X57" i="7"/>
  <c r="V57" i="7"/>
  <c r="U57" i="7"/>
  <c r="T57" i="7"/>
  <c r="R57" i="7"/>
  <c r="J57" i="7"/>
  <c r="I57" i="7"/>
  <c r="H57" i="7"/>
  <c r="G57" i="7"/>
  <c r="F57" i="7"/>
  <c r="E57" i="7"/>
  <c r="C57" i="7"/>
  <c r="BD56" i="7"/>
  <c r="BC56" i="7"/>
  <c r="BB56" i="7"/>
  <c r="BA56" i="7"/>
  <c r="AZ56" i="7"/>
  <c r="AY56" i="7"/>
  <c r="AX56" i="7"/>
  <c r="AW56" i="7"/>
  <c r="AV56" i="7"/>
  <c r="AU56" i="7"/>
  <c r="AT56" i="7"/>
  <c r="AS56" i="7"/>
  <c r="AR56" i="7"/>
  <c r="AQ56" i="7"/>
  <c r="AP56" i="7"/>
  <c r="AO56" i="7"/>
  <c r="AN56" i="7"/>
  <c r="AM56" i="7"/>
  <c r="AL56" i="7"/>
  <c r="AK56" i="7"/>
  <c r="AJ56" i="7"/>
  <c r="AI56" i="7"/>
  <c r="AH56" i="7"/>
  <c r="AG56" i="7"/>
  <c r="AF56" i="7"/>
  <c r="AE56" i="7"/>
  <c r="AD56" i="7"/>
  <c r="AC56" i="7"/>
  <c r="AB56" i="7"/>
  <c r="AA56" i="7"/>
  <c r="Z56" i="7"/>
  <c r="Y56" i="7"/>
  <c r="X56" i="7"/>
  <c r="V56" i="7"/>
  <c r="U56" i="7"/>
  <c r="T56" i="7"/>
  <c r="R56" i="7"/>
  <c r="J56" i="7"/>
  <c r="I56" i="7"/>
  <c r="H56" i="7"/>
  <c r="G56" i="7"/>
  <c r="F56" i="7"/>
  <c r="E56" i="7"/>
  <c r="C56" i="7"/>
  <c r="BD55" i="7"/>
  <c r="BC55" i="7"/>
  <c r="BB55" i="7"/>
  <c r="BA55" i="7"/>
  <c r="AZ55" i="7"/>
  <c r="AY55" i="7"/>
  <c r="AX55" i="7"/>
  <c r="AW55" i="7"/>
  <c r="AV55" i="7"/>
  <c r="AU55" i="7"/>
  <c r="AT55" i="7"/>
  <c r="AS55" i="7"/>
  <c r="AR55" i="7"/>
  <c r="AQ55" i="7"/>
  <c r="AP55" i="7"/>
  <c r="AO55" i="7"/>
  <c r="AN55" i="7"/>
  <c r="AM55" i="7"/>
  <c r="AL55" i="7"/>
  <c r="AK55" i="7"/>
  <c r="AJ55" i="7"/>
  <c r="AI55" i="7"/>
  <c r="AH55" i="7"/>
  <c r="AG55" i="7"/>
  <c r="AF55" i="7"/>
  <c r="AE55" i="7"/>
  <c r="AD55" i="7"/>
  <c r="AC55" i="7"/>
  <c r="AB55" i="7"/>
  <c r="AA55" i="7"/>
  <c r="Z55" i="7"/>
  <c r="Y55" i="7"/>
  <c r="X55" i="7"/>
  <c r="V55" i="7"/>
  <c r="U55" i="7"/>
  <c r="T55" i="7"/>
  <c r="R55" i="7"/>
  <c r="J55" i="7"/>
  <c r="I55" i="7"/>
  <c r="H55" i="7"/>
  <c r="G55" i="7"/>
  <c r="F55" i="7"/>
  <c r="E55" i="7"/>
  <c r="C55" i="7"/>
  <c r="BD54" i="7"/>
  <c r="BC54" i="7"/>
  <c r="BB54" i="7"/>
  <c r="BA54" i="7"/>
  <c r="AZ54" i="7"/>
  <c r="AY54" i="7"/>
  <c r="AX54" i="7"/>
  <c r="AW54" i="7"/>
  <c r="AV54" i="7"/>
  <c r="AU54" i="7"/>
  <c r="AT54" i="7"/>
  <c r="AS54" i="7"/>
  <c r="AR54" i="7"/>
  <c r="AQ54" i="7"/>
  <c r="AP54" i="7"/>
  <c r="AO54" i="7"/>
  <c r="AN54" i="7"/>
  <c r="AM54" i="7"/>
  <c r="AL54" i="7"/>
  <c r="AK54" i="7"/>
  <c r="AJ54" i="7"/>
  <c r="AI54" i="7"/>
  <c r="AH54" i="7"/>
  <c r="AG54" i="7"/>
  <c r="AF54" i="7"/>
  <c r="AE54" i="7"/>
  <c r="AD54" i="7"/>
  <c r="AC54" i="7"/>
  <c r="AB54" i="7"/>
  <c r="AA54" i="7"/>
  <c r="Z54" i="7"/>
  <c r="Y54" i="7"/>
  <c r="X54" i="7"/>
  <c r="V54" i="7"/>
  <c r="U54" i="7"/>
  <c r="T54" i="7"/>
  <c r="R54" i="7"/>
  <c r="J54" i="7"/>
  <c r="I54" i="7"/>
  <c r="H54" i="7"/>
  <c r="G54" i="7"/>
  <c r="F54" i="7"/>
  <c r="E54" i="7"/>
  <c r="C54" i="7"/>
  <c r="BZ53" i="7"/>
  <c r="BY53" i="7"/>
  <c r="BX53" i="7"/>
  <c r="BW53" i="7"/>
  <c r="BV53" i="7"/>
  <c r="BU53" i="7"/>
  <c r="BT53" i="7"/>
  <c r="BS53" i="7"/>
  <c r="BR53" i="7"/>
  <c r="BQ53" i="7"/>
  <c r="BP53" i="7"/>
  <c r="BO53" i="7"/>
  <c r="BN53" i="7"/>
  <c r="BM53" i="7"/>
  <c r="BL53" i="7"/>
  <c r="BK53" i="7"/>
  <c r="BJ53" i="7"/>
  <c r="BI53" i="7"/>
  <c r="BH53" i="7"/>
  <c r="BG53" i="7"/>
  <c r="BF53" i="7"/>
  <c r="BE53" i="7"/>
  <c r="BD53" i="7"/>
  <c r="BC53" i="7"/>
  <c r="BB53" i="7"/>
  <c r="BA53" i="7"/>
  <c r="AZ53" i="7"/>
  <c r="AY53" i="7"/>
  <c r="AX53" i="7"/>
  <c r="AW53" i="7"/>
  <c r="AV53" i="7"/>
  <c r="AU53" i="7"/>
  <c r="AT53" i="7"/>
  <c r="AS53" i="7"/>
  <c r="AR53" i="7"/>
  <c r="AQ53" i="7"/>
  <c r="AP53" i="7"/>
  <c r="AO53" i="7"/>
  <c r="AN53" i="7"/>
  <c r="AM53" i="7"/>
  <c r="AL53" i="7"/>
  <c r="AK53" i="7"/>
  <c r="AJ53" i="7"/>
  <c r="AI53" i="7"/>
  <c r="AH53" i="7"/>
  <c r="AG53" i="7"/>
  <c r="AF53" i="7"/>
  <c r="AE53" i="7"/>
  <c r="AD53" i="7"/>
  <c r="AC53" i="7"/>
  <c r="AB53" i="7"/>
  <c r="AA53" i="7"/>
  <c r="Z53" i="7"/>
  <c r="Y53" i="7"/>
  <c r="X53" i="7"/>
  <c r="W53" i="7"/>
  <c r="V53" i="7"/>
  <c r="U53" i="7"/>
  <c r="T53" i="7"/>
  <c r="S53" i="7"/>
  <c r="BV52" i="7"/>
  <c r="BQ52" i="7"/>
  <c r="BL52" i="7"/>
  <c r="BG52" i="7"/>
  <c r="BB52" i="7"/>
  <c r="AW52" i="7"/>
  <c r="AR52" i="7"/>
  <c r="AM52" i="7"/>
  <c r="AH52" i="7"/>
  <c r="AC52" i="7"/>
  <c r="X52" i="7"/>
  <c r="S52" i="7"/>
  <c r="O52" i="7"/>
  <c r="N52" i="7"/>
  <c r="M52" i="7"/>
  <c r="L52" i="7"/>
  <c r="K52" i="7"/>
  <c r="J52" i="7"/>
  <c r="I52" i="7"/>
  <c r="H52" i="7"/>
  <c r="G52" i="7"/>
  <c r="F52" i="7"/>
  <c r="E52" i="7"/>
  <c r="D52" i="7"/>
  <c r="BY51" i="7"/>
  <c r="BX51" i="7"/>
  <c r="R51" i="7"/>
  <c r="O51" i="7"/>
  <c r="N51" i="7"/>
  <c r="C51" i="7"/>
  <c r="BX50" i="7"/>
  <c r="R50" i="7"/>
  <c r="N50" i="7"/>
  <c r="C50" i="7"/>
  <c r="BX49" i="7"/>
  <c r="R49" i="7"/>
  <c r="N49" i="7"/>
  <c r="C49" i="7"/>
  <c r="BD42" i="7"/>
  <c r="BC42" i="7"/>
  <c r="BB42" i="7"/>
  <c r="BA42" i="7"/>
  <c r="AZ42" i="7"/>
  <c r="AY42" i="7"/>
  <c r="AX42" i="7"/>
  <c r="AW42" i="7"/>
  <c r="AV42" i="7"/>
  <c r="AU42" i="7"/>
  <c r="AT42" i="7"/>
  <c r="AS42" i="7"/>
  <c r="AR42" i="7"/>
  <c r="AQ42" i="7"/>
  <c r="AP42" i="7"/>
  <c r="AO42" i="7"/>
  <c r="AN42" i="7"/>
  <c r="AM42" i="7"/>
  <c r="AL42" i="7"/>
  <c r="AK42" i="7"/>
  <c r="AJ42" i="7"/>
  <c r="AI42" i="7"/>
  <c r="AH42" i="7"/>
  <c r="AG42" i="7"/>
  <c r="AF42" i="7"/>
  <c r="AE42" i="7"/>
  <c r="AD42" i="7"/>
  <c r="AC42" i="7"/>
  <c r="AB42" i="7"/>
  <c r="AA42" i="7"/>
  <c r="Z42" i="7"/>
  <c r="Y42" i="7"/>
  <c r="X42" i="7"/>
  <c r="W42" i="7"/>
  <c r="V42" i="7"/>
  <c r="U42" i="7"/>
  <c r="T42" i="7"/>
  <c r="S42" i="7"/>
  <c r="J42" i="7"/>
  <c r="I42" i="7"/>
  <c r="H42" i="7"/>
  <c r="G42" i="7"/>
  <c r="F42" i="7"/>
  <c r="E42" i="7"/>
  <c r="D42" i="7"/>
  <c r="BD41" i="7"/>
  <c r="BC41" i="7"/>
  <c r="BB41" i="7"/>
  <c r="BA41" i="7"/>
  <c r="AZ41" i="7"/>
  <c r="AY41" i="7"/>
  <c r="AX41" i="7"/>
  <c r="AW41" i="7"/>
  <c r="AV41" i="7"/>
  <c r="AU41" i="7"/>
  <c r="AT41" i="7"/>
  <c r="AS41" i="7"/>
  <c r="AR41" i="7"/>
  <c r="AQ41" i="7"/>
  <c r="AP41" i="7"/>
  <c r="AO41" i="7"/>
  <c r="AN41" i="7"/>
  <c r="AM41" i="7"/>
  <c r="AL41" i="7"/>
  <c r="AK41" i="7"/>
  <c r="AJ41" i="7"/>
  <c r="AI41" i="7"/>
  <c r="AH41" i="7"/>
  <c r="AG41" i="7"/>
  <c r="AF41" i="7"/>
  <c r="AE41" i="7"/>
  <c r="AD41" i="7"/>
  <c r="AC41" i="7"/>
  <c r="AB41" i="7"/>
  <c r="AA41" i="7"/>
  <c r="Z41" i="7"/>
  <c r="Y41" i="7"/>
  <c r="X41" i="7"/>
  <c r="W41" i="7"/>
  <c r="V41" i="7"/>
  <c r="U41" i="7"/>
  <c r="T41" i="7"/>
  <c r="S41" i="7"/>
  <c r="J41" i="7"/>
  <c r="I41" i="7"/>
  <c r="H41" i="7"/>
  <c r="G41" i="7"/>
  <c r="F41" i="7"/>
  <c r="E41" i="7"/>
  <c r="D41" i="7"/>
  <c r="BD40" i="7"/>
  <c r="BC40" i="7"/>
  <c r="BB40" i="7"/>
  <c r="BA40" i="7"/>
  <c r="AZ40" i="7"/>
  <c r="AY40" i="7"/>
  <c r="AX40" i="7"/>
  <c r="AW40" i="7"/>
  <c r="AV40" i="7"/>
  <c r="AU40" i="7"/>
  <c r="AT40" i="7"/>
  <c r="AS40" i="7"/>
  <c r="AR40" i="7"/>
  <c r="AQ40" i="7"/>
  <c r="AP40" i="7"/>
  <c r="AO40" i="7"/>
  <c r="AN40" i="7"/>
  <c r="AM40" i="7"/>
  <c r="AL40" i="7"/>
  <c r="AK40" i="7"/>
  <c r="AJ40" i="7"/>
  <c r="AI40" i="7"/>
  <c r="AH40" i="7"/>
  <c r="AG40" i="7"/>
  <c r="AF40" i="7"/>
  <c r="AE40" i="7"/>
  <c r="AD40" i="7"/>
  <c r="AC40" i="7"/>
  <c r="AB40" i="7"/>
  <c r="AA40" i="7"/>
  <c r="Z40" i="7"/>
  <c r="Y40" i="7"/>
  <c r="X40" i="7"/>
  <c r="W40" i="7"/>
  <c r="V40" i="7"/>
  <c r="U40" i="7"/>
  <c r="T40" i="7"/>
  <c r="S40" i="7"/>
  <c r="R40" i="7"/>
  <c r="J40" i="7"/>
  <c r="I40" i="7"/>
  <c r="H40" i="7"/>
  <c r="G40" i="7"/>
  <c r="F40" i="7"/>
  <c r="E40" i="7"/>
  <c r="D40" i="7"/>
  <c r="C40" i="7"/>
  <c r="BD39" i="7"/>
  <c r="BC39" i="7"/>
  <c r="BB39" i="7"/>
  <c r="BA39" i="7"/>
  <c r="AZ39" i="7"/>
  <c r="AY39" i="7"/>
  <c r="AX39" i="7"/>
  <c r="AW39" i="7"/>
  <c r="AV39" i="7"/>
  <c r="AU39" i="7"/>
  <c r="AT39" i="7"/>
  <c r="AS39" i="7"/>
  <c r="AR39" i="7"/>
  <c r="AQ39" i="7"/>
  <c r="AP39" i="7"/>
  <c r="AO39" i="7"/>
  <c r="AN39" i="7"/>
  <c r="AM39" i="7"/>
  <c r="AL39" i="7"/>
  <c r="AK39" i="7"/>
  <c r="AJ39" i="7"/>
  <c r="AI39" i="7"/>
  <c r="AH39" i="7"/>
  <c r="AG39" i="7"/>
  <c r="AF39" i="7"/>
  <c r="AE39" i="7"/>
  <c r="AD39" i="7"/>
  <c r="AC39" i="7"/>
  <c r="AB39" i="7"/>
  <c r="AA39" i="7"/>
  <c r="Z39" i="7"/>
  <c r="Y39" i="7"/>
  <c r="X39" i="7"/>
  <c r="R39" i="7"/>
  <c r="J39" i="7"/>
  <c r="I39" i="7"/>
  <c r="H39" i="7"/>
  <c r="G39" i="7"/>
  <c r="F39" i="7"/>
  <c r="E39" i="7"/>
  <c r="C39" i="7"/>
  <c r="BD37" i="7"/>
  <c r="BC37" i="7"/>
  <c r="BB37" i="7"/>
  <c r="BA37" i="7"/>
  <c r="AZ37" i="7"/>
  <c r="AY37" i="7"/>
  <c r="AX37" i="7"/>
  <c r="AW37" i="7"/>
  <c r="AV37" i="7"/>
  <c r="AU37" i="7"/>
  <c r="AT37" i="7"/>
  <c r="AS37" i="7"/>
  <c r="AR37" i="7"/>
  <c r="AQ37" i="7"/>
  <c r="AP37" i="7"/>
  <c r="AO37" i="7"/>
  <c r="AN37" i="7"/>
  <c r="AM37" i="7"/>
  <c r="AL37" i="7"/>
  <c r="AK37" i="7"/>
  <c r="AJ37" i="7"/>
  <c r="AI37" i="7"/>
  <c r="AH37" i="7"/>
  <c r="AG37" i="7"/>
  <c r="AF37" i="7"/>
  <c r="AE37" i="7"/>
  <c r="AD37" i="7"/>
  <c r="AC37" i="7"/>
  <c r="AB37" i="7"/>
  <c r="AA37" i="7"/>
  <c r="Z37" i="7"/>
  <c r="Y37" i="7"/>
  <c r="X37" i="7"/>
  <c r="W37" i="7"/>
  <c r="V37" i="7"/>
  <c r="U37" i="7"/>
  <c r="T37" i="7"/>
  <c r="S37" i="7"/>
  <c r="J37" i="7"/>
  <c r="I37" i="7"/>
  <c r="H37" i="7"/>
  <c r="G37" i="7"/>
  <c r="F37" i="7"/>
  <c r="E37" i="7"/>
  <c r="D37" i="7"/>
  <c r="BD35" i="7"/>
  <c r="BC35" i="7"/>
  <c r="BB35" i="7"/>
  <c r="BA35" i="7"/>
  <c r="AZ35" i="7"/>
  <c r="AY35" i="7"/>
  <c r="AX35" i="7"/>
  <c r="AW35" i="7"/>
  <c r="AV35" i="7"/>
  <c r="AU35" i="7"/>
  <c r="AT35" i="7"/>
  <c r="AS35" i="7"/>
  <c r="AR35" i="7"/>
  <c r="AQ35" i="7"/>
  <c r="AP35" i="7"/>
  <c r="AO35" i="7"/>
  <c r="AN35" i="7"/>
  <c r="AM35" i="7"/>
  <c r="AL35" i="7"/>
  <c r="AK35" i="7"/>
  <c r="AJ35" i="7"/>
  <c r="AI35" i="7"/>
  <c r="AH35" i="7"/>
  <c r="AG35" i="7"/>
  <c r="AF35" i="7"/>
  <c r="AE35" i="7"/>
  <c r="AD35" i="7"/>
  <c r="AC35" i="7"/>
  <c r="AB35" i="7"/>
  <c r="AA35" i="7"/>
  <c r="Z35" i="7"/>
  <c r="Y35" i="7"/>
  <c r="X35" i="7"/>
  <c r="W35" i="7"/>
  <c r="V35" i="7"/>
  <c r="U35" i="7"/>
  <c r="T35" i="7"/>
  <c r="S35" i="7"/>
  <c r="J35" i="7"/>
  <c r="I35" i="7"/>
  <c r="H35" i="7"/>
  <c r="G35" i="7"/>
  <c r="F35" i="7"/>
  <c r="E35" i="7"/>
  <c r="D35" i="7"/>
  <c r="BD34" i="7"/>
  <c r="BC34" i="7"/>
  <c r="BB34" i="7"/>
  <c r="BA34" i="7"/>
  <c r="AZ34" i="7"/>
  <c r="AY34" i="7"/>
  <c r="AX34" i="7"/>
  <c r="AW34" i="7"/>
  <c r="AV34" i="7"/>
  <c r="AU34" i="7"/>
  <c r="AT34" i="7"/>
  <c r="AS34" i="7"/>
  <c r="AR34" i="7"/>
  <c r="AQ34" i="7"/>
  <c r="AP34" i="7"/>
  <c r="AO34" i="7"/>
  <c r="AN34" i="7"/>
  <c r="AM34" i="7"/>
  <c r="AL34" i="7"/>
  <c r="AK34" i="7"/>
  <c r="AJ34" i="7"/>
  <c r="AI34" i="7"/>
  <c r="AH34" i="7"/>
  <c r="AG34" i="7"/>
  <c r="AF34" i="7"/>
  <c r="AE34" i="7"/>
  <c r="AD34" i="7"/>
  <c r="AC34" i="7"/>
  <c r="AB34" i="7"/>
  <c r="AA34" i="7"/>
  <c r="Z34" i="7"/>
  <c r="Y34" i="7"/>
  <c r="X34" i="7"/>
  <c r="W34" i="7"/>
  <c r="V34" i="7"/>
  <c r="U34" i="7"/>
  <c r="T34" i="7"/>
  <c r="S34" i="7"/>
  <c r="R34" i="7"/>
  <c r="J34" i="7"/>
  <c r="I34" i="7"/>
  <c r="H34" i="7"/>
  <c r="G34" i="7"/>
  <c r="F34" i="7"/>
  <c r="E34" i="7"/>
  <c r="D34" i="7"/>
  <c r="C34" i="7"/>
  <c r="BD33" i="7"/>
  <c r="BC33" i="7"/>
  <c r="BB33" i="7"/>
  <c r="BA33" i="7"/>
  <c r="AZ33" i="7"/>
  <c r="AY33" i="7"/>
  <c r="AX33" i="7"/>
  <c r="AW33" i="7"/>
  <c r="AV33" i="7"/>
  <c r="AU33" i="7"/>
  <c r="AT33" i="7"/>
  <c r="AS33" i="7"/>
  <c r="AR33" i="7"/>
  <c r="AQ33" i="7"/>
  <c r="AP33" i="7"/>
  <c r="AO33" i="7"/>
  <c r="AN33" i="7"/>
  <c r="AM33" i="7"/>
  <c r="AL33" i="7"/>
  <c r="AK33" i="7"/>
  <c r="AJ33" i="7"/>
  <c r="AI33" i="7"/>
  <c r="AH33" i="7"/>
  <c r="AG33" i="7"/>
  <c r="AF33" i="7"/>
  <c r="AE33" i="7"/>
  <c r="AD33" i="7"/>
  <c r="AC33" i="7"/>
  <c r="AB33" i="7"/>
  <c r="AA33" i="7"/>
  <c r="Z33" i="7"/>
  <c r="Y33" i="7"/>
  <c r="X33" i="7"/>
  <c r="W33" i="7"/>
  <c r="V33" i="7"/>
  <c r="U33" i="7"/>
  <c r="T33" i="7"/>
  <c r="S33" i="7"/>
  <c r="R33" i="7"/>
  <c r="J33" i="7"/>
  <c r="I33" i="7"/>
  <c r="H33" i="7"/>
  <c r="G33" i="7"/>
  <c r="F33" i="7"/>
  <c r="E33" i="7"/>
  <c r="D33" i="7"/>
  <c r="C33" i="7"/>
  <c r="BD32" i="7"/>
  <c r="BC32" i="7"/>
  <c r="BB32" i="7"/>
  <c r="BA32" i="7"/>
  <c r="AZ32" i="7"/>
  <c r="AY32" i="7"/>
  <c r="AX32" i="7"/>
  <c r="AW32" i="7"/>
  <c r="AV32" i="7"/>
  <c r="AU32" i="7"/>
  <c r="AT32" i="7"/>
  <c r="AS32" i="7"/>
  <c r="AR32" i="7"/>
  <c r="AQ32" i="7"/>
  <c r="AP32" i="7"/>
  <c r="AO32" i="7"/>
  <c r="AN32" i="7"/>
  <c r="AM32" i="7"/>
  <c r="AL32" i="7"/>
  <c r="AK32" i="7"/>
  <c r="AJ32" i="7"/>
  <c r="AI32" i="7"/>
  <c r="AH32" i="7"/>
  <c r="AG32" i="7"/>
  <c r="AF32" i="7"/>
  <c r="AE32" i="7"/>
  <c r="AD32" i="7"/>
  <c r="AC32" i="7"/>
  <c r="AB32" i="7"/>
  <c r="AA32" i="7"/>
  <c r="Z32" i="7"/>
  <c r="Y32" i="7"/>
  <c r="X32" i="7"/>
  <c r="W32" i="7"/>
  <c r="V32" i="7"/>
  <c r="U32" i="7"/>
  <c r="T32" i="7"/>
  <c r="S32" i="7"/>
  <c r="R32" i="7"/>
  <c r="J32" i="7"/>
  <c r="I32" i="7"/>
  <c r="H32" i="7"/>
  <c r="G32" i="7"/>
  <c r="F32" i="7"/>
  <c r="E32" i="7"/>
  <c r="D32" i="7"/>
  <c r="C32" i="7"/>
  <c r="BZ31" i="7"/>
  <c r="BY31" i="7"/>
  <c r="BX31" i="7"/>
  <c r="BW31" i="7"/>
  <c r="BV31" i="7"/>
  <c r="BU31" i="7"/>
  <c r="BT31" i="7"/>
  <c r="BS31" i="7"/>
  <c r="BR31" i="7"/>
  <c r="BQ31" i="7"/>
  <c r="BP31" i="7"/>
  <c r="BO31" i="7"/>
  <c r="BN31" i="7"/>
  <c r="BM31" i="7"/>
  <c r="BL31" i="7"/>
  <c r="BK31" i="7"/>
  <c r="BJ31" i="7"/>
  <c r="BI31" i="7"/>
  <c r="BH31" i="7"/>
  <c r="BG31" i="7"/>
  <c r="BF31" i="7"/>
  <c r="BE31" i="7"/>
  <c r="BD31" i="7"/>
  <c r="BC31" i="7"/>
  <c r="BB31" i="7"/>
  <c r="BA31" i="7"/>
  <c r="AZ31" i="7"/>
  <c r="AY31" i="7"/>
  <c r="AX31" i="7"/>
  <c r="AW31" i="7"/>
  <c r="AV31" i="7"/>
  <c r="AU31" i="7"/>
  <c r="AT31" i="7"/>
  <c r="AS31" i="7"/>
  <c r="AR31" i="7"/>
  <c r="AQ31" i="7"/>
  <c r="AP31" i="7"/>
  <c r="AO31" i="7"/>
  <c r="AN31" i="7"/>
  <c r="AM31" i="7"/>
  <c r="AL31" i="7"/>
  <c r="AK31" i="7"/>
  <c r="AJ31" i="7"/>
  <c r="AI31" i="7"/>
  <c r="AH31" i="7"/>
  <c r="AG31" i="7"/>
  <c r="AF31" i="7"/>
  <c r="AE31" i="7"/>
  <c r="AD31" i="7"/>
  <c r="AC31" i="7"/>
  <c r="AB31" i="7"/>
  <c r="AA31" i="7"/>
  <c r="Z31" i="7"/>
  <c r="Y31" i="7"/>
  <c r="X31" i="7"/>
  <c r="W31" i="7"/>
  <c r="V31" i="7"/>
  <c r="U31" i="7"/>
  <c r="T31" i="7"/>
  <c r="S31" i="7"/>
  <c r="R31" i="7"/>
  <c r="O31" i="7"/>
  <c r="N31" i="7"/>
  <c r="M31" i="7"/>
  <c r="L31" i="7"/>
  <c r="K31" i="7"/>
  <c r="J31" i="7"/>
  <c r="I31" i="7"/>
  <c r="H31" i="7"/>
  <c r="G31" i="7"/>
  <c r="F31" i="7"/>
  <c r="E31" i="7"/>
  <c r="D31" i="7"/>
  <c r="C31" i="7"/>
  <c r="BD28" i="7"/>
  <c r="BC28" i="7"/>
  <c r="BB28" i="7"/>
  <c r="BA28" i="7"/>
  <c r="AZ28" i="7"/>
  <c r="AY28" i="7"/>
  <c r="AX28" i="7"/>
  <c r="AW28" i="7"/>
  <c r="AV28" i="7"/>
  <c r="AU28" i="7"/>
  <c r="AT28" i="7"/>
  <c r="AS28" i="7"/>
  <c r="AR28" i="7"/>
  <c r="AQ28" i="7"/>
  <c r="AP28" i="7"/>
  <c r="AO28" i="7"/>
  <c r="AN28" i="7"/>
  <c r="AM28" i="7"/>
  <c r="AL28" i="7"/>
  <c r="AK28" i="7"/>
  <c r="AJ28" i="7"/>
  <c r="AI28" i="7"/>
  <c r="AH28" i="7"/>
  <c r="AG28" i="7"/>
  <c r="AF28" i="7"/>
  <c r="AE28" i="7"/>
  <c r="AD28" i="7"/>
  <c r="AC28" i="7"/>
  <c r="AB28" i="7"/>
  <c r="AA28" i="7"/>
  <c r="Z28" i="7"/>
  <c r="Y28" i="7"/>
  <c r="X28" i="7"/>
  <c r="W28" i="7"/>
  <c r="V28" i="7"/>
  <c r="U28" i="7"/>
  <c r="T28" i="7"/>
  <c r="S28" i="7"/>
  <c r="R28" i="7"/>
  <c r="J28" i="7"/>
  <c r="I28" i="7"/>
  <c r="H28" i="7"/>
  <c r="G28" i="7"/>
  <c r="F28" i="7"/>
  <c r="E28" i="7"/>
  <c r="D28" i="7"/>
  <c r="C28" i="7"/>
  <c r="BF27" i="7"/>
  <c r="BE27" i="7"/>
  <c r="BD27" i="7"/>
  <c r="BC27" i="7"/>
  <c r="BB27" i="7"/>
  <c r="BA27" i="7"/>
  <c r="AZ27" i="7"/>
  <c r="AY27" i="7"/>
  <c r="AX27" i="7"/>
  <c r="AW27" i="7"/>
  <c r="AV27" i="7"/>
  <c r="AU27" i="7"/>
  <c r="AT27" i="7"/>
  <c r="AS27" i="7"/>
  <c r="AR27" i="7"/>
  <c r="AQ27" i="7"/>
  <c r="AP27" i="7"/>
  <c r="AO27" i="7"/>
  <c r="AN27" i="7"/>
  <c r="AM27" i="7"/>
  <c r="AL27" i="7"/>
  <c r="AK27" i="7"/>
  <c r="AJ27" i="7"/>
  <c r="AI27" i="7"/>
  <c r="AH27" i="7"/>
  <c r="AG27" i="7"/>
  <c r="AF27" i="7"/>
  <c r="AE27" i="7"/>
  <c r="AD27" i="7"/>
  <c r="AC27" i="7"/>
  <c r="AB27" i="7"/>
  <c r="AA27" i="7"/>
  <c r="Z27" i="7"/>
  <c r="Y27" i="7"/>
  <c r="X27" i="7"/>
  <c r="W27" i="7"/>
  <c r="V27" i="7"/>
  <c r="U27" i="7"/>
  <c r="T27" i="7"/>
  <c r="S27" i="7"/>
  <c r="R27" i="7"/>
  <c r="K27" i="7"/>
  <c r="J27" i="7"/>
  <c r="I27" i="7"/>
  <c r="H27" i="7"/>
  <c r="G27" i="7"/>
  <c r="F27" i="7"/>
  <c r="E27" i="7"/>
  <c r="D27" i="7"/>
  <c r="C27" i="7"/>
  <c r="BF26" i="7"/>
  <c r="BE26" i="7"/>
  <c r="BD26" i="7"/>
  <c r="BC26" i="7"/>
  <c r="BB26" i="7"/>
  <c r="BA26" i="7"/>
  <c r="AZ26" i="7"/>
  <c r="AY26" i="7"/>
  <c r="AX26" i="7"/>
  <c r="AW26" i="7"/>
  <c r="AV26" i="7"/>
  <c r="AU26" i="7"/>
  <c r="AT26" i="7"/>
  <c r="AS26" i="7"/>
  <c r="AR26" i="7"/>
  <c r="AQ26" i="7"/>
  <c r="AP26" i="7"/>
  <c r="AO26" i="7"/>
  <c r="AN26" i="7"/>
  <c r="AM26" i="7"/>
  <c r="AL26" i="7"/>
  <c r="AK26" i="7"/>
  <c r="AJ26" i="7"/>
  <c r="AI26" i="7"/>
  <c r="AH26" i="7"/>
  <c r="AG26" i="7"/>
  <c r="AF26" i="7"/>
  <c r="AE26" i="7"/>
  <c r="AD26" i="7"/>
  <c r="AC26" i="7"/>
  <c r="AB26" i="7"/>
  <c r="AA26" i="7"/>
  <c r="Z26" i="7"/>
  <c r="Y26" i="7"/>
  <c r="X26" i="7"/>
  <c r="W26" i="7"/>
  <c r="V26" i="7"/>
  <c r="U26" i="7"/>
  <c r="T26" i="7"/>
  <c r="S26" i="7"/>
  <c r="R26" i="7"/>
  <c r="K26" i="7"/>
  <c r="J26" i="7"/>
  <c r="I26" i="7"/>
  <c r="H26" i="7"/>
  <c r="G26" i="7"/>
  <c r="F26" i="7"/>
  <c r="E26" i="7"/>
  <c r="D26" i="7"/>
  <c r="C26" i="7"/>
  <c r="BD25" i="7"/>
  <c r="BC25" i="7"/>
  <c r="BB25" i="7"/>
  <c r="BA25" i="7"/>
  <c r="AZ25" i="7"/>
  <c r="AY25" i="7"/>
  <c r="AX25" i="7"/>
  <c r="AW25" i="7"/>
  <c r="AV25" i="7"/>
  <c r="AU25" i="7"/>
  <c r="AT25" i="7"/>
  <c r="AS25" i="7"/>
  <c r="AR25" i="7"/>
  <c r="AQ25" i="7"/>
  <c r="AP25" i="7"/>
  <c r="AO25" i="7"/>
  <c r="AN25" i="7"/>
  <c r="AM25" i="7"/>
  <c r="AL25" i="7"/>
  <c r="AK25" i="7"/>
  <c r="AJ25" i="7"/>
  <c r="AI25" i="7"/>
  <c r="AH25" i="7"/>
  <c r="AG25" i="7"/>
  <c r="AF25" i="7"/>
  <c r="AE25" i="7"/>
  <c r="AD25" i="7"/>
  <c r="AC25" i="7"/>
  <c r="AB25" i="7"/>
  <c r="AA25" i="7"/>
  <c r="Z25" i="7"/>
  <c r="Y25" i="7"/>
  <c r="X25" i="7"/>
  <c r="W25" i="7"/>
  <c r="V25" i="7"/>
  <c r="U25" i="7"/>
  <c r="T25" i="7"/>
  <c r="S25" i="7"/>
  <c r="R25" i="7"/>
  <c r="J25" i="7"/>
  <c r="I25" i="7"/>
  <c r="H25" i="7"/>
  <c r="G25" i="7"/>
  <c r="F25" i="7"/>
  <c r="E25" i="7"/>
  <c r="D25" i="7"/>
  <c r="C25"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J22" i="7"/>
  <c r="I22" i="7"/>
  <c r="H22" i="7"/>
  <c r="G22" i="7"/>
  <c r="F22" i="7"/>
  <c r="E22" i="7"/>
  <c r="D22"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J21" i="7"/>
  <c r="I21" i="7"/>
  <c r="H21" i="7"/>
  <c r="G21" i="7"/>
  <c r="F21" i="7"/>
  <c r="E21" i="7"/>
  <c r="D21" i="7"/>
  <c r="C21"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J20" i="7"/>
  <c r="I20" i="7"/>
  <c r="H20" i="7"/>
  <c r="G20" i="7"/>
  <c r="F20" i="7"/>
  <c r="E20" i="7"/>
  <c r="D20" i="7"/>
  <c r="C20"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J19" i="7"/>
  <c r="I19" i="7"/>
  <c r="H19" i="7"/>
  <c r="G19" i="7"/>
  <c r="F19" i="7"/>
  <c r="E19" i="7"/>
  <c r="D19" i="7"/>
  <c r="C19"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J18" i="7"/>
  <c r="I18" i="7"/>
  <c r="H18" i="7"/>
  <c r="G18" i="7"/>
  <c r="F18" i="7"/>
  <c r="E18" i="7"/>
  <c r="D18" i="7"/>
  <c r="C18" i="7"/>
  <c r="BD17" i="7"/>
  <c r="BC17" i="7"/>
  <c r="BB17" i="7"/>
  <c r="BA17" i="7"/>
  <c r="AZ17" i="7"/>
  <c r="AY17" i="7"/>
  <c r="AX17" i="7"/>
  <c r="AW17" i="7"/>
  <c r="AV17" i="7"/>
  <c r="AU17" i="7"/>
  <c r="AT17" i="7"/>
  <c r="AS17" i="7"/>
  <c r="AR17" i="7"/>
  <c r="AQ17" i="7"/>
  <c r="AP17" i="7"/>
  <c r="AO17" i="7"/>
  <c r="AN17" i="7"/>
  <c r="AM17" i="7"/>
  <c r="AL17" i="7"/>
  <c r="AK17" i="7"/>
  <c r="AJ17" i="7"/>
  <c r="AI17" i="7"/>
  <c r="AH17" i="7"/>
  <c r="AG17" i="7"/>
  <c r="AF17" i="7"/>
  <c r="AE17" i="7"/>
  <c r="AD17" i="7"/>
  <c r="AC17" i="7"/>
  <c r="AB17" i="7"/>
  <c r="AA17" i="7"/>
  <c r="Z17" i="7"/>
  <c r="Y17" i="7"/>
  <c r="X17" i="7"/>
  <c r="W17" i="7"/>
  <c r="V17" i="7"/>
  <c r="U17" i="7"/>
  <c r="T17" i="7"/>
  <c r="S17" i="7"/>
  <c r="R17" i="7"/>
  <c r="J17" i="7"/>
  <c r="I17" i="7"/>
  <c r="H17" i="7"/>
  <c r="G17" i="7"/>
  <c r="F17" i="7"/>
  <c r="E17" i="7"/>
  <c r="D17" i="7"/>
  <c r="C17" i="7"/>
  <c r="BD15" i="7"/>
  <c r="BC15" i="7"/>
  <c r="BB15" i="7"/>
  <c r="BA15" i="7"/>
  <c r="AZ15" i="7"/>
  <c r="AY15" i="7"/>
  <c r="AX15" i="7"/>
  <c r="AW15" i="7"/>
  <c r="AV15" i="7"/>
  <c r="AU15" i="7"/>
  <c r="AT15" i="7"/>
  <c r="AS15" i="7"/>
  <c r="AR15" i="7"/>
  <c r="AQ15" i="7"/>
  <c r="AP15" i="7"/>
  <c r="AO15" i="7"/>
  <c r="AN15" i="7"/>
  <c r="AM15" i="7"/>
  <c r="AL15" i="7"/>
  <c r="AK15" i="7"/>
  <c r="AJ15" i="7"/>
  <c r="AI15" i="7"/>
  <c r="AH15" i="7"/>
  <c r="AG15" i="7"/>
  <c r="AF15" i="7"/>
  <c r="AE15" i="7"/>
  <c r="AD15" i="7"/>
  <c r="AC15" i="7"/>
  <c r="AB15" i="7"/>
  <c r="AA15" i="7"/>
  <c r="Z15" i="7"/>
  <c r="Y15" i="7"/>
  <c r="X15" i="7"/>
  <c r="W15" i="7"/>
  <c r="V15" i="7"/>
  <c r="U15" i="7"/>
  <c r="T15" i="7"/>
  <c r="S15" i="7"/>
  <c r="R15" i="7"/>
  <c r="J15" i="7"/>
  <c r="I15" i="7"/>
  <c r="H15" i="7"/>
  <c r="G15" i="7"/>
  <c r="F15" i="7"/>
  <c r="E15" i="7"/>
  <c r="D15" i="7"/>
  <c r="C15" i="7"/>
  <c r="BD14" i="7"/>
  <c r="BC14" i="7"/>
  <c r="BB14" i="7"/>
  <c r="BA14" i="7"/>
  <c r="AZ14" i="7"/>
  <c r="AY14" i="7"/>
  <c r="AX14" i="7"/>
  <c r="AW14" i="7"/>
  <c r="AV14" i="7"/>
  <c r="AU14" i="7"/>
  <c r="AT14" i="7"/>
  <c r="AS14" i="7"/>
  <c r="AR14" i="7"/>
  <c r="AQ14" i="7"/>
  <c r="AP14" i="7"/>
  <c r="AO14" i="7"/>
  <c r="AN14" i="7"/>
  <c r="AM14" i="7"/>
  <c r="AL14" i="7"/>
  <c r="AK14" i="7"/>
  <c r="AJ14" i="7"/>
  <c r="AI14" i="7"/>
  <c r="AH14" i="7"/>
  <c r="AG14" i="7"/>
  <c r="AF14" i="7"/>
  <c r="AE14" i="7"/>
  <c r="AD14" i="7"/>
  <c r="AC14" i="7"/>
  <c r="AB14" i="7"/>
  <c r="AA14" i="7"/>
  <c r="Z14" i="7"/>
  <c r="Y14" i="7"/>
  <c r="X14" i="7"/>
  <c r="W14" i="7"/>
  <c r="V14" i="7"/>
  <c r="U14" i="7"/>
  <c r="T14" i="7"/>
  <c r="S14" i="7"/>
  <c r="R14" i="7"/>
  <c r="J14" i="7"/>
  <c r="I14" i="7"/>
  <c r="H14" i="7"/>
  <c r="G14" i="7"/>
  <c r="F14" i="7"/>
  <c r="E14" i="7"/>
  <c r="D14" i="7"/>
  <c r="C14" i="7"/>
  <c r="BD13" i="7"/>
  <c r="BC13" i="7"/>
  <c r="BB13" i="7"/>
  <c r="BA13" i="7"/>
  <c r="AZ13" i="7"/>
  <c r="AY13" i="7"/>
  <c r="AX13" i="7"/>
  <c r="AW13" i="7"/>
  <c r="AV13" i="7"/>
  <c r="AU13" i="7"/>
  <c r="AT13" i="7"/>
  <c r="AS13" i="7"/>
  <c r="AR13" i="7"/>
  <c r="AQ13" i="7"/>
  <c r="AP13" i="7"/>
  <c r="AO13" i="7"/>
  <c r="AN13" i="7"/>
  <c r="AM13" i="7"/>
  <c r="AL13" i="7"/>
  <c r="AK13" i="7"/>
  <c r="AJ13" i="7"/>
  <c r="AI13" i="7"/>
  <c r="AH13" i="7"/>
  <c r="AG13" i="7"/>
  <c r="AF13" i="7"/>
  <c r="AE13" i="7"/>
  <c r="AD13" i="7"/>
  <c r="AC13" i="7"/>
  <c r="AB13" i="7"/>
  <c r="AA13" i="7"/>
  <c r="Z13" i="7"/>
  <c r="Y13" i="7"/>
  <c r="X13" i="7"/>
  <c r="W13" i="7"/>
  <c r="V13" i="7"/>
  <c r="U13" i="7"/>
  <c r="T13" i="7"/>
  <c r="S13" i="7"/>
  <c r="R13" i="7"/>
  <c r="J13" i="7"/>
  <c r="I13" i="7"/>
  <c r="H13" i="7"/>
  <c r="G13" i="7"/>
  <c r="F13" i="7"/>
  <c r="E13" i="7"/>
  <c r="D13" i="7"/>
  <c r="C13" i="7"/>
  <c r="BD12" i="7"/>
  <c r="BC12" i="7"/>
  <c r="BB12" i="7"/>
  <c r="BA12" i="7"/>
  <c r="AZ12" i="7"/>
  <c r="AY12" i="7"/>
  <c r="AX12" i="7"/>
  <c r="AW12" i="7"/>
  <c r="AV12" i="7"/>
  <c r="AU12" i="7"/>
  <c r="AT12" i="7"/>
  <c r="AS12" i="7"/>
  <c r="AR12" i="7"/>
  <c r="AQ12" i="7"/>
  <c r="AP12" i="7"/>
  <c r="AO12" i="7"/>
  <c r="AN12" i="7"/>
  <c r="AM12" i="7"/>
  <c r="AL12" i="7"/>
  <c r="AK12" i="7"/>
  <c r="AJ12" i="7"/>
  <c r="AI12" i="7"/>
  <c r="AH12" i="7"/>
  <c r="AG12" i="7"/>
  <c r="AF12" i="7"/>
  <c r="AE12" i="7"/>
  <c r="AD12" i="7"/>
  <c r="AC12" i="7"/>
  <c r="AB12" i="7"/>
  <c r="AA12" i="7"/>
  <c r="Z12" i="7"/>
  <c r="Y12" i="7"/>
  <c r="X12" i="7"/>
  <c r="W12" i="7"/>
  <c r="V12" i="7"/>
  <c r="U12" i="7"/>
  <c r="T12" i="7"/>
  <c r="S12" i="7"/>
  <c r="R12" i="7"/>
  <c r="J12" i="7"/>
  <c r="I12" i="7"/>
  <c r="H12" i="7"/>
  <c r="G12" i="7"/>
  <c r="F12" i="7"/>
  <c r="E12" i="7"/>
  <c r="D12" i="7"/>
  <c r="C12" i="7"/>
  <c r="BD11" i="7"/>
  <c r="BC11" i="7"/>
  <c r="BB11" i="7"/>
  <c r="BA11" i="7"/>
  <c r="AZ11" i="7"/>
  <c r="AY11" i="7"/>
  <c r="AX11" i="7"/>
  <c r="AW11" i="7"/>
  <c r="AV11" i="7"/>
  <c r="AU11" i="7"/>
  <c r="AT11" i="7"/>
  <c r="AS11" i="7"/>
  <c r="AR11" i="7"/>
  <c r="AQ11" i="7"/>
  <c r="AP11" i="7"/>
  <c r="AO11" i="7"/>
  <c r="AN11" i="7"/>
  <c r="AM11" i="7"/>
  <c r="AL11" i="7"/>
  <c r="AK11" i="7"/>
  <c r="AJ11" i="7"/>
  <c r="AI11" i="7"/>
  <c r="AH11" i="7"/>
  <c r="AG11" i="7"/>
  <c r="AF11" i="7"/>
  <c r="AE11" i="7"/>
  <c r="AD11" i="7"/>
  <c r="AC11" i="7"/>
  <c r="AB11" i="7"/>
  <c r="AA11" i="7"/>
  <c r="Z11" i="7"/>
  <c r="Y11" i="7"/>
  <c r="X11" i="7"/>
  <c r="W11" i="7"/>
  <c r="V11" i="7"/>
  <c r="U11" i="7"/>
  <c r="T11" i="7"/>
  <c r="S11" i="7"/>
  <c r="R11" i="7"/>
  <c r="J11" i="7"/>
  <c r="I11" i="7"/>
  <c r="H11" i="7"/>
  <c r="G11" i="7"/>
  <c r="F11" i="7"/>
  <c r="E11" i="7"/>
  <c r="D11" i="7"/>
  <c r="C11" i="7"/>
  <c r="BZ10" i="7"/>
  <c r="BY10" i="7"/>
  <c r="BX10" i="7"/>
  <c r="BW10" i="7"/>
  <c r="BV10" i="7"/>
  <c r="BU10" i="7"/>
  <c r="BT10" i="7"/>
  <c r="BS10" i="7"/>
  <c r="BR10" i="7"/>
  <c r="BQ10" i="7"/>
  <c r="BP10" i="7"/>
  <c r="BO10" i="7"/>
  <c r="BN10" i="7"/>
  <c r="BM10" i="7"/>
  <c r="BL10" i="7"/>
  <c r="BK10" i="7"/>
  <c r="BJ10" i="7"/>
  <c r="BI10" i="7"/>
  <c r="BH10" i="7"/>
  <c r="BG10" i="7"/>
  <c r="BF10" i="7"/>
  <c r="BE10" i="7"/>
  <c r="BD10" i="7"/>
  <c r="BC10" i="7"/>
  <c r="BB10" i="7"/>
  <c r="BA10" i="7"/>
  <c r="AZ10" i="7"/>
  <c r="AY10" i="7"/>
  <c r="AX10" i="7"/>
  <c r="AW10" i="7"/>
  <c r="AV10" i="7"/>
  <c r="AU10" i="7"/>
  <c r="AT10" i="7"/>
  <c r="AS10" i="7"/>
  <c r="AR10" i="7"/>
  <c r="AQ10" i="7"/>
  <c r="AP10" i="7"/>
  <c r="AO10" i="7"/>
  <c r="AN10" i="7"/>
  <c r="AM10" i="7"/>
  <c r="AL10" i="7"/>
  <c r="AK10" i="7"/>
  <c r="AJ10" i="7"/>
  <c r="AI10" i="7"/>
  <c r="AH10" i="7"/>
  <c r="AG10" i="7"/>
  <c r="AF10" i="7"/>
  <c r="AE10" i="7"/>
  <c r="AD10" i="7"/>
  <c r="AC10" i="7"/>
  <c r="AB10" i="7"/>
  <c r="AA10" i="7"/>
  <c r="Z10" i="7"/>
  <c r="Y10" i="7"/>
  <c r="X10" i="7"/>
  <c r="W10" i="7"/>
  <c r="V10" i="7"/>
  <c r="U10" i="7"/>
  <c r="T10" i="7"/>
  <c r="S10" i="7"/>
  <c r="R10" i="7"/>
  <c r="O10" i="7"/>
  <c r="N10" i="7"/>
  <c r="M10" i="7"/>
  <c r="L10" i="7"/>
  <c r="K10" i="7"/>
  <c r="J10" i="7"/>
  <c r="I10" i="7"/>
  <c r="H10" i="7"/>
  <c r="G10" i="7"/>
  <c r="F10" i="7"/>
  <c r="E10" i="7"/>
  <c r="D10" i="7"/>
  <c r="C10" i="7"/>
  <c r="BZ7" i="7"/>
  <c r="BY7" i="7"/>
  <c r="BX7" i="7"/>
  <c r="BW7" i="7"/>
  <c r="BV7" i="7"/>
  <c r="BU7" i="7"/>
  <c r="BT7" i="7"/>
  <c r="BS7" i="7"/>
  <c r="BR7" i="7"/>
  <c r="BQ7" i="7"/>
  <c r="BP7" i="7"/>
  <c r="BO7" i="7"/>
  <c r="BN7" i="7"/>
  <c r="BM7" i="7"/>
  <c r="BL7" i="7"/>
  <c r="BK7" i="7"/>
  <c r="BJ7" i="7"/>
  <c r="BI7" i="7"/>
  <c r="BH7" i="7"/>
  <c r="BG7" i="7"/>
  <c r="BF7" i="7"/>
  <c r="BE7" i="7"/>
  <c r="BD7" i="7"/>
  <c r="BC7" i="7"/>
  <c r="BB7" i="7"/>
  <c r="BA7" i="7"/>
  <c r="AZ7" i="7"/>
  <c r="AY7" i="7"/>
  <c r="AX7" i="7"/>
  <c r="AW7" i="7"/>
  <c r="AV7" i="7"/>
  <c r="AU7" i="7"/>
  <c r="AT7" i="7"/>
  <c r="AS7" i="7"/>
  <c r="AR7" i="7"/>
  <c r="AQ7" i="7"/>
  <c r="AP7" i="7"/>
  <c r="AO7" i="7"/>
  <c r="AN7" i="7"/>
  <c r="AM7" i="7"/>
  <c r="AL7" i="7"/>
  <c r="AK7" i="7"/>
  <c r="AJ7" i="7"/>
  <c r="AI7" i="7"/>
  <c r="AH7" i="7"/>
  <c r="AG7" i="7"/>
  <c r="AF7" i="7"/>
  <c r="AE7" i="7"/>
  <c r="AD7" i="7"/>
  <c r="AC7" i="7"/>
  <c r="AB7" i="7"/>
  <c r="AA7" i="7"/>
  <c r="Z7" i="7"/>
  <c r="Y7" i="7"/>
  <c r="X7" i="7"/>
  <c r="W7" i="7"/>
  <c r="V7" i="7"/>
  <c r="U7" i="7"/>
  <c r="T7" i="7"/>
  <c r="S7" i="7"/>
  <c r="O7" i="7"/>
  <c r="N7" i="7"/>
  <c r="M7" i="7"/>
  <c r="L7" i="7"/>
  <c r="K7" i="7"/>
  <c r="J7" i="7"/>
  <c r="I7" i="7"/>
  <c r="H7" i="7"/>
  <c r="G7" i="7"/>
  <c r="F7" i="7"/>
  <c r="E7" i="7"/>
  <c r="D7" i="7"/>
  <c r="BV5" i="7"/>
  <c r="BQ5" i="7"/>
  <c r="BL5" i="7"/>
  <c r="BG5" i="7"/>
  <c r="BB5" i="7"/>
  <c r="AW5" i="7"/>
  <c r="AR5" i="7"/>
  <c r="AM5" i="7"/>
  <c r="AH5" i="7"/>
  <c r="AC5" i="7"/>
  <c r="X5" i="7"/>
  <c r="S5" i="7"/>
  <c r="O5" i="7"/>
  <c r="N5" i="7"/>
  <c r="N5" i="7" a="1"/>
  <c r="H5" i="7"/>
  <c r="C5" i="7"/>
  <c r="BY4" i="7"/>
  <c r="BX4" i="7"/>
  <c r="R4" i="7"/>
  <c r="N4" i="7"/>
  <c r="N4" i="7" a="1"/>
  <c r="C4" i="7"/>
  <c r="BX3" i="7"/>
  <c r="BR3" i="7"/>
  <c r="R3" i="7"/>
  <c r="N3" i="7"/>
  <c r="C3" i="7"/>
  <c r="BZ102" i="14"/>
  <c r="BY102" i="14"/>
  <c r="BX102" i="14"/>
  <c r="BW102" i="14"/>
  <c r="BV102" i="14"/>
  <c r="BU102" i="14"/>
  <c r="BT102" i="14"/>
  <c r="BS102" i="14"/>
  <c r="BR102" i="14"/>
  <c r="BQ102" i="14"/>
  <c r="BP102" i="14"/>
  <c r="BO102" i="14"/>
  <c r="BN102" i="14"/>
  <c r="BM102" i="14"/>
  <c r="BL102" i="14"/>
  <c r="BK102" i="14"/>
  <c r="BJ102" i="14"/>
  <c r="BI102" i="14"/>
  <c r="BH102" i="14"/>
  <c r="BG102" i="14"/>
  <c r="BF102" i="14"/>
  <c r="BE102" i="14"/>
  <c r="BD102" i="14"/>
  <c r="BC102" i="14"/>
  <c r="BB102" i="14"/>
  <c r="BA102" i="14"/>
  <c r="AZ102" i="14"/>
  <c r="AY102" i="14"/>
  <c r="AX102" i="14"/>
  <c r="AW102" i="14"/>
  <c r="AV102" i="14"/>
  <c r="AU102" i="14"/>
  <c r="AT102" i="14"/>
  <c r="AS102" i="14"/>
  <c r="AR102" i="14"/>
  <c r="AQ102" i="14"/>
  <c r="AP102" i="14"/>
  <c r="AO102" i="14"/>
  <c r="AN102" i="14"/>
  <c r="AM102" i="14"/>
  <c r="AL102" i="14"/>
  <c r="AK102" i="14"/>
  <c r="AJ102" i="14"/>
  <c r="AI102" i="14"/>
  <c r="AH102" i="14"/>
  <c r="AG102" i="14"/>
  <c r="AF102" i="14"/>
  <c r="AE102" i="14"/>
  <c r="AD102" i="14"/>
  <c r="AC102" i="14"/>
  <c r="AB102" i="14"/>
  <c r="AA102" i="14"/>
  <c r="Z102" i="14"/>
  <c r="Y102" i="14"/>
  <c r="X102" i="14"/>
  <c r="W102" i="14"/>
  <c r="V102" i="14"/>
  <c r="U102" i="14"/>
  <c r="T102" i="14"/>
  <c r="S102" i="14"/>
  <c r="BV101" i="14"/>
  <c r="BQ101" i="14"/>
  <c r="BL101" i="14"/>
  <c r="BG101" i="14"/>
  <c r="BB101" i="14"/>
  <c r="AW101" i="14"/>
  <c r="AR101" i="14"/>
  <c r="AM101" i="14"/>
  <c r="AH101" i="14"/>
  <c r="AC101" i="14"/>
  <c r="X101" i="14"/>
  <c r="S101" i="14"/>
  <c r="O101" i="14"/>
  <c r="N101" i="14"/>
  <c r="M101" i="14"/>
  <c r="L101" i="14"/>
  <c r="K101" i="14"/>
  <c r="J101" i="14"/>
  <c r="I101" i="14"/>
  <c r="H101" i="14"/>
  <c r="G101" i="14"/>
  <c r="F101" i="14"/>
  <c r="E101" i="14"/>
  <c r="D101" i="14"/>
  <c r="R100" i="14"/>
  <c r="O100" i="14"/>
  <c r="N100" i="14"/>
  <c r="C100" i="14"/>
  <c r="R99" i="14"/>
  <c r="O99" i="14"/>
  <c r="N99" i="14"/>
  <c r="C99" i="14"/>
  <c r="R98" i="14"/>
  <c r="C98" i="14"/>
  <c r="BZ58" i="14"/>
  <c r="BY58" i="14"/>
  <c r="BX58" i="14"/>
  <c r="BW58" i="14"/>
  <c r="BV58" i="14"/>
  <c r="BU58" i="14"/>
  <c r="BT58" i="14"/>
  <c r="BS58" i="14"/>
  <c r="BR58" i="14"/>
  <c r="BQ58" i="14"/>
  <c r="BP58" i="14"/>
  <c r="BO58" i="14"/>
  <c r="BN58" i="14"/>
  <c r="BM58" i="14"/>
  <c r="BL58" i="14"/>
  <c r="BK58" i="14"/>
  <c r="BJ58" i="14"/>
  <c r="BI58" i="14"/>
  <c r="BH58" i="14"/>
  <c r="BG58" i="14"/>
  <c r="BF58" i="14"/>
  <c r="BE58" i="14"/>
  <c r="BD58"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BV57" i="14"/>
  <c r="BQ57" i="14"/>
  <c r="BL57" i="14"/>
  <c r="BG57" i="14"/>
  <c r="BB57" i="14"/>
  <c r="AW57" i="14"/>
  <c r="AR57" i="14"/>
  <c r="AM57" i="14"/>
  <c r="AH57" i="14"/>
  <c r="AC57" i="14"/>
  <c r="X57" i="14"/>
  <c r="S57" i="14"/>
  <c r="O57" i="14"/>
  <c r="N57" i="14"/>
  <c r="M57" i="14"/>
  <c r="L57" i="14"/>
  <c r="K57" i="14"/>
  <c r="J57" i="14"/>
  <c r="I57" i="14"/>
  <c r="H57" i="14"/>
  <c r="G57" i="14"/>
  <c r="F57" i="14"/>
  <c r="E57" i="14"/>
  <c r="D57" i="14"/>
  <c r="R56" i="14"/>
  <c r="O56" i="14"/>
  <c r="N56" i="14"/>
  <c r="C56" i="14"/>
  <c r="R55" i="14"/>
  <c r="O55" i="14"/>
  <c r="N55" i="14"/>
  <c r="C55" i="14"/>
  <c r="R54" i="14"/>
  <c r="C54" i="14"/>
  <c r="BZ7" i="14"/>
  <c r="BY7" i="14"/>
  <c r="BX7" i="14"/>
  <c r="BW7" i="14"/>
  <c r="BV7" i="14"/>
  <c r="BU7" i="14"/>
  <c r="BT7" i="14"/>
  <c r="BS7" i="14"/>
  <c r="BR7" i="14"/>
  <c r="BQ7" i="14"/>
  <c r="BP7" i="14"/>
  <c r="BO7" i="14"/>
  <c r="BN7" i="14"/>
  <c r="BM7" i="14"/>
  <c r="BL7" i="14"/>
  <c r="BK7" i="14"/>
  <c r="BJ7" i="14"/>
  <c r="BI7" i="14"/>
  <c r="BH7" i="14"/>
  <c r="BG7" i="14"/>
  <c r="BF7" i="14"/>
  <c r="BE7" i="14"/>
  <c r="BD7"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O7" i="14"/>
  <c r="N7" i="14"/>
  <c r="M7" i="14"/>
  <c r="L7" i="14"/>
  <c r="K7" i="14"/>
  <c r="J7" i="14"/>
  <c r="I7" i="14"/>
  <c r="H7" i="14"/>
  <c r="G7" i="14"/>
  <c r="F7" i="14"/>
  <c r="E7" i="14"/>
  <c r="D7" i="14"/>
  <c r="BV5" i="14"/>
  <c r="BQ5" i="14"/>
  <c r="BL5" i="14"/>
  <c r="BG5" i="14"/>
  <c r="BB5" i="14"/>
  <c r="AW5" i="14"/>
  <c r="AR5" i="14"/>
  <c r="AM5" i="14"/>
  <c r="AH5" i="14"/>
  <c r="AC5" i="14"/>
  <c r="X5" i="14"/>
  <c r="S5" i="14"/>
  <c r="O5" i="14"/>
  <c r="N5" i="14"/>
  <c r="N5" i="14" a="1"/>
  <c r="H5" i="14"/>
  <c r="C5" i="14"/>
  <c r="R4" i="14"/>
  <c r="N4" i="14"/>
  <c r="N4" i="14" a="1"/>
  <c r="C4" i="14"/>
  <c r="R3" i="14"/>
  <c r="C3" i="14"/>
  <c r="BY202" i="6"/>
  <c r="BX202" i="6"/>
  <c r="BW202" i="6"/>
  <c r="BV202" i="6"/>
  <c r="BT202" i="6"/>
  <c r="BS202" i="6"/>
  <c r="BR202" i="6"/>
  <c r="BQ202" i="6"/>
  <c r="BO202" i="6"/>
  <c r="BN202" i="6"/>
  <c r="BM202" i="6"/>
  <c r="BL202" i="6"/>
  <c r="BJ202" i="6"/>
  <c r="BI202" i="6"/>
  <c r="BH202" i="6"/>
  <c r="BG202" i="6"/>
  <c r="R202" i="6"/>
  <c r="C202" i="6"/>
  <c r="BJ201" i="6"/>
  <c r="BI201" i="6"/>
  <c r="BH201" i="6"/>
  <c r="BG201" i="6"/>
  <c r="R201" i="6"/>
  <c r="C201" i="6"/>
  <c r="BY200" i="6"/>
  <c r="BX200" i="6"/>
  <c r="BW200" i="6"/>
  <c r="BV200" i="6"/>
  <c r="BT200" i="6"/>
  <c r="BS200" i="6"/>
  <c r="BR200" i="6"/>
  <c r="BQ200" i="6"/>
  <c r="BO200" i="6"/>
  <c r="BN200" i="6"/>
  <c r="BM200" i="6"/>
  <c r="BL200" i="6"/>
  <c r="BJ200" i="6"/>
  <c r="BI200" i="6"/>
  <c r="BH200" i="6"/>
  <c r="BG200" i="6"/>
  <c r="BE200" i="6"/>
  <c r="R200" i="6"/>
  <c r="C200" i="6"/>
  <c r="BY199" i="6"/>
  <c r="BT199" i="6"/>
  <c r="BO199" i="6"/>
  <c r="R199" i="6"/>
  <c r="C199" i="6"/>
  <c r="BY197" i="6"/>
  <c r="BX197" i="6"/>
  <c r="BW197" i="6"/>
  <c r="BV197" i="6"/>
  <c r="BT197" i="6"/>
  <c r="BS197" i="6"/>
  <c r="BR197" i="6"/>
  <c r="BQ197" i="6"/>
  <c r="R197" i="6"/>
  <c r="C197" i="6"/>
  <c r="BY196" i="6"/>
  <c r="BX196" i="6"/>
  <c r="BW196" i="6"/>
  <c r="BV196" i="6"/>
  <c r="BT196" i="6"/>
  <c r="BS196" i="6"/>
  <c r="BR196" i="6"/>
  <c r="BQ196" i="6"/>
  <c r="BO196" i="6"/>
  <c r="BN196" i="6"/>
  <c r="BM196" i="6"/>
  <c r="BL196" i="6"/>
  <c r="R196" i="6"/>
  <c r="C196" i="6"/>
  <c r="BV195" i="6"/>
  <c r="BT195" i="6"/>
  <c r="BS195" i="6"/>
  <c r="BR195" i="6"/>
  <c r="BQ195" i="6"/>
  <c r="BO195" i="6"/>
  <c r="BN195" i="6"/>
  <c r="BM195" i="6"/>
  <c r="BL195" i="6"/>
  <c r="BJ195" i="6"/>
  <c r="BI195" i="6"/>
  <c r="BH195" i="6"/>
  <c r="BG195" i="6"/>
  <c r="R195" i="6"/>
  <c r="C195" i="6"/>
  <c r="BY194" i="6"/>
  <c r="BX194" i="6"/>
  <c r="BW194" i="6"/>
  <c r="BV194" i="6"/>
  <c r="BT194" i="6"/>
  <c r="BO194" i="6"/>
  <c r="BN194" i="6"/>
  <c r="BM194" i="6"/>
  <c r="BL194" i="6"/>
  <c r="R194" i="6"/>
  <c r="C194" i="6"/>
  <c r="R192" i="6"/>
  <c r="C192" i="6"/>
  <c r="R191" i="6"/>
  <c r="C191" i="6"/>
  <c r="BE190" i="6"/>
  <c r="R190" i="6"/>
  <c r="C190" i="6"/>
  <c r="R189" i="6"/>
  <c r="C189" i="6"/>
  <c r="BO187" i="6"/>
  <c r="BN187" i="6"/>
  <c r="BM187" i="6"/>
  <c r="BL187" i="6"/>
  <c r="BJ187" i="6"/>
  <c r="BI187" i="6"/>
  <c r="BH187" i="6"/>
  <c r="BG187" i="6"/>
  <c r="R187" i="6"/>
  <c r="C187" i="6"/>
  <c r="R186" i="6"/>
  <c r="C186" i="6"/>
  <c r="BY185" i="6"/>
  <c r="BX185" i="6"/>
  <c r="BW185" i="6"/>
  <c r="BV185" i="6"/>
  <c r="BT185" i="6"/>
  <c r="BS185" i="6"/>
  <c r="BR185" i="6"/>
  <c r="BQ185" i="6"/>
  <c r="BO185" i="6"/>
  <c r="BN185" i="6"/>
  <c r="BM185" i="6"/>
  <c r="BL185" i="6"/>
  <c r="R185" i="6"/>
  <c r="C185" i="6"/>
  <c r="BT184" i="6"/>
  <c r="BS184" i="6"/>
  <c r="BR184" i="6"/>
  <c r="BQ184" i="6"/>
  <c r="BO184" i="6"/>
  <c r="BN184" i="6"/>
  <c r="BM184" i="6"/>
  <c r="BL184" i="6"/>
  <c r="BJ184" i="6"/>
  <c r="BI184" i="6"/>
  <c r="BH184" i="6"/>
  <c r="BG184" i="6"/>
  <c r="R184" i="6"/>
  <c r="C184" i="6"/>
  <c r="BZ183" i="6"/>
  <c r="BY183" i="6"/>
  <c r="BX183" i="6"/>
  <c r="BW183" i="6"/>
  <c r="BV183" i="6"/>
  <c r="BU183" i="6"/>
  <c r="BT183" i="6"/>
  <c r="BS183" i="6"/>
  <c r="BR183" i="6"/>
  <c r="BQ183" i="6"/>
  <c r="BP183" i="6"/>
  <c r="BO183" i="6"/>
  <c r="BN183" i="6"/>
  <c r="BM183" i="6"/>
  <c r="BL183" i="6"/>
  <c r="BK183" i="6"/>
  <c r="BJ183" i="6"/>
  <c r="BI183" i="6"/>
  <c r="BH183" i="6"/>
  <c r="BG183" i="6"/>
  <c r="BF183" i="6"/>
  <c r="BE183" i="6"/>
  <c r="BD183" i="6"/>
  <c r="BC183" i="6"/>
  <c r="BB183" i="6"/>
  <c r="BA183" i="6"/>
  <c r="AZ183" i="6"/>
  <c r="AY183" i="6"/>
  <c r="AX183" i="6"/>
  <c r="AW183" i="6"/>
  <c r="O183" i="6"/>
  <c r="N183" i="6"/>
  <c r="M183" i="6"/>
  <c r="L183" i="6"/>
  <c r="K183" i="6"/>
  <c r="J183" i="6"/>
  <c r="I183" i="6"/>
  <c r="H183" i="6"/>
  <c r="G183" i="6"/>
  <c r="BV182" i="6"/>
  <c r="BQ182" i="6"/>
  <c r="BL182" i="6"/>
  <c r="BG182" i="6"/>
  <c r="BB182" i="6"/>
  <c r="AW182" i="6"/>
  <c r="C181" i="6"/>
  <c r="C180" i="6"/>
  <c r="C179" i="6"/>
  <c r="C178" i="6"/>
  <c r="O177" i="6"/>
  <c r="N177" i="6"/>
  <c r="M177" i="6"/>
  <c r="L177" i="6"/>
  <c r="K177" i="6"/>
  <c r="J177" i="6"/>
  <c r="I177" i="6"/>
  <c r="H177" i="6"/>
  <c r="G177" i="6"/>
  <c r="C176" i="6"/>
  <c r="C175" i="6"/>
  <c r="C174" i="6"/>
  <c r="O173" i="6"/>
  <c r="N173" i="6"/>
  <c r="M173" i="6"/>
  <c r="C173" i="6"/>
  <c r="O172" i="6"/>
  <c r="N172" i="6"/>
  <c r="M172" i="6"/>
  <c r="L172" i="6"/>
  <c r="K172" i="6"/>
  <c r="J172" i="6"/>
  <c r="I172" i="6"/>
  <c r="H172" i="6"/>
  <c r="G172" i="6"/>
  <c r="C171" i="6"/>
  <c r="C170" i="6"/>
  <c r="K169" i="6"/>
  <c r="C169" i="6"/>
  <c r="BD168" i="6"/>
  <c r="C168" i="6"/>
  <c r="BD167" i="6"/>
  <c r="O167" i="6"/>
  <c r="N167" i="6"/>
  <c r="M167" i="6"/>
  <c r="L167" i="6"/>
  <c r="K167" i="6"/>
  <c r="J167" i="6"/>
  <c r="I167" i="6"/>
  <c r="H167" i="6"/>
  <c r="G167" i="6"/>
  <c r="BD166" i="6"/>
  <c r="BY164" i="6"/>
  <c r="BX164" i="6"/>
  <c r="BW164" i="6"/>
  <c r="BV164" i="6"/>
  <c r="BT164" i="6"/>
  <c r="BS164" i="6"/>
  <c r="BR164" i="6"/>
  <c r="BQ164" i="6"/>
  <c r="BO164" i="6"/>
  <c r="BN164" i="6"/>
  <c r="BM164" i="6"/>
  <c r="BL164" i="6"/>
  <c r="BJ164" i="6"/>
  <c r="BI164" i="6"/>
  <c r="BH164" i="6"/>
  <c r="BG164" i="6"/>
  <c r="BE164" i="6"/>
  <c r="BD164" i="6"/>
  <c r="BC164" i="6"/>
  <c r="BB164" i="6"/>
  <c r="BA164" i="6"/>
  <c r="AZ164" i="6"/>
  <c r="AY164" i="6"/>
  <c r="AX164" i="6"/>
  <c r="AW164" i="6"/>
  <c r="AV164" i="6"/>
  <c r="AU164" i="6"/>
  <c r="AT164" i="6"/>
  <c r="AS164" i="6"/>
  <c r="AR164" i="6"/>
  <c r="AQ164" i="6"/>
  <c r="AP164" i="6"/>
  <c r="AO164" i="6"/>
  <c r="AN164" i="6"/>
  <c r="AM164" i="6"/>
  <c r="AL164" i="6"/>
  <c r="AK164" i="6"/>
  <c r="AJ164" i="6"/>
  <c r="AI164" i="6"/>
  <c r="AH164" i="6"/>
  <c r="AG164" i="6"/>
  <c r="AF164" i="6"/>
  <c r="AE164" i="6"/>
  <c r="AD164" i="6"/>
  <c r="AC164" i="6"/>
  <c r="R164" i="6"/>
  <c r="J164" i="6"/>
  <c r="I164" i="6"/>
  <c r="H164" i="6"/>
  <c r="G164" i="6"/>
  <c r="F164" i="6"/>
  <c r="E164" i="6"/>
  <c r="C164" i="6"/>
  <c r="BZ163" i="6"/>
  <c r="BY163" i="6"/>
  <c r="BX163" i="6"/>
  <c r="BW163" i="6"/>
  <c r="BV163" i="6"/>
  <c r="BU163" i="6"/>
  <c r="BT163" i="6"/>
  <c r="BS163" i="6"/>
  <c r="BR163" i="6"/>
  <c r="BQ163" i="6"/>
  <c r="BP163" i="6"/>
  <c r="BO163" i="6"/>
  <c r="BN163" i="6"/>
  <c r="BM163" i="6"/>
  <c r="BL163" i="6"/>
  <c r="BK163" i="6"/>
  <c r="BJ163" i="6"/>
  <c r="BI163" i="6"/>
  <c r="BH163" i="6"/>
  <c r="BG163" i="6"/>
  <c r="BE163" i="6"/>
  <c r="BD163" i="6"/>
  <c r="BC163" i="6"/>
  <c r="BB163" i="6"/>
  <c r="BA163" i="6"/>
  <c r="AZ163" i="6"/>
  <c r="AY163" i="6"/>
  <c r="AX163" i="6"/>
  <c r="AW163" i="6"/>
  <c r="AV163" i="6"/>
  <c r="AU163" i="6"/>
  <c r="AT163" i="6"/>
  <c r="AS163" i="6"/>
  <c r="AR163" i="6"/>
  <c r="AQ163" i="6"/>
  <c r="AP163" i="6"/>
  <c r="AO163" i="6"/>
  <c r="AN163" i="6"/>
  <c r="AM163" i="6"/>
  <c r="AL163" i="6"/>
  <c r="AK163" i="6"/>
  <c r="AJ163" i="6"/>
  <c r="AI163" i="6"/>
  <c r="AH163" i="6"/>
  <c r="AG163" i="6"/>
  <c r="AF163" i="6"/>
  <c r="AE163" i="6"/>
  <c r="AD163" i="6"/>
  <c r="AC163" i="6"/>
  <c r="R163" i="6"/>
  <c r="J163" i="6"/>
  <c r="I163" i="6"/>
  <c r="H163" i="6"/>
  <c r="G163" i="6"/>
  <c r="F163" i="6"/>
  <c r="E163" i="6"/>
  <c r="C163" i="6"/>
  <c r="BY162" i="6"/>
  <c r="BX162" i="6"/>
  <c r="BW162" i="6"/>
  <c r="BV162" i="6"/>
  <c r="BT162" i="6"/>
  <c r="BS162" i="6"/>
  <c r="BR162" i="6"/>
  <c r="BQ162" i="6"/>
  <c r="BO162" i="6"/>
  <c r="BN162" i="6"/>
  <c r="BM162" i="6"/>
  <c r="BL162" i="6"/>
  <c r="BJ162" i="6"/>
  <c r="BI162" i="6"/>
  <c r="BH162" i="6"/>
  <c r="BG162" i="6"/>
  <c r="BD162" i="6"/>
  <c r="BC162" i="6"/>
  <c r="BB162" i="6"/>
  <c r="BA162" i="6"/>
  <c r="AZ162" i="6"/>
  <c r="AY162" i="6"/>
  <c r="AX162" i="6"/>
  <c r="AW162" i="6"/>
  <c r="AV162" i="6"/>
  <c r="AU162" i="6"/>
  <c r="AT162" i="6"/>
  <c r="AS162" i="6"/>
  <c r="AR162" i="6"/>
  <c r="AQ162" i="6"/>
  <c r="AP162" i="6"/>
  <c r="AO162" i="6"/>
  <c r="AN162" i="6"/>
  <c r="AM162" i="6"/>
  <c r="AL162" i="6"/>
  <c r="AK162" i="6"/>
  <c r="AJ162" i="6"/>
  <c r="AI162" i="6"/>
  <c r="AH162" i="6"/>
  <c r="AG162" i="6"/>
  <c r="AF162" i="6"/>
  <c r="AE162" i="6"/>
  <c r="AD162" i="6"/>
  <c r="AC162" i="6"/>
  <c r="R162" i="6"/>
  <c r="J162" i="6"/>
  <c r="I162" i="6"/>
  <c r="H162" i="6"/>
  <c r="G162" i="6"/>
  <c r="F162" i="6"/>
  <c r="E162" i="6"/>
  <c r="D162" i="6"/>
  <c r="C162" i="6"/>
  <c r="J160" i="6"/>
  <c r="I160" i="6"/>
  <c r="H160" i="6"/>
  <c r="G160" i="6"/>
  <c r="F160" i="6"/>
  <c r="E160" i="6"/>
  <c r="D160" i="6"/>
  <c r="C160" i="6"/>
  <c r="BD158" i="6"/>
  <c r="BC158" i="6"/>
  <c r="BB158" i="6"/>
  <c r="BA158" i="6"/>
  <c r="AZ158" i="6"/>
  <c r="AY158" i="6"/>
  <c r="AX158" i="6"/>
  <c r="AW158" i="6"/>
  <c r="AV158" i="6"/>
  <c r="AU158" i="6"/>
  <c r="AT158" i="6"/>
  <c r="AS158" i="6"/>
  <c r="AR158" i="6"/>
  <c r="AQ158" i="6"/>
  <c r="AP158" i="6"/>
  <c r="AO158" i="6"/>
  <c r="AN158" i="6"/>
  <c r="AM158" i="6"/>
  <c r="AL158" i="6"/>
  <c r="AK158" i="6"/>
  <c r="AJ158" i="6"/>
  <c r="AI158" i="6"/>
  <c r="AH158" i="6"/>
  <c r="AG158" i="6"/>
  <c r="AF158" i="6"/>
  <c r="AE158" i="6"/>
  <c r="AD158" i="6"/>
  <c r="AC158" i="6"/>
  <c r="AB158" i="6"/>
  <c r="AA158" i="6"/>
  <c r="Z158" i="6"/>
  <c r="Y158" i="6"/>
  <c r="X158" i="6"/>
  <c r="R158" i="6"/>
  <c r="J158" i="6"/>
  <c r="I158" i="6"/>
  <c r="H158" i="6"/>
  <c r="G158" i="6"/>
  <c r="F158" i="6"/>
  <c r="E158" i="6"/>
  <c r="C158" i="6"/>
  <c r="BF157" i="6"/>
  <c r="BD157" i="6"/>
  <c r="BC157" i="6"/>
  <c r="BB157" i="6"/>
  <c r="BA157" i="6"/>
  <c r="AZ157" i="6"/>
  <c r="AY157" i="6"/>
  <c r="AX157" i="6"/>
  <c r="AW157" i="6"/>
  <c r="AV157" i="6"/>
  <c r="AU157" i="6"/>
  <c r="AT157" i="6"/>
  <c r="AS157" i="6"/>
  <c r="AR157" i="6"/>
  <c r="AQ157" i="6"/>
  <c r="AP157" i="6"/>
  <c r="AO157" i="6"/>
  <c r="AN157" i="6"/>
  <c r="AM157" i="6"/>
  <c r="AL157" i="6"/>
  <c r="AK157" i="6"/>
  <c r="AJ157" i="6"/>
  <c r="AI157" i="6"/>
  <c r="AH157" i="6"/>
  <c r="AG157" i="6"/>
  <c r="AF157" i="6"/>
  <c r="AE157" i="6"/>
  <c r="AD157" i="6"/>
  <c r="AC157" i="6"/>
  <c r="AB157" i="6"/>
  <c r="AA157" i="6"/>
  <c r="Z157" i="6"/>
  <c r="Y157" i="6"/>
  <c r="X157" i="6"/>
  <c r="R157" i="6"/>
  <c r="K157" i="6"/>
  <c r="J157" i="6"/>
  <c r="I157" i="6"/>
  <c r="H157" i="6"/>
  <c r="G157" i="6"/>
  <c r="F157" i="6"/>
  <c r="E157" i="6"/>
  <c r="BF155" i="6"/>
  <c r="BD155" i="6"/>
  <c r="BC155" i="6"/>
  <c r="BB155" i="6"/>
  <c r="BA155" i="6"/>
  <c r="AZ155" i="6"/>
  <c r="AY155" i="6"/>
  <c r="AX155" i="6"/>
  <c r="AW155" i="6"/>
  <c r="AV155" i="6"/>
  <c r="AU155" i="6"/>
  <c r="AT155" i="6"/>
  <c r="AS155" i="6"/>
  <c r="AR155" i="6"/>
  <c r="AQ155" i="6"/>
  <c r="AP155" i="6"/>
  <c r="AO155" i="6"/>
  <c r="AN155" i="6"/>
  <c r="AM155" i="6"/>
  <c r="AL155" i="6"/>
  <c r="AK155" i="6"/>
  <c r="AJ155" i="6"/>
  <c r="AI155" i="6"/>
  <c r="AH155" i="6"/>
  <c r="AG155" i="6"/>
  <c r="AF155" i="6"/>
  <c r="AE155" i="6"/>
  <c r="AD155" i="6"/>
  <c r="AC155" i="6"/>
  <c r="AB155" i="6"/>
  <c r="AA155" i="6"/>
  <c r="Z155" i="6"/>
  <c r="Y155" i="6"/>
  <c r="X155" i="6"/>
  <c r="R155" i="6"/>
  <c r="K155" i="6"/>
  <c r="J155" i="6"/>
  <c r="I155" i="6"/>
  <c r="H155" i="6"/>
  <c r="G155" i="6"/>
  <c r="F155" i="6"/>
  <c r="E155" i="6"/>
  <c r="BF154" i="6"/>
  <c r="BD154" i="6"/>
  <c r="BC154" i="6"/>
  <c r="BB154" i="6"/>
  <c r="BA154" i="6"/>
  <c r="AZ154" i="6"/>
  <c r="AY154" i="6"/>
  <c r="AX154" i="6"/>
  <c r="AW154" i="6"/>
  <c r="AV154" i="6"/>
  <c r="AU154" i="6"/>
  <c r="AT154" i="6"/>
  <c r="AS154" i="6"/>
  <c r="AR154" i="6"/>
  <c r="AQ154" i="6"/>
  <c r="AP154" i="6"/>
  <c r="AO154" i="6"/>
  <c r="AN154" i="6"/>
  <c r="AM154" i="6"/>
  <c r="AL154" i="6"/>
  <c r="AK154" i="6"/>
  <c r="AJ154" i="6"/>
  <c r="AI154" i="6"/>
  <c r="AH154" i="6"/>
  <c r="AG154" i="6"/>
  <c r="AF154" i="6"/>
  <c r="AE154" i="6"/>
  <c r="AD154" i="6"/>
  <c r="AC154" i="6"/>
  <c r="AB154" i="6"/>
  <c r="AA154" i="6"/>
  <c r="Z154" i="6"/>
  <c r="Y154" i="6"/>
  <c r="X154" i="6"/>
  <c r="R154" i="6"/>
  <c r="K154" i="6"/>
  <c r="J154" i="6"/>
  <c r="I154" i="6"/>
  <c r="H154" i="6"/>
  <c r="G154" i="6"/>
  <c r="F154" i="6"/>
  <c r="E154" i="6"/>
  <c r="BF153" i="6"/>
  <c r="BD153" i="6"/>
  <c r="BC153" i="6"/>
  <c r="BB153" i="6"/>
  <c r="BA153" i="6"/>
  <c r="AZ153" i="6"/>
  <c r="AY153" i="6"/>
  <c r="AX153" i="6"/>
  <c r="AW153" i="6"/>
  <c r="AV153" i="6"/>
  <c r="AU153" i="6"/>
  <c r="AT153" i="6"/>
  <c r="AS153" i="6"/>
  <c r="AR153" i="6"/>
  <c r="AQ153" i="6"/>
  <c r="AP153" i="6"/>
  <c r="AO153" i="6"/>
  <c r="AN153" i="6"/>
  <c r="AM153" i="6"/>
  <c r="AL153" i="6"/>
  <c r="AK153" i="6"/>
  <c r="AJ153" i="6"/>
  <c r="AI153" i="6"/>
  <c r="AH153" i="6"/>
  <c r="AG153" i="6"/>
  <c r="AF153" i="6"/>
  <c r="AE153" i="6"/>
  <c r="AD153" i="6"/>
  <c r="AC153" i="6"/>
  <c r="AB153" i="6"/>
  <c r="AA153" i="6"/>
  <c r="Z153" i="6"/>
  <c r="Y153" i="6"/>
  <c r="X153" i="6"/>
  <c r="R153" i="6"/>
  <c r="K153" i="6"/>
  <c r="J153" i="6"/>
  <c r="I153" i="6"/>
  <c r="H153" i="6"/>
  <c r="G153" i="6"/>
  <c r="F153" i="6"/>
  <c r="E153" i="6"/>
  <c r="BF151" i="6"/>
  <c r="BE151" i="6"/>
  <c r="BD151" i="6"/>
  <c r="BC151" i="6"/>
  <c r="BB151" i="6"/>
  <c r="BA151" i="6"/>
  <c r="AZ151" i="6"/>
  <c r="AY151" i="6"/>
  <c r="AX151" i="6"/>
  <c r="AW151" i="6"/>
  <c r="AV151" i="6"/>
  <c r="AU151" i="6"/>
  <c r="AT151" i="6"/>
  <c r="AS151" i="6"/>
  <c r="AR151" i="6"/>
  <c r="AQ151" i="6"/>
  <c r="AP151" i="6"/>
  <c r="AO151" i="6"/>
  <c r="AN151" i="6"/>
  <c r="AM151" i="6"/>
  <c r="AL151" i="6"/>
  <c r="AK151" i="6"/>
  <c r="AJ151" i="6"/>
  <c r="AI151" i="6"/>
  <c r="AH151" i="6"/>
  <c r="AG151" i="6"/>
  <c r="AF151" i="6"/>
  <c r="AE151" i="6"/>
  <c r="AD151" i="6"/>
  <c r="AC151" i="6"/>
  <c r="AB151" i="6"/>
  <c r="AA151" i="6"/>
  <c r="Z151" i="6"/>
  <c r="Y151" i="6"/>
  <c r="X151" i="6"/>
  <c r="W151" i="6"/>
  <c r="R151" i="6"/>
  <c r="K151" i="6"/>
  <c r="J151" i="6"/>
  <c r="I151" i="6"/>
  <c r="H151" i="6"/>
  <c r="G151" i="6"/>
  <c r="F151" i="6"/>
  <c r="E151" i="6"/>
  <c r="BF150" i="6"/>
  <c r="BE150" i="6"/>
  <c r="BD150" i="6"/>
  <c r="BC150" i="6"/>
  <c r="BB150" i="6"/>
  <c r="BA150" i="6"/>
  <c r="AZ150" i="6"/>
  <c r="AY150" i="6"/>
  <c r="AX150" i="6"/>
  <c r="AW150" i="6"/>
  <c r="AV150" i="6"/>
  <c r="AU150" i="6"/>
  <c r="AT150" i="6"/>
  <c r="AS150" i="6"/>
  <c r="AR150" i="6"/>
  <c r="AQ150" i="6"/>
  <c r="AP150" i="6"/>
  <c r="AO150" i="6"/>
  <c r="AN150" i="6"/>
  <c r="AM150" i="6"/>
  <c r="AL150" i="6"/>
  <c r="AK150" i="6"/>
  <c r="AJ150" i="6"/>
  <c r="AI150" i="6"/>
  <c r="AH150" i="6"/>
  <c r="AG150" i="6"/>
  <c r="AF150" i="6"/>
  <c r="AE150" i="6"/>
  <c r="AD150" i="6"/>
  <c r="AC150" i="6"/>
  <c r="AB150" i="6"/>
  <c r="AA150" i="6"/>
  <c r="Z150" i="6"/>
  <c r="Y150" i="6"/>
  <c r="X150" i="6"/>
  <c r="W150" i="6"/>
  <c r="V150" i="6"/>
  <c r="U150" i="6"/>
  <c r="T150" i="6"/>
  <c r="R150" i="6"/>
  <c r="K150" i="6"/>
  <c r="J150" i="6"/>
  <c r="I150" i="6"/>
  <c r="H150" i="6"/>
  <c r="G150" i="6"/>
  <c r="F150" i="6"/>
  <c r="E150" i="6"/>
  <c r="BF149" i="6"/>
  <c r="BE149" i="6"/>
  <c r="BD149" i="6"/>
  <c r="BC149" i="6"/>
  <c r="BB149" i="6"/>
  <c r="BA149" i="6"/>
  <c r="AZ149" i="6"/>
  <c r="AY149" i="6"/>
  <c r="AX149" i="6"/>
  <c r="AW149" i="6"/>
  <c r="AV149" i="6"/>
  <c r="AU149" i="6"/>
  <c r="AT149" i="6"/>
  <c r="AS149" i="6"/>
  <c r="AR149" i="6"/>
  <c r="AQ149" i="6"/>
  <c r="AP149" i="6"/>
  <c r="AO149" i="6"/>
  <c r="AN149" i="6"/>
  <c r="AM149" i="6"/>
  <c r="AL149" i="6"/>
  <c r="AK149" i="6"/>
  <c r="AJ149" i="6"/>
  <c r="AI149" i="6"/>
  <c r="AH149" i="6"/>
  <c r="AG149" i="6"/>
  <c r="AF149" i="6"/>
  <c r="AE149" i="6"/>
  <c r="AD149" i="6"/>
  <c r="AC149" i="6"/>
  <c r="AB149" i="6"/>
  <c r="AA149" i="6"/>
  <c r="Z149" i="6"/>
  <c r="Y149" i="6"/>
  <c r="X149" i="6"/>
  <c r="W149" i="6"/>
  <c r="V149" i="6"/>
  <c r="U149" i="6"/>
  <c r="T149" i="6"/>
  <c r="R149" i="6"/>
  <c r="K149" i="6"/>
  <c r="J149" i="6"/>
  <c r="I149" i="6"/>
  <c r="H149" i="6"/>
  <c r="G149" i="6"/>
  <c r="F149" i="6"/>
  <c r="E149" i="6"/>
  <c r="BF148" i="6"/>
  <c r="BE148" i="6"/>
  <c r="BD148" i="6"/>
  <c r="BC148" i="6"/>
  <c r="BB148" i="6"/>
  <c r="BA148" i="6"/>
  <c r="AZ148" i="6"/>
  <c r="AY148" i="6"/>
  <c r="AX148" i="6"/>
  <c r="AW148" i="6"/>
  <c r="AV148" i="6"/>
  <c r="AU148" i="6"/>
  <c r="AT148" i="6"/>
  <c r="AS148" i="6"/>
  <c r="AR148" i="6"/>
  <c r="AQ148" i="6"/>
  <c r="AP148" i="6"/>
  <c r="AO148" i="6"/>
  <c r="AN148" i="6"/>
  <c r="AM148" i="6"/>
  <c r="AL148" i="6"/>
  <c r="AK148" i="6"/>
  <c r="AJ148" i="6"/>
  <c r="AI148" i="6"/>
  <c r="AH148" i="6"/>
  <c r="AG148" i="6"/>
  <c r="AF148" i="6"/>
  <c r="AE148" i="6"/>
  <c r="AD148" i="6"/>
  <c r="AC148" i="6"/>
  <c r="AB148" i="6"/>
  <c r="AA148" i="6"/>
  <c r="Z148" i="6"/>
  <c r="Y148" i="6"/>
  <c r="X148" i="6"/>
  <c r="W148" i="6"/>
  <c r="V148" i="6"/>
  <c r="U148" i="6"/>
  <c r="T148" i="6"/>
  <c r="R148" i="6"/>
  <c r="K148" i="6"/>
  <c r="J148" i="6"/>
  <c r="I148" i="6"/>
  <c r="H148" i="6"/>
  <c r="G148" i="6"/>
  <c r="F148" i="6"/>
  <c r="E148" i="6"/>
  <c r="D148" i="6"/>
  <c r="BF146" i="6"/>
  <c r="BE146" i="6"/>
  <c r="BD146" i="6"/>
  <c r="BC146" i="6"/>
  <c r="BB146" i="6"/>
  <c r="BA146" i="6"/>
  <c r="AZ146" i="6"/>
  <c r="AY146" i="6"/>
  <c r="AX146" i="6"/>
  <c r="AW146" i="6"/>
  <c r="AV146" i="6"/>
  <c r="AU146" i="6"/>
  <c r="AT146" i="6"/>
  <c r="AS146" i="6"/>
  <c r="AR146" i="6"/>
  <c r="AQ146" i="6"/>
  <c r="AP146" i="6"/>
  <c r="AO146" i="6"/>
  <c r="AN146" i="6"/>
  <c r="AM146" i="6"/>
  <c r="AL146" i="6"/>
  <c r="AK146" i="6"/>
  <c r="AJ146" i="6"/>
  <c r="AI146" i="6"/>
  <c r="AH146" i="6"/>
  <c r="AG146" i="6"/>
  <c r="AF146" i="6"/>
  <c r="AE146" i="6"/>
  <c r="AD146" i="6"/>
  <c r="AC146" i="6"/>
  <c r="AB146" i="6"/>
  <c r="AA146" i="6"/>
  <c r="Z146" i="6"/>
  <c r="Y146" i="6"/>
  <c r="X146" i="6"/>
  <c r="W146" i="6"/>
  <c r="V146" i="6"/>
  <c r="U146" i="6"/>
  <c r="T146" i="6"/>
  <c r="R146" i="6"/>
  <c r="K146" i="6"/>
  <c r="J146" i="6"/>
  <c r="I146" i="6"/>
  <c r="H146" i="6"/>
  <c r="G146" i="6"/>
  <c r="F146" i="6"/>
  <c r="E146" i="6"/>
  <c r="BF145" i="6"/>
  <c r="BE145" i="6"/>
  <c r="S145" i="6"/>
  <c r="S145" i="6" a="1"/>
  <c r="R145" i="6"/>
  <c r="K145" i="6"/>
  <c r="J145" i="6"/>
  <c r="I145" i="6"/>
  <c r="H145" i="6"/>
  <c r="G145" i="6"/>
  <c r="F145" i="6"/>
  <c r="E145" i="6"/>
  <c r="D145" i="6"/>
  <c r="BF144" i="6"/>
  <c r="BE144" i="6"/>
  <c r="BD144" i="6"/>
  <c r="BC144" i="6"/>
  <c r="BB144" i="6"/>
  <c r="BA144" i="6"/>
  <c r="AZ144" i="6"/>
  <c r="AY144" i="6"/>
  <c r="AX144" i="6"/>
  <c r="AW144" i="6"/>
  <c r="AV144" i="6"/>
  <c r="AU144" i="6"/>
  <c r="AT144" i="6"/>
  <c r="AS144" i="6"/>
  <c r="AR144" i="6"/>
  <c r="AQ144" i="6"/>
  <c r="AP144" i="6"/>
  <c r="AO144" i="6"/>
  <c r="AN144" i="6"/>
  <c r="AM144" i="6"/>
  <c r="AL144" i="6"/>
  <c r="AK144" i="6"/>
  <c r="AJ144" i="6"/>
  <c r="AI144" i="6"/>
  <c r="AH144" i="6"/>
  <c r="AG144" i="6"/>
  <c r="AF144" i="6"/>
  <c r="AE144" i="6"/>
  <c r="AD144" i="6"/>
  <c r="AC144" i="6"/>
  <c r="AB144" i="6"/>
  <c r="AA144" i="6"/>
  <c r="Z144" i="6"/>
  <c r="Y144" i="6"/>
  <c r="X144" i="6"/>
  <c r="W144" i="6"/>
  <c r="V144" i="6"/>
  <c r="U144" i="6"/>
  <c r="T144" i="6"/>
  <c r="S144" i="6"/>
  <c r="R144" i="6"/>
  <c r="K144" i="6"/>
  <c r="J144" i="6"/>
  <c r="I144" i="6"/>
  <c r="H144" i="6"/>
  <c r="G144" i="6"/>
  <c r="F144" i="6"/>
  <c r="E144" i="6"/>
  <c r="D144" i="6"/>
  <c r="BZ143" i="6"/>
  <c r="BY143" i="6"/>
  <c r="BX143" i="6"/>
  <c r="BW143" i="6"/>
  <c r="BV143" i="6"/>
  <c r="BU143" i="6"/>
  <c r="BT143" i="6"/>
  <c r="BS143" i="6"/>
  <c r="BR143" i="6"/>
  <c r="BQ143" i="6"/>
  <c r="BP143" i="6"/>
  <c r="BO143" i="6"/>
  <c r="BN143" i="6"/>
  <c r="BM143" i="6"/>
  <c r="BL143" i="6"/>
  <c r="BK143" i="6"/>
  <c r="BJ143" i="6"/>
  <c r="BI143" i="6"/>
  <c r="BH143" i="6"/>
  <c r="BG143" i="6"/>
  <c r="BF143" i="6"/>
  <c r="BE143" i="6"/>
  <c r="BD143" i="6"/>
  <c r="BC143" i="6"/>
  <c r="BB143" i="6"/>
  <c r="BA143" i="6"/>
  <c r="AZ143" i="6"/>
  <c r="AY143" i="6"/>
  <c r="AX143" i="6"/>
  <c r="AW143" i="6"/>
  <c r="AV143" i="6"/>
  <c r="AU143" i="6"/>
  <c r="AT143" i="6"/>
  <c r="AS143" i="6"/>
  <c r="AR143" i="6"/>
  <c r="AQ143" i="6"/>
  <c r="AP143" i="6"/>
  <c r="AO143" i="6"/>
  <c r="AN143" i="6"/>
  <c r="AM143" i="6"/>
  <c r="AL143" i="6"/>
  <c r="AK143" i="6"/>
  <c r="AJ143" i="6"/>
  <c r="AI143" i="6"/>
  <c r="AH143" i="6"/>
  <c r="AG143" i="6"/>
  <c r="AF143" i="6"/>
  <c r="AE143" i="6"/>
  <c r="AD143" i="6"/>
  <c r="AC143" i="6"/>
  <c r="AB143" i="6"/>
  <c r="AA143" i="6"/>
  <c r="Z143" i="6"/>
  <c r="Y143" i="6"/>
  <c r="X143" i="6"/>
  <c r="W143" i="6"/>
  <c r="V143" i="6"/>
  <c r="U143" i="6"/>
  <c r="T143" i="6"/>
  <c r="S143" i="6"/>
  <c r="BV142" i="6"/>
  <c r="BQ142" i="6"/>
  <c r="BL142" i="6"/>
  <c r="BG142" i="6"/>
  <c r="BB142" i="6"/>
  <c r="AW142" i="6"/>
  <c r="AR142" i="6"/>
  <c r="AM142" i="6"/>
  <c r="AH142" i="6"/>
  <c r="AC142" i="6"/>
  <c r="X142" i="6"/>
  <c r="S142" i="6"/>
  <c r="R142" i="6"/>
  <c r="O142" i="6"/>
  <c r="N142" i="6"/>
  <c r="M142" i="6"/>
  <c r="L142" i="6"/>
  <c r="K142" i="6"/>
  <c r="J142" i="6"/>
  <c r="I142" i="6"/>
  <c r="H142" i="6"/>
  <c r="G142" i="6"/>
  <c r="F142" i="6"/>
  <c r="E142" i="6"/>
  <c r="D142" i="6"/>
  <c r="BE140" i="6"/>
  <c r="BD140" i="6"/>
  <c r="BC140" i="6"/>
  <c r="BB140" i="6"/>
  <c r="BA140" i="6"/>
  <c r="AZ140" i="6"/>
  <c r="AY140" i="6"/>
  <c r="AX140" i="6"/>
  <c r="AW140" i="6"/>
  <c r="AV140" i="6"/>
  <c r="AU140" i="6"/>
  <c r="AT140" i="6"/>
  <c r="AS140" i="6"/>
  <c r="AR140" i="6"/>
  <c r="AQ140" i="6"/>
  <c r="AP140" i="6"/>
  <c r="AO140" i="6"/>
  <c r="AN140" i="6"/>
  <c r="AM140" i="6"/>
  <c r="AL140" i="6"/>
  <c r="AK140" i="6"/>
  <c r="AJ140" i="6"/>
  <c r="AI140" i="6"/>
  <c r="AH140" i="6"/>
  <c r="AG140" i="6"/>
  <c r="AF140" i="6"/>
  <c r="AE140" i="6"/>
  <c r="AD140" i="6"/>
  <c r="AC140" i="6"/>
  <c r="AB140" i="6"/>
  <c r="AA140" i="6"/>
  <c r="Z140" i="6"/>
  <c r="Y140" i="6"/>
  <c r="X140" i="6"/>
  <c r="W140" i="6"/>
  <c r="V140" i="6"/>
  <c r="U140" i="6"/>
  <c r="T140" i="6"/>
  <c r="S140" i="6"/>
  <c r="R140" i="6"/>
  <c r="J140" i="6"/>
  <c r="I140" i="6"/>
  <c r="H140" i="6"/>
  <c r="G140" i="6"/>
  <c r="F140" i="6"/>
  <c r="E140" i="6"/>
  <c r="D140" i="6"/>
  <c r="BF139" i="6"/>
  <c r="BE139" i="6"/>
  <c r="BD139" i="6"/>
  <c r="BC139" i="6"/>
  <c r="BB139" i="6"/>
  <c r="BA139" i="6"/>
  <c r="AZ139" i="6"/>
  <c r="AY139" i="6"/>
  <c r="AX139" i="6"/>
  <c r="AW139" i="6"/>
  <c r="AV139" i="6"/>
  <c r="AU139" i="6"/>
  <c r="AT139" i="6"/>
  <c r="AS139" i="6"/>
  <c r="AR139" i="6"/>
  <c r="AQ139" i="6"/>
  <c r="AP139" i="6"/>
  <c r="AO139" i="6"/>
  <c r="AN139" i="6"/>
  <c r="AM139" i="6"/>
  <c r="AL139" i="6"/>
  <c r="AK139" i="6"/>
  <c r="AJ139" i="6"/>
  <c r="AI139" i="6"/>
  <c r="AH139" i="6"/>
  <c r="AG139" i="6"/>
  <c r="AF139" i="6"/>
  <c r="AE139" i="6"/>
  <c r="AD139" i="6"/>
  <c r="AC139" i="6"/>
  <c r="AB139" i="6"/>
  <c r="AA139" i="6"/>
  <c r="Z139" i="6"/>
  <c r="Y139" i="6"/>
  <c r="X139" i="6"/>
  <c r="W139" i="6"/>
  <c r="V139" i="6"/>
  <c r="U139" i="6"/>
  <c r="T139" i="6"/>
  <c r="S139" i="6"/>
  <c r="R139" i="6"/>
  <c r="K139" i="6"/>
  <c r="J139" i="6"/>
  <c r="I139" i="6"/>
  <c r="H139" i="6"/>
  <c r="G139" i="6"/>
  <c r="F139" i="6"/>
  <c r="E139" i="6"/>
  <c r="D139" i="6"/>
  <c r="BF138" i="6"/>
  <c r="BE138" i="6"/>
  <c r="BD138" i="6"/>
  <c r="BC138" i="6"/>
  <c r="BB138" i="6"/>
  <c r="BA138" i="6"/>
  <c r="AZ138" i="6"/>
  <c r="AY138" i="6"/>
  <c r="AX138" i="6"/>
  <c r="AW138" i="6"/>
  <c r="AV138" i="6"/>
  <c r="AU138" i="6"/>
  <c r="AT138" i="6"/>
  <c r="AS138" i="6"/>
  <c r="AR138" i="6"/>
  <c r="AQ138" i="6"/>
  <c r="AP138" i="6"/>
  <c r="AO138" i="6"/>
  <c r="AN138" i="6"/>
  <c r="AM138" i="6"/>
  <c r="AL138" i="6"/>
  <c r="AK138" i="6"/>
  <c r="AJ138" i="6"/>
  <c r="AI138" i="6"/>
  <c r="AH138" i="6"/>
  <c r="AG138" i="6"/>
  <c r="AF138" i="6"/>
  <c r="AE138" i="6"/>
  <c r="AD138" i="6"/>
  <c r="AC138" i="6"/>
  <c r="AB138" i="6"/>
  <c r="AA138" i="6"/>
  <c r="Z138" i="6"/>
  <c r="Y138" i="6"/>
  <c r="X138" i="6"/>
  <c r="W138" i="6"/>
  <c r="V138" i="6"/>
  <c r="U138" i="6"/>
  <c r="T138" i="6"/>
  <c r="S138" i="6"/>
  <c r="R138" i="6"/>
  <c r="K138" i="6"/>
  <c r="J138" i="6"/>
  <c r="I138" i="6"/>
  <c r="H138" i="6"/>
  <c r="G138" i="6"/>
  <c r="F138" i="6"/>
  <c r="E138" i="6"/>
  <c r="D138" i="6"/>
  <c r="BF137" i="6"/>
  <c r="BE137" i="6"/>
  <c r="BD137" i="6"/>
  <c r="BC137" i="6"/>
  <c r="BB137" i="6"/>
  <c r="BA137" i="6"/>
  <c r="AZ137" i="6"/>
  <c r="AY137" i="6"/>
  <c r="AX137" i="6"/>
  <c r="AW137" i="6"/>
  <c r="AV137" i="6"/>
  <c r="AU137" i="6"/>
  <c r="AT137" i="6"/>
  <c r="AS137" i="6"/>
  <c r="AR137" i="6"/>
  <c r="AQ137" i="6"/>
  <c r="AP137" i="6"/>
  <c r="AO137" i="6"/>
  <c r="AN137" i="6"/>
  <c r="AM137" i="6"/>
  <c r="AL137" i="6"/>
  <c r="AK137" i="6"/>
  <c r="AJ137" i="6"/>
  <c r="AI137" i="6"/>
  <c r="AH137" i="6"/>
  <c r="AG137" i="6"/>
  <c r="AF137" i="6"/>
  <c r="AE137" i="6"/>
  <c r="AD137" i="6"/>
  <c r="AC137" i="6"/>
  <c r="AB137" i="6"/>
  <c r="AA137" i="6"/>
  <c r="Z137" i="6"/>
  <c r="Y137" i="6"/>
  <c r="X137" i="6"/>
  <c r="W137" i="6"/>
  <c r="V137" i="6"/>
  <c r="U137" i="6"/>
  <c r="T137" i="6"/>
  <c r="S137" i="6"/>
  <c r="R137" i="6"/>
  <c r="K137" i="6"/>
  <c r="J137" i="6"/>
  <c r="I137" i="6"/>
  <c r="H137" i="6"/>
  <c r="G137" i="6"/>
  <c r="F137" i="6"/>
  <c r="E137" i="6"/>
  <c r="D137" i="6"/>
  <c r="BD134" i="6"/>
  <c r="BC134" i="6"/>
  <c r="BB134" i="6"/>
  <c r="BA134" i="6"/>
  <c r="AZ134" i="6"/>
  <c r="AY134" i="6"/>
  <c r="AX134" i="6"/>
  <c r="AW134" i="6"/>
  <c r="AV134" i="6"/>
  <c r="AU134" i="6"/>
  <c r="AT134" i="6"/>
  <c r="AS134" i="6"/>
  <c r="AR134" i="6"/>
  <c r="AQ134" i="6"/>
  <c r="AP134" i="6"/>
  <c r="AO134" i="6"/>
  <c r="AN134" i="6"/>
  <c r="AM134" i="6"/>
  <c r="AL134" i="6"/>
  <c r="AK134" i="6"/>
  <c r="AJ134" i="6"/>
  <c r="AI134" i="6"/>
  <c r="AH134" i="6"/>
  <c r="AG134" i="6"/>
  <c r="AF134" i="6"/>
  <c r="AE134" i="6"/>
  <c r="AD134" i="6"/>
  <c r="AC134" i="6"/>
  <c r="AB134" i="6"/>
  <c r="AA134" i="6"/>
  <c r="Z134" i="6"/>
  <c r="Y134" i="6"/>
  <c r="X134" i="6"/>
  <c r="V134" i="6"/>
  <c r="U134" i="6"/>
  <c r="T134" i="6"/>
  <c r="R134" i="6"/>
  <c r="J134" i="6"/>
  <c r="I134" i="6"/>
  <c r="H134" i="6"/>
  <c r="G134" i="6"/>
  <c r="F134" i="6"/>
  <c r="E134" i="6"/>
  <c r="C134" i="6"/>
  <c r="BD133" i="6"/>
  <c r="BC133" i="6"/>
  <c r="BB133" i="6"/>
  <c r="BA133" i="6"/>
  <c r="AZ133" i="6"/>
  <c r="AY133" i="6"/>
  <c r="AX133" i="6"/>
  <c r="AW133" i="6"/>
  <c r="AV133" i="6"/>
  <c r="AU133" i="6"/>
  <c r="AT133" i="6"/>
  <c r="AS133" i="6"/>
  <c r="AR133" i="6"/>
  <c r="AQ133" i="6"/>
  <c r="AP133" i="6"/>
  <c r="AO133" i="6"/>
  <c r="AN133" i="6"/>
  <c r="AM133" i="6"/>
  <c r="AL133" i="6"/>
  <c r="AK133" i="6"/>
  <c r="AJ133" i="6"/>
  <c r="AI133" i="6"/>
  <c r="AH133" i="6"/>
  <c r="AG133" i="6"/>
  <c r="AF133" i="6"/>
  <c r="AE133" i="6"/>
  <c r="AD133" i="6"/>
  <c r="AC133" i="6"/>
  <c r="AB133" i="6"/>
  <c r="AA133" i="6"/>
  <c r="Z133" i="6"/>
  <c r="Y133" i="6"/>
  <c r="X133" i="6"/>
  <c r="V133" i="6"/>
  <c r="U133" i="6"/>
  <c r="T133" i="6"/>
  <c r="R133" i="6"/>
  <c r="J133" i="6"/>
  <c r="I133" i="6"/>
  <c r="H133" i="6"/>
  <c r="G133" i="6"/>
  <c r="F133" i="6"/>
  <c r="E133" i="6"/>
  <c r="C133" i="6"/>
  <c r="BD132" i="6"/>
  <c r="BC132" i="6"/>
  <c r="BB132" i="6"/>
  <c r="BA132" i="6"/>
  <c r="AZ132" i="6"/>
  <c r="AY132" i="6"/>
  <c r="AX132" i="6"/>
  <c r="AW132" i="6"/>
  <c r="AV132" i="6"/>
  <c r="AU132" i="6"/>
  <c r="AT132" i="6"/>
  <c r="AS132" i="6"/>
  <c r="AR132" i="6"/>
  <c r="AQ132" i="6"/>
  <c r="AP132" i="6"/>
  <c r="AO132" i="6"/>
  <c r="AN132" i="6"/>
  <c r="AM132" i="6"/>
  <c r="AL132" i="6"/>
  <c r="AK132" i="6"/>
  <c r="AJ132" i="6"/>
  <c r="AI132" i="6"/>
  <c r="AH132" i="6"/>
  <c r="AG132" i="6"/>
  <c r="AF132" i="6"/>
  <c r="AE132" i="6"/>
  <c r="AD132" i="6"/>
  <c r="AC132" i="6"/>
  <c r="AB132" i="6"/>
  <c r="AA132" i="6"/>
  <c r="Z132" i="6"/>
  <c r="Y132" i="6"/>
  <c r="X132" i="6"/>
  <c r="V132" i="6"/>
  <c r="U132" i="6"/>
  <c r="T132" i="6"/>
  <c r="R132" i="6"/>
  <c r="J132" i="6"/>
  <c r="I132" i="6"/>
  <c r="H132" i="6"/>
  <c r="G132" i="6"/>
  <c r="F132" i="6"/>
  <c r="E132" i="6"/>
  <c r="C132" i="6"/>
  <c r="BZ131" i="6"/>
  <c r="BU131" i="6"/>
  <c r="BP131" i="6"/>
  <c r="BK131" i="6"/>
  <c r="BF131" i="6"/>
  <c r="BD131" i="6"/>
  <c r="BC131" i="6"/>
  <c r="BB131" i="6"/>
  <c r="BA131" i="6"/>
  <c r="AZ131" i="6"/>
  <c r="AY131" i="6"/>
  <c r="AX131" i="6"/>
  <c r="AW131" i="6"/>
  <c r="AV131" i="6"/>
  <c r="AU131" i="6"/>
  <c r="AT131" i="6"/>
  <c r="AS131" i="6"/>
  <c r="AR131" i="6"/>
  <c r="AQ131" i="6"/>
  <c r="AP131" i="6"/>
  <c r="AO131" i="6"/>
  <c r="AN131" i="6"/>
  <c r="AM131" i="6"/>
  <c r="AL131" i="6"/>
  <c r="AK131" i="6"/>
  <c r="AJ131" i="6"/>
  <c r="AI131" i="6"/>
  <c r="AH131" i="6"/>
  <c r="AG131" i="6"/>
  <c r="AF131" i="6"/>
  <c r="AE131" i="6"/>
  <c r="AD131" i="6"/>
  <c r="AC131" i="6"/>
  <c r="AB131" i="6"/>
  <c r="AA131" i="6"/>
  <c r="Z131" i="6"/>
  <c r="Y131" i="6"/>
  <c r="X131" i="6"/>
  <c r="V131" i="6"/>
  <c r="U131" i="6"/>
  <c r="T131" i="6"/>
  <c r="R131" i="6"/>
  <c r="O131" i="6"/>
  <c r="N131" i="6"/>
  <c r="M131" i="6"/>
  <c r="L131" i="6"/>
  <c r="K131" i="6"/>
  <c r="J131" i="6"/>
  <c r="I131" i="6"/>
  <c r="H131" i="6"/>
  <c r="G131" i="6"/>
  <c r="F131" i="6"/>
  <c r="E131" i="6"/>
  <c r="C131" i="6"/>
  <c r="BD130" i="6"/>
  <c r="BC130" i="6"/>
  <c r="BB130" i="6"/>
  <c r="BA130" i="6"/>
  <c r="AZ130" i="6"/>
  <c r="AY130" i="6"/>
  <c r="AX130" i="6"/>
  <c r="AW130" i="6"/>
  <c r="AV130" i="6"/>
  <c r="AU130" i="6"/>
  <c r="AT130" i="6"/>
  <c r="AS130" i="6"/>
  <c r="AR130" i="6"/>
  <c r="AQ130" i="6"/>
  <c r="AP130" i="6"/>
  <c r="AO130" i="6"/>
  <c r="AN130" i="6"/>
  <c r="AM130" i="6"/>
  <c r="AL130" i="6"/>
  <c r="AK130" i="6"/>
  <c r="AJ130" i="6"/>
  <c r="AI130" i="6"/>
  <c r="AH130" i="6"/>
  <c r="AG130" i="6"/>
  <c r="AF130" i="6"/>
  <c r="AE130" i="6"/>
  <c r="AD130" i="6"/>
  <c r="AC130" i="6"/>
  <c r="AB130" i="6"/>
  <c r="AA130" i="6"/>
  <c r="Z130" i="6"/>
  <c r="Y130" i="6"/>
  <c r="X130" i="6"/>
  <c r="V130" i="6"/>
  <c r="U130" i="6"/>
  <c r="T130" i="6"/>
  <c r="R130" i="6"/>
  <c r="J130" i="6"/>
  <c r="I130" i="6"/>
  <c r="H130" i="6"/>
  <c r="G130" i="6"/>
  <c r="F130" i="6"/>
  <c r="E130" i="6"/>
  <c r="C130" i="6"/>
  <c r="R129" i="6"/>
  <c r="BD128" i="6"/>
  <c r="BC128" i="6"/>
  <c r="BB128" i="6"/>
  <c r="BA128" i="6"/>
  <c r="AZ128" i="6"/>
  <c r="AY128" i="6"/>
  <c r="AX128" i="6"/>
  <c r="AW128" i="6"/>
  <c r="AV128" i="6"/>
  <c r="AU128" i="6"/>
  <c r="AT128" i="6"/>
  <c r="AS128" i="6"/>
  <c r="AR128" i="6"/>
  <c r="AQ128" i="6"/>
  <c r="AP128" i="6"/>
  <c r="AO128" i="6"/>
  <c r="AN128" i="6"/>
  <c r="AM128" i="6"/>
  <c r="AL128" i="6"/>
  <c r="AK128" i="6"/>
  <c r="AJ128" i="6"/>
  <c r="AI128" i="6"/>
  <c r="AH128" i="6"/>
  <c r="AG128" i="6"/>
  <c r="AF128" i="6"/>
  <c r="AE128" i="6"/>
  <c r="AD128" i="6"/>
  <c r="AC128" i="6"/>
  <c r="AB128" i="6"/>
  <c r="AA128" i="6"/>
  <c r="Z128" i="6"/>
  <c r="Y128" i="6"/>
  <c r="X128" i="6"/>
  <c r="V128" i="6"/>
  <c r="U128" i="6"/>
  <c r="T128" i="6"/>
  <c r="R128" i="6"/>
  <c r="J128" i="6"/>
  <c r="I128" i="6"/>
  <c r="H128" i="6"/>
  <c r="G128" i="6"/>
  <c r="F128" i="6"/>
  <c r="E128" i="6"/>
  <c r="C128" i="6"/>
  <c r="R127" i="6"/>
  <c r="R126" i="6"/>
  <c r="C126" i="6"/>
  <c r="BD124" i="6"/>
  <c r="BC124" i="6"/>
  <c r="BB124" i="6"/>
  <c r="BA124" i="6"/>
  <c r="AZ124" i="6"/>
  <c r="AY124" i="6"/>
  <c r="AX124" i="6"/>
  <c r="AW124" i="6"/>
  <c r="AV124" i="6"/>
  <c r="AU124" i="6"/>
  <c r="AT124" i="6"/>
  <c r="AS124" i="6"/>
  <c r="AR124" i="6"/>
  <c r="AQ124" i="6"/>
  <c r="AP124" i="6"/>
  <c r="AO124" i="6"/>
  <c r="AN124" i="6"/>
  <c r="AM124" i="6"/>
  <c r="AL124" i="6"/>
  <c r="AK124" i="6"/>
  <c r="AJ124" i="6"/>
  <c r="AI124" i="6"/>
  <c r="AH124" i="6"/>
  <c r="AG124" i="6"/>
  <c r="AF124" i="6"/>
  <c r="AE124" i="6"/>
  <c r="AD124" i="6"/>
  <c r="AC124" i="6"/>
  <c r="AB124" i="6"/>
  <c r="AA124" i="6"/>
  <c r="Z124" i="6"/>
  <c r="Y124" i="6"/>
  <c r="X124" i="6"/>
  <c r="W124" i="6"/>
  <c r="V124" i="6"/>
  <c r="U124" i="6"/>
  <c r="T124" i="6"/>
  <c r="R124" i="6"/>
  <c r="J124" i="6"/>
  <c r="I124" i="6"/>
  <c r="H124" i="6"/>
  <c r="G124" i="6"/>
  <c r="F124" i="6"/>
  <c r="E124" i="6"/>
  <c r="D124" i="6"/>
  <c r="C124" i="6"/>
  <c r="BD123" i="6"/>
  <c r="BC123" i="6"/>
  <c r="BB123" i="6"/>
  <c r="BA123" i="6"/>
  <c r="AZ123" i="6"/>
  <c r="AY123" i="6"/>
  <c r="AX123" i="6"/>
  <c r="AW123" i="6"/>
  <c r="AV123" i="6"/>
  <c r="AU123" i="6"/>
  <c r="AT123" i="6"/>
  <c r="AS123" i="6"/>
  <c r="AR123" i="6"/>
  <c r="AQ123" i="6"/>
  <c r="AP123" i="6"/>
  <c r="AO123" i="6"/>
  <c r="AN123" i="6"/>
  <c r="AM123" i="6"/>
  <c r="AL123" i="6"/>
  <c r="AK123" i="6"/>
  <c r="AJ123" i="6"/>
  <c r="AI123" i="6"/>
  <c r="AH123" i="6"/>
  <c r="AG123" i="6"/>
  <c r="AF123" i="6"/>
  <c r="AE123" i="6"/>
  <c r="AD123" i="6"/>
  <c r="AC123" i="6"/>
  <c r="AB123" i="6"/>
  <c r="AA123" i="6"/>
  <c r="Z123" i="6"/>
  <c r="Y123" i="6"/>
  <c r="X123" i="6"/>
  <c r="W123" i="6"/>
  <c r="V123" i="6"/>
  <c r="U123" i="6"/>
  <c r="T123" i="6"/>
  <c r="R123" i="6"/>
  <c r="J123" i="6"/>
  <c r="I123" i="6"/>
  <c r="H123" i="6"/>
  <c r="G123" i="6"/>
  <c r="F123" i="6"/>
  <c r="E123" i="6"/>
  <c r="D123" i="6"/>
  <c r="C123" i="6"/>
  <c r="BD122" i="6"/>
  <c r="BC122" i="6"/>
  <c r="BB122" i="6"/>
  <c r="BA122" i="6"/>
  <c r="AZ122" i="6"/>
  <c r="AY122" i="6"/>
  <c r="AX122" i="6"/>
  <c r="AW122" i="6"/>
  <c r="AV122" i="6"/>
  <c r="AU122" i="6"/>
  <c r="AT122" i="6"/>
  <c r="AS122" i="6"/>
  <c r="AR122" i="6"/>
  <c r="AQ122" i="6"/>
  <c r="AP122" i="6"/>
  <c r="AO122" i="6"/>
  <c r="AN122" i="6"/>
  <c r="AM122" i="6"/>
  <c r="AL122" i="6"/>
  <c r="AK122" i="6"/>
  <c r="AJ122" i="6"/>
  <c r="AI122" i="6"/>
  <c r="AH122" i="6"/>
  <c r="AG122" i="6"/>
  <c r="AF122" i="6"/>
  <c r="AE122" i="6"/>
  <c r="AD122" i="6"/>
  <c r="AC122" i="6"/>
  <c r="AB122" i="6"/>
  <c r="AA122" i="6"/>
  <c r="Z122" i="6"/>
  <c r="Y122" i="6"/>
  <c r="X122" i="6"/>
  <c r="W122" i="6"/>
  <c r="V122" i="6"/>
  <c r="U122" i="6"/>
  <c r="T122" i="6"/>
  <c r="R122" i="6"/>
  <c r="J122" i="6"/>
  <c r="I122" i="6"/>
  <c r="H122" i="6"/>
  <c r="G122" i="6"/>
  <c r="F122" i="6"/>
  <c r="E122" i="6"/>
  <c r="D122" i="6"/>
  <c r="C122" i="6"/>
  <c r="BZ121" i="6"/>
  <c r="BY121" i="6"/>
  <c r="BX121" i="6"/>
  <c r="BW121" i="6"/>
  <c r="BV121" i="6"/>
  <c r="BU121" i="6"/>
  <c r="BT121" i="6"/>
  <c r="BS121" i="6"/>
  <c r="BR121" i="6"/>
  <c r="BQ121" i="6"/>
  <c r="BP121" i="6"/>
  <c r="BO121" i="6"/>
  <c r="BN121" i="6"/>
  <c r="BM121" i="6"/>
  <c r="BL121" i="6"/>
  <c r="BK121" i="6"/>
  <c r="BJ121" i="6"/>
  <c r="BI121" i="6"/>
  <c r="BH121" i="6"/>
  <c r="BG121" i="6"/>
  <c r="BF121" i="6"/>
  <c r="BE121" i="6"/>
  <c r="BD121" i="6"/>
  <c r="BC121" i="6"/>
  <c r="BB121" i="6"/>
  <c r="BA121" i="6"/>
  <c r="AZ121" i="6"/>
  <c r="AY121" i="6"/>
  <c r="AX121" i="6"/>
  <c r="AW121" i="6"/>
  <c r="AV121" i="6"/>
  <c r="AU121" i="6"/>
  <c r="AT121" i="6"/>
  <c r="AS121" i="6"/>
  <c r="AR121" i="6"/>
  <c r="AQ121" i="6"/>
  <c r="AP121" i="6"/>
  <c r="AO121" i="6"/>
  <c r="AN121" i="6"/>
  <c r="AM121" i="6"/>
  <c r="AL121" i="6"/>
  <c r="AK121" i="6"/>
  <c r="AJ121" i="6"/>
  <c r="AI121" i="6"/>
  <c r="AH121" i="6"/>
  <c r="AG121" i="6"/>
  <c r="AF121" i="6"/>
  <c r="AE121" i="6"/>
  <c r="AD121" i="6"/>
  <c r="AC121" i="6"/>
  <c r="AB121" i="6"/>
  <c r="AA121" i="6"/>
  <c r="Z121" i="6"/>
  <c r="Y121" i="6"/>
  <c r="X121" i="6"/>
  <c r="V121" i="6"/>
  <c r="U121" i="6"/>
  <c r="T121" i="6"/>
  <c r="R121" i="6"/>
  <c r="O121" i="6"/>
  <c r="N121" i="6"/>
  <c r="M121" i="6"/>
  <c r="L121" i="6"/>
  <c r="K121" i="6"/>
  <c r="J121" i="6"/>
  <c r="I121" i="6"/>
  <c r="H121" i="6"/>
  <c r="G121" i="6"/>
  <c r="F121" i="6"/>
  <c r="E121" i="6"/>
  <c r="C121" i="6"/>
  <c r="R120" i="6"/>
  <c r="BD118" i="6"/>
  <c r="BC118" i="6"/>
  <c r="BB118" i="6"/>
  <c r="BA118" i="6"/>
  <c r="AZ118" i="6"/>
  <c r="AY118" i="6"/>
  <c r="AX118" i="6"/>
  <c r="AW118" i="6"/>
  <c r="AV118" i="6"/>
  <c r="AU118" i="6"/>
  <c r="AT118" i="6"/>
  <c r="AS118" i="6"/>
  <c r="AR118" i="6"/>
  <c r="AQ118" i="6"/>
  <c r="AP118" i="6"/>
  <c r="AO118" i="6"/>
  <c r="AN118" i="6"/>
  <c r="AM118" i="6"/>
  <c r="AL118" i="6"/>
  <c r="AK118" i="6"/>
  <c r="AJ118" i="6"/>
  <c r="AI118" i="6"/>
  <c r="AH118" i="6"/>
  <c r="AG118" i="6"/>
  <c r="AF118" i="6"/>
  <c r="AE118" i="6"/>
  <c r="AD118" i="6"/>
  <c r="AC118" i="6"/>
  <c r="AB118" i="6"/>
  <c r="AA118" i="6"/>
  <c r="Z118" i="6"/>
  <c r="Y118" i="6"/>
  <c r="X118" i="6"/>
  <c r="W118" i="6"/>
  <c r="V118" i="6"/>
  <c r="U118" i="6"/>
  <c r="T118" i="6"/>
  <c r="S118" i="6"/>
  <c r="R118" i="6"/>
  <c r="J118" i="6"/>
  <c r="I118" i="6"/>
  <c r="H118" i="6"/>
  <c r="G118" i="6"/>
  <c r="F118" i="6"/>
  <c r="E118" i="6"/>
  <c r="D118" i="6"/>
  <c r="C118" i="6"/>
  <c r="BD117" i="6"/>
  <c r="BC117" i="6"/>
  <c r="BB117" i="6"/>
  <c r="BA117" i="6"/>
  <c r="AZ117" i="6"/>
  <c r="AY117" i="6"/>
  <c r="AX117" i="6"/>
  <c r="AW117" i="6"/>
  <c r="AV117" i="6"/>
  <c r="AU117" i="6"/>
  <c r="AT117" i="6"/>
  <c r="AS117" i="6"/>
  <c r="AR117" i="6"/>
  <c r="AQ117" i="6"/>
  <c r="AP117" i="6"/>
  <c r="AO117" i="6"/>
  <c r="AN117" i="6"/>
  <c r="AM117" i="6"/>
  <c r="AL117" i="6"/>
  <c r="AK117" i="6"/>
  <c r="AJ117" i="6"/>
  <c r="AI117" i="6"/>
  <c r="AH117" i="6"/>
  <c r="AG117" i="6"/>
  <c r="AF117" i="6"/>
  <c r="AE117" i="6"/>
  <c r="AD117" i="6"/>
  <c r="AC117" i="6"/>
  <c r="AB117" i="6"/>
  <c r="AA117" i="6"/>
  <c r="Z117" i="6"/>
  <c r="Y117" i="6"/>
  <c r="X117" i="6"/>
  <c r="W117" i="6"/>
  <c r="V117" i="6"/>
  <c r="U117" i="6"/>
  <c r="T117" i="6"/>
  <c r="S117" i="6"/>
  <c r="R117" i="6"/>
  <c r="J117" i="6"/>
  <c r="I117" i="6"/>
  <c r="H117" i="6"/>
  <c r="G117" i="6"/>
  <c r="F117" i="6"/>
  <c r="E117" i="6"/>
  <c r="D117" i="6"/>
  <c r="C117" i="6"/>
  <c r="BD116" i="6"/>
  <c r="BC116" i="6"/>
  <c r="BB116" i="6"/>
  <c r="BA116" i="6"/>
  <c r="AZ116" i="6"/>
  <c r="AY116" i="6"/>
  <c r="AX116" i="6"/>
  <c r="AW116" i="6"/>
  <c r="AV116" i="6"/>
  <c r="AU116" i="6"/>
  <c r="AT116" i="6"/>
  <c r="AS116" i="6"/>
  <c r="AR116" i="6"/>
  <c r="AQ116" i="6"/>
  <c r="AP116" i="6"/>
  <c r="AO116" i="6"/>
  <c r="AN116" i="6"/>
  <c r="AM116" i="6"/>
  <c r="AL116" i="6"/>
  <c r="AK116" i="6"/>
  <c r="AJ116" i="6"/>
  <c r="AI116" i="6"/>
  <c r="AH116" i="6"/>
  <c r="AG116" i="6"/>
  <c r="AF116" i="6"/>
  <c r="AE116" i="6"/>
  <c r="AD116" i="6"/>
  <c r="AC116" i="6"/>
  <c r="AB116" i="6"/>
  <c r="AA116" i="6"/>
  <c r="Z116" i="6"/>
  <c r="Y116" i="6"/>
  <c r="X116" i="6"/>
  <c r="W116" i="6"/>
  <c r="V116" i="6"/>
  <c r="U116" i="6"/>
  <c r="T116" i="6"/>
  <c r="S116" i="6"/>
  <c r="R116" i="6"/>
  <c r="J116" i="6"/>
  <c r="I116" i="6"/>
  <c r="H116" i="6"/>
  <c r="G116" i="6"/>
  <c r="F116" i="6"/>
  <c r="E116" i="6"/>
  <c r="D116" i="6"/>
  <c r="C116" i="6"/>
  <c r="BD115" i="6"/>
  <c r="BC115" i="6"/>
  <c r="BB115" i="6"/>
  <c r="BA115" i="6"/>
  <c r="AZ115" i="6"/>
  <c r="AY115" i="6"/>
  <c r="AX115" i="6"/>
  <c r="AW115" i="6"/>
  <c r="AV115" i="6"/>
  <c r="AU115" i="6"/>
  <c r="AT115" i="6"/>
  <c r="AS115" i="6"/>
  <c r="AR115" i="6"/>
  <c r="AQ115" i="6"/>
  <c r="AP115" i="6"/>
  <c r="AO115" i="6"/>
  <c r="AN115" i="6"/>
  <c r="AM115" i="6"/>
  <c r="AL115" i="6"/>
  <c r="AK115" i="6"/>
  <c r="AJ115" i="6"/>
  <c r="AI115" i="6"/>
  <c r="AH115" i="6"/>
  <c r="AG115" i="6"/>
  <c r="AF115" i="6"/>
  <c r="AE115" i="6"/>
  <c r="AD115" i="6"/>
  <c r="AC115" i="6"/>
  <c r="AB115" i="6"/>
  <c r="AA115" i="6"/>
  <c r="Z115" i="6"/>
  <c r="Y115" i="6"/>
  <c r="X115" i="6"/>
  <c r="W115" i="6"/>
  <c r="V115" i="6"/>
  <c r="U115" i="6"/>
  <c r="T115" i="6"/>
  <c r="S115" i="6"/>
  <c r="R115" i="6"/>
  <c r="J115" i="6"/>
  <c r="I115" i="6"/>
  <c r="H115" i="6"/>
  <c r="G115" i="6"/>
  <c r="F115" i="6"/>
  <c r="E115" i="6"/>
  <c r="D115" i="6"/>
  <c r="C115" i="6"/>
  <c r="BD114" i="6"/>
  <c r="BC114" i="6"/>
  <c r="BB114" i="6"/>
  <c r="BA114" i="6"/>
  <c r="AZ114" i="6"/>
  <c r="AY114" i="6"/>
  <c r="AX114" i="6"/>
  <c r="AW114" i="6"/>
  <c r="AV114" i="6"/>
  <c r="AU114" i="6"/>
  <c r="AT114" i="6"/>
  <c r="AS114" i="6"/>
  <c r="AR114" i="6"/>
  <c r="AQ114" i="6"/>
  <c r="AP114" i="6"/>
  <c r="AO114" i="6"/>
  <c r="AN114" i="6"/>
  <c r="AM114" i="6"/>
  <c r="AL114" i="6"/>
  <c r="AK114" i="6"/>
  <c r="AJ114" i="6"/>
  <c r="AI114" i="6"/>
  <c r="AH114" i="6"/>
  <c r="AG114" i="6"/>
  <c r="AF114" i="6"/>
  <c r="AE114" i="6"/>
  <c r="AD114" i="6"/>
  <c r="AC114" i="6"/>
  <c r="AB114" i="6"/>
  <c r="AA114" i="6"/>
  <c r="Z114" i="6"/>
  <c r="Y114" i="6"/>
  <c r="X114" i="6"/>
  <c r="R114" i="6"/>
  <c r="J114" i="6"/>
  <c r="I114" i="6"/>
  <c r="H114" i="6"/>
  <c r="G114" i="6"/>
  <c r="F114" i="6"/>
  <c r="E114" i="6"/>
  <c r="BD113" i="6"/>
  <c r="BC113" i="6"/>
  <c r="BB113" i="6"/>
  <c r="BA113" i="6"/>
  <c r="AZ113" i="6"/>
  <c r="AY113" i="6"/>
  <c r="AX113" i="6"/>
  <c r="AW113" i="6"/>
  <c r="AV113" i="6"/>
  <c r="AU113" i="6"/>
  <c r="AT113" i="6"/>
  <c r="AS113" i="6"/>
  <c r="AR113" i="6"/>
  <c r="AQ113" i="6"/>
  <c r="AP113" i="6"/>
  <c r="AO113" i="6"/>
  <c r="AN113" i="6"/>
  <c r="AM113" i="6"/>
  <c r="AL113" i="6"/>
  <c r="AK113" i="6"/>
  <c r="AJ113" i="6"/>
  <c r="AI113" i="6"/>
  <c r="AH113" i="6"/>
  <c r="AG113" i="6"/>
  <c r="AF113" i="6"/>
  <c r="AE113" i="6"/>
  <c r="AD113" i="6"/>
  <c r="AC113" i="6"/>
  <c r="AB113" i="6"/>
  <c r="AA113" i="6"/>
  <c r="Z113" i="6"/>
  <c r="Y113" i="6"/>
  <c r="X113" i="6"/>
  <c r="W113" i="6"/>
  <c r="V113" i="6"/>
  <c r="U113" i="6"/>
  <c r="T113" i="6"/>
  <c r="S113" i="6"/>
  <c r="R113" i="6"/>
  <c r="J113" i="6"/>
  <c r="I113" i="6"/>
  <c r="H113" i="6"/>
  <c r="G113" i="6"/>
  <c r="F113" i="6"/>
  <c r="E113" i="6"/>
  <c r="D113" i="6"/>
  <c r="C113" i="6"/>
  <c r="BD112" i="6"/>
  <c r="BC112" i="6"/>
  <c r="BB112" i="6"/>
  <c r="BA112" i="6"/>
  <c r="AZ112" i="6"/>
  <c r="AY112" i="6"/>
  <c r="AX112" i="6"/>
  <c r="AW112" i="6"/>
  <c r="AV112" i="6"/>
  <c r="AU112" i="6"/>
  <c r="AT112" i="6"/>
  <c r="AS112" i="6"/>
  <c r="AR112" i="6"/>
  <c r="AQ112" i="6"/>
  <c r="AP112" i="6"/>
  <c r="AO112" i="6"/>
  <c r="AN112" i="6"/>
  <c r="AM112" i="6"/>
  <c r="AL112" i="6"/>
  <c r="AK112" i="6"/>
  <c r="AJ112" i="6"/>
  <c r="AI112" i="6"/>
  <c r="AH112" i="6"/>
  <c r="AG112" i="6"/>
  <c r="AF112" i="6"/>
  <c r="AE112" i="6"/>
  <c r="AD112" i="6"/>
  <c r="AC112" i="6"/>
  <c r="AB112" i="6"/>
  <c r="AA112" i="6"/>
  <c r="Z112" i="6"/>
  <c r="Y112" i="6"/>
  <c r="X112" i="6"/>
  <c r="W112" i="6"/>
  <c r="V112" i="6"/>
  <c r="U112" i="6"/>
  <c r="T112" i="6"/>
  <c r="S112" i="6"/>
  <c r="R112" i="6"/>
  <c r="J112" i="6"/>
  <c r="I112" i="6"/>
  <c r="H112" i="6"/>
  <c r="G112" i="6"/>
  <c r="F112" i="6"/>
  <c r="E112" i="6"/>
  <c r="D112" i="6"/>
  <c r="C112" i="6"/>
  <c r="BD111" i="6"/>
  <c r="BC111" i="6"/>
  <c r="BB111" i="6"/>
  <c r="BA111" i="6"/>
  <c r="AZ111" i="6"/>
  <c r="AY111" i="6"/>
  <c r="AX111" i="6"/>
  <c r="AW111" i="6"/>
  <c r="AV111" i="6"/>
  <c r="AU111" i="6"/>
  <c r="AT111" i="6"/>
  <c r="AS111" i="6"/>
  <c r="AR111" i="6"/>
  <c r="AQ111" i="6"/>
  <c r="AP111" i="6"/>
  <c r="AO111" i="6"/>
  <c r="AN111" i="6"/>
  <c r="AM111" i="6"/>
  <c r="AL111" i="6"/>
  <c r="AK111" i="6"/>
  <c r="AJ111" i="6"/>
  <c r="AI111" i="6"/>
  <c r="AH111" i="6"/>
  <c r="AG111" i="6"/>
  <c r="AF111" i="6"/>
  <c r="AE111" i="6"/>
  <c r="AD111" i="6"/>
  <c r="AC111" i="6"/>
  <c r="AB111" i="6"/>
  <c r="AA111" i="6"/>
  <c r="Z111" i="6"/>
  <c r="Y111" i="6"/>
  <c r="X111" i="6"/>
  <c r="W111" i="6"/>
  <c r="V111" i="6"/>
  <c r="U111" i="6"/>
  <c r="T111" i="6"/>
  <c r="S111" i="6"/>
  <c r="R111" i="6"/>
  <c r="J111" i="6"/>
  <c r="I111" i="6"/>
  <c r="H111" i="6"/>
  <c r="G111" i="6"/>
  <c r="F111" i="6"/>
  <c r="E111" i="6"/>
  <c r="D111" i="6"/>
  <c r="C111" i="6"/>
  <c r="BD110" i="6"/>
  <c r="BC110" i="6"/>
  <c r="BB110" i="6"/>
  <c r="BA110" i="6"/>
  <c r="AZ110" i="6"/>
  <c r="AY110" i="6"/>
  <c r="AX110" i="6"/>
  <c r="AW110" i="6"/>
  <c r="AV110" i="6"/>
  <c r="AU110" i="6"/>
  <c r="AT110" i="6"/>
  <c r="AS110" i="6"/>
  <c r="AR110" i="6"/>
  <c r="AQ110" i="6"/>
  <c r="AP110" i="6"/>
  <c r="AO110" i="6"/>
  <c r="AN110" i="6"/>
  <c r="AM110" i="6"/>
  <c r="AL110" i="6"/>
  <c r="AK110" i="6"/>
  <c r="AJ110" i="6"/>
  <c r="AI110" i="6"/>
  <c r="AH110" i="6"/>
  <c r="AG110" i="6"/>
  <c r="AF110" i="6"/>
  <c r="AE110" i="6"/>
  <c r="AD110" i="6"/>
  <c r="AC110" i="6"/>
  <c r="AB110" i="6"/>
  <c r="AA110" i="6"/>
  <c r="Z110" i="6"/>
  <c r="Y110" i="6"/>
  <c r="X110" i="6"/>
  <c r="W110" i="6"/>
  <c r="V110" i="6"/>
  <c r="U110" i="6"/>
  <c r="T110" i="6"/>
  <c r="S110" i="6"/>
  <c r="R110" i="6"/>
  <c r="J110" i="6"/>
  <c r="I110" i="6"/>
  <c r="H110" i="6"/>
  <c r="G110" i="6"/>
  <c r="F110" i="6"/>
  <c r="E110" i="6"/>
  <c r="D110" i="6"/>
  <c r="C110" i="6"/>
  <c r="BD109" i="6"/>
  <c r="BC109" i="6"/>
  <c r="BB109" i="6"/>
  <c r="BA109" i="6"/>
  <c r="AZ109" i="6"/>
  <c r="AY109" i="6"/>
  <c r="AX109" i="6"/>
  <c r="AW109" i="6"/>
  <c r="AV109" i="6"/>
  <c r="AU109" i="6"/>
  <c r="AT109" i="6"/>
  <c r="AS109" i="6"/>
  <c r="AR109" i="6"/>
  <c r="AQ109" i="6"/>
  <c r="AP109" i="6"/>
  <c r="AO109" i="6"/>
  <c r="AN109" i="6"/>
  <c r="AM109" i="6"/>
  <c r="AL109" i="6"/>
  <c r="AK109" i="6"/>
  <c r="AJ109" i="6"/>
  <c r="AI109" i="6"/>
  <c r="AH109" i="6"/>
  <c r="AG109" i="6"/>
  <c r="AF109" i="6"/>
  <c r="AE109" i="6"/>
  <c r="AD109" i="6"/>
  <c r="AC109" i="6"/>
  <c r="AB109" i="6"/>
  <c r="AA109" i="6"/>
  <c r="Z109" i="6"/>
  <c r="Y109" i="6"/>
  <c r="X109" i="6"/>
  <c r="R109" i="6"/>
  <c r="J109" i="6"/>
  <c r="I109" i="6"/>
  <c r="H109" i="6"/>
  <c r="G109" i="6"/>
  <c r="F109" i="6"/>
  <c r="E109" i="6"/>
  <c r="BD108" i="6"/>
  <c r="BC108" i="6"/>
  <c r="BB108" i="6"/>
  <c r="BA108" i="6"/>
  <c r="AZ108" i="6"/>
  <c r="AY108" i="6"/>
  <c r="AX108" i="6"/>
  <c r="AW108" i="6"/>
  <c r="AV108" i="6"/>
  <c r="AU108" i="6"/>
  <c r="AT108" i="6"/>
  <c r="AS108" i="6"/>
  <c r="AR108" i="6"/>
  <c r="AQ108" i="6"/>
  <c r="AP108" i="6"/>
  <c r="AO108" i="6"/>
  <c r="AN108" i="6"/>
  <c r="AM108" i="6"/>
  <c r="AL108" i="6"/>
  <c r="AK108" i="6"/>
  <c r="AJ108" i="6"/>
  <c r="AI108" i="6"/>
  <c r="AH108" i="6"/>
  <c r="AG108" i="6"/>
  <c r="AF108" i="6"/>
  <c r="AE108" i="6"/>
  <c r="AD108" i="6"/>
  <c r="AC108" i="6"/>
  <c r="AB108" i="6"/>
  <c r="AA108" i="6"/>
  <c r="Z108" i="6"/>
  <c r="Y108" i="6"/>
  <c r="X108" i="6"/>
  <c r="W108" i="6"/>
  <c r="V108" i="6"/>
  <c r="U108" i="6"/>
  <c r="T108" i="6"/>
  <c r="S108" i="6"/>
  <c r="R108" i="6"/>
  <c r="J108" i="6"/>
  <c r="I108" i="6"/>
  <c r="H108" i="6"/>
  <c r="G108" i="6"/>
  <c r="F108" i="6"/>
  <c r="E108" i="6"/>
  <c r="D108" i="6"/>
  <c r="R107" i="6"/>
  <c r="BZ106" i="6"/>
  <c r="BY106" i="6"/>
  <c r="BX106" i="6"/>
  <c r="BW106" i="6"/>
  <c r="BV106" i="6"/>
  <c r="BU106" i="6"/>
  <c r="BT106" i="6"/>
  <c r="BS106" i="6"/>
  <c r="BR106" i="6"/>
  <c r="BQ106" i="6"/>
  <c r="BP106" i="6"/>
  <c r="BO106" i="6"/>
  <c r="BN106" i="6"/>
  <c r="BM106" i="6"/>
  <c r="BL106" i="6"/>
  <c r="BK106" i="6"/>
  <c r="BJ106" i="6"/>
  <c r="BI106" i="6"/>
  <c r="BH106" i="6"/>
  <c r="BG106" i="6"/>
  <c r="BF106" i="6"/>
  <c r="BE106" i="6"/>
  <c r="BD106" i="6"/>
  <c r="BC106" i="6"/>
  <c r="BB106" i="6"/>
  <c r="BA106" i="6"/>
  <c r="AZ106" i="6"/>
  <c r="AY106" i="6"/>
  <c r="AX106" i="6"/>
  <c r="AW106" i="6"/>
  <c r="AV106" i="6"/>
  <c r="AU106" i="6"/>
  <c r="AT106" i="6"/>
  <c r="AS106" i="6"/>
  <c r="AR106" i="6"/>
  <c r="AQ106" i="6"/>
  <c r="AP106" i="6"/>
  <c r="AO106" i="6"/>
  <c r="AN106" i="6"/>
  <c r="AM106" i="6"/>
  <c r="AL106" i="6"/>
  <c r="AK106" i="6"/>
  <c r="AJ106" i="6"/>
  <c r="AI106" i="6"/>
  <c r="AH106" i="6"/>
  <c r="AG106" i="6"/>
  <c r="AF106" i="6"/>
  <c r="AE106" i="6"/>
  <c r="AD106" i="6"/>
  <c r="AC106" i="6"/>
  <c r="AB106" i="6"/>
  <c r="AA106" i="6"/>
  <c r="Z106" i="6"/>
  <c r="Y106" i="6"/>
  <c r="X106" i="6"/>
  <c r="W106" i="6"/>
  <c r="V106" i="6"/>
  <c r="U106" i="6"/>
  <c r="T106" i="6"/>
  <c r="S106" i="6"/>
  <c r="BV105" i="6"/>
  <c r="BQ105" i="6"/>
  <c r="BL105" i="6"/>
  <c r="BG105" i="6"/>
  <c r="BB105" i="6"/>
  <c r="AW105" i="6"/>
  <c r="AR105" i="6"/>
  <c r="AM105" i="6"/>
  <c r="AH105" i="6"/>
  <c r="AC105" i="6"/>
  <c r="X105" i="6"/>
  <c r="S105" i="6"/>
  <c r="O105" i="6"/>
  <c r="N105" i="6"/>
  <c r="M105" i="6"/>
  <c r="L105" i="6"/>
  <c r="K105" i="6"/>
  <c r="J105" i="6"/>
  <c r="I105" i="6"/>
  <c r="H105" i="6"/>
  <c r="G105" i="6"/>
  <c r="F105" i="6"/>
  <c r="E105" i="6"/>
  <c r="D105" i="6"/>
  <c r="BY104" i="6"/>
  <c r="BX104" i="6"/>
  <c r="R104" i="6"/>
  <c r="O104" i="6"/>
  <c r="N104" i="6"/>
  <c r="C104" i="6"/>
  <c r="BX103" i="6"/>
  <c r="R103" i="6"/>
  <c r="N103" i="6"/>
  <c r="C103" i="6"/>
  <c r="BX102" i="6"/>
  <c r="R102" i="6"/>
  <c r="N102" i="6"/>
  <c r="C102" i="6"/>
  <c r="BD93" i="6"/>
  <c r="BC93" i="6"/>
  <c r="BB93" i="6"/>
  <c r="BA93" i="6"/>
  <c r="AZ93" i="6"/>
  <c r="AY93" i="6"/>
  <c r="AX93" i="6"/>
  <c r="AW93" i="6"/>
  <c r="AV93" i="6"/>
  <c r="AU93" i="6"/>
  <c r="AT93" i="6"/>
  <c r="AS93" i="6"/>
  <c r="AR93" i="6"/>
  <c r="AQ93" i="6"/>
  <c r="AP93" i="6"/>
  <c r="AO93" i="6"/>
  <c r="AN93" i="6"/>
  <c r="AM93" i="6"/>
  <c r="AL93" i="6"/>
  <c r="AK93" i="6"/>
  <c r="AJ93" i="6"/>
  <c r="AI93" i="6"/>
  <c r="AH93" i="6"/>
  <c r="AG93" i="6"/>
  <c r="AF93" i="6"/>
  <c r="AE93" i="6"/>
  <c r="AD93" i="6"/>
  <c r="AC93" i="6"/>
  <c r="AB93" i="6"/>
  <c r="AA93" i="6"/>
  <c r="Z93" i="6"/>
  <c r="Y93" i="6"/>
  <c r="X93" i="6"/>
  <c r="W93" i="6"/>
  <c r="V93" i="6"/>
  <c r="U93" i="6"/>
  <c r="T93" i="6"/>
  <c r="R93" i="6"/>
  <c r="J93" i="6"/>
  <c r="I93" i="6"/>
  <c r="H93" i="6"/>
  <c r="G93" i="6"/>
  <c r="F93" i="6"/>
  <c r="E93" i="6"/>
  <c r="D93" i="6"/>
  <c r="BD92" i="6"/>
  <c r="BC92" i="6"/>
  <c r="BB92" i="6"/>
  <c r="BA92" i="6"/>
  <c r="AZ92" i="6"/>
  <c r="AY92" i="6"/>
  <c r="AX92" i="6"/>
  <c r="AW92" i="6"/>
  <c r="AV92" i="6"/>
  <c r="AU92" i="6"/>
  <c r="AT92" i="6"/>
  <c r="AS92" i="6"/>
  <c r="AR92" i="6"/>
  <c r="AQ92" i="6"/>
  <c r="AP92" i="6"/>
  <c r="AO92" i="6"/>
  <c r="AN92" i="6"/>
  <c r="AM92" i="6"/>
  <c r="AL92" i="6"/>
  <c r="AK92" i="6"/>
  <c r="AJ92" i="6"/>
  <c r="AI92" i="6"/>
  <c r="AH92" i="6"/>
  <c r="AG92" i="6"/>
  <c r="AF92" i="6"/>
  <c r="AE92" i="6"/>
  <c r="AD92" i="6"/>
  <c r="AC92" i="6"/>
  <c r="AB92" i="6"/>
  <c r="AA92" i="6"/>
  <c r="Z92" i="6"/>
  <c r="Y92" i="6"/>
  <c r="X92" i="6"/>
  <c r="W92" i="6"/>
  <c r="V92" i="6"/>
  <c r="U92" i="6"/>
  <c r="T92" i="6"/>
  <c r="R92" i="6"/>
  <c r="J92" i="6"/>
  <c r="I92" i="6"/>
  <c r="H92" i="6"/>
  <c r="G92" i="6"/>
  <c r="F92" i="6"/>
  <c r="E92" i="6"/>
  <c r="D92" i="6"/>
  <c r="BD91" i="6"/>
  <c r="BC91" i="6"/>
  <c r="BB91" i="6"/>
  <c r="BA91" i="6"/>
  <c r="AZ91" i="6"/>
  <c r="AY91" i="6"/>
  <c r="AX91" i="6"/>
  <c r="AW91" i="6"/>
  <c r="AV91" i="6"/>
  <c r="AU91" i="6"/>
  <c r="AT91" i="6"/>
  <c r="AS91" i="6"/>
  <c r="AR91" i="6"/>
  <c r="AQ91" i="6"/>
  <c r="AP91" i="6"/>
  <c r="AO91" i="6"/>
  <c r="AN91" i="6"/>
  <c r="AM91" i="6"/>
  <c r="AL91" i="6"/>
  <c r="AK91" i="6"/>
  <c r="AJ91" i="6"/>
  <c r="AI91" i="6"/>
  <c r="AH91" i="6"/>
  <c r="AG91" i="6"/>
  <c r="AF91" i="6"/>
  <c r="AE91" i="6"/>
  <c r="AD91" i="6"/>
  <c r="AC91" i="6"/>
  <c r="AB91" i="6"/>
  <c r="AA91" i="6"/>
  <c r="Z91" i="6"/>
  <c r="Y91" i="6"/>
  <c r="X91" i="6"/>
  <c r="W91" i="6"/>
  <c r="V91" i="6"/>
  <c r="U91" i="6"/>
  <c r="R91" i="6"/>
  <c r="J91" i="6"/>
  <c r="I91" i="6"/>
  <c r="H91" i="6"/>
  <c r="G91" i="6"/>
  <c r="F91" i="6"/>
  <c r="E91" i="6"/>
  <c r="BD90" i="6"/>
  <c r="BC90" i="6"/>
  <c r="BB90" i="6"/>
  <c r="BA90" i="6"/>
  <c r="AZ90" i="6"/>
  <c r="AY90" i="6"/>
  <c r="AX90" i="6"/>
  <c r="AW90" i="6"/>
  <c r="AV90" i="6"/>
  <c r="AU90" i="6"/>
  <c r="AT90" i="6"/>
  <c r="AS90" i="6"/>
  <c r="AR90" i="6"/>
  <c r="AQ90" i="6"/>
  <c r="AP90" i="6"/>
  <c r="AO90" i="6"/>
  <c r="AN90" i="6"/>
  <c r="AM90" i="6"/>
  <c r="AL90" i="6"/>
  <c r="AK90" i="6"/>
  <c r="AJ90" i="6"/>
  <c r="AI90" i="6"/>
  <c r="AH90" i="6"/>
  <c r="AG90" i="6"/>
  <c r="AF90" i="6"/>
  <c r="AE90" i="6"/>
  <c r="AD90" i="6"/>
  <c r="AC90" i="6"/>
  <c r="AB90" i="6"/>
  <c r="AA90" i="6"/>
  <c r="Z90" i="6"/>
  <c r="Y90" i="6"/>
  <c r="X90" i="6"/>
  <c r="W90" i="6"/>
  <c r="V90" i="6"/>
  <c r="U90" i="6"/>
  <c r="T90" i="6"/>
  <c r="R90" i="6"/>
  <c r="J90" i="6"/>
  <c r="I90" i="6"/>
  <c r="H90" i="6"/>
  <c r="G90" i="6"/>
  <c r="F90" i="6"/>
  <c r="E90" i="6"/>
  <c r="D90" i="6"/>
  <c r="BD89" i="6"/>
  <c r="BC89" i="6"/>
  <c r="BB89" i="6"/>
  <c r="BA89" i="6"/>
  <c r="AZ89" i="6"/>
  <c r="AY89" i="6"/>
  <c r="AX89" i="6"/>
  <c r="AW89" i="6"/>
  <c r="AV89" i="6"/>
  <c r="AU89" i="6"/>
  <c r="AT89" i="6"/>
  <c r="AS89" i="6"/>
  <c r="AR89" i="6"/>
  <c r="AQ89" i="6"/>
  <c r="AP89" i="6"/>
  <c r="AO89" i="6"/>
  <c r="AN89" i="6"/>
  <c r="AM89" i="6"/>
  <c r="AL89" i="6"/>
  <c r="AK89" i="6"/>
  <c r="AJ89" i="6"/>
  <c r="AI89" i="6"/>
  <c r="AH89" i="6"/>
  <c r="AG89" i="6"/>
  <c r="AF89" i="6"/>
  <c r="AE89" i="6"/>
  <c r="AD89" i="6"/>
  <c r="AC89" i="6"/>
  <c r="AB89" i="6"/>
  <c r="AA89" i="6"/>
  <c r="Z89" i="6"/>
  <c r="Y89" i="6"/>
  <c r="X89" i="6"/>
  <c r="W89" i="6"/>
  <c r="V89" i="6"/>
  <c r="U89" i="6"/>
  <c r="R89" i="6"/>
  <c r="J89" i="6"/>
  <c r="I89" i="6"/>
  <c r="H89" i="6"/>
  <c r="G89" i="6"/>
  <c r="F89" i="6"/>
  <c r="E89" i="6"/>
  <c r="BD88" i="6"/>
  <c r="BC88" i="6"/>
  <c r="BB88" i="6"/>
  <c r="BA88" i="6"/>
  <c r="AZ88" i="6"/>
  <c r="AY88" i="6"/>
  <c r="AX88" i="6"/>
  <c r="AW88" i="6"/>
  <c r="AV88" i="6"/>
  <c r="AU88" i="6"/>
  <c r="AT88" i="6"/>
  <c r="AS88" i="6"/>
  <c r="AR88" i="6"/>
  <c r="AQ88" i="6"/>
  <c r="AP88" i="6"/>
  <c r="AO88" i="6"/>
  <c r="AN88" i="6"/>
  <c r="AM88" i="6"/>
  <c r="AL88" i="6"/>
  <c r="AK88" i="6"/>
  <c r="AJ88" i="6"/>
  <c r="AI88" i="6"/>
  <c r="AH88" i="6"/>
  <c r="AG88" i="6"/>
  <c r="AF88" i="6"/>
  <c r="AE88" i="6"/>
  <c r="AD88" i="6"/>
  <c r="AC88" i="6"/>
  <c r="AB88" i="6"/>
  <c r="AA88" i="6"/>
  <c r="Z88" i="6"/>
  <c r="Y88" i="6"/>
  <c r="X88" i="6"/>
  <c r="W88" i="6"/>
  <c r="V88" i="6"/>
  <c r="U88" i="6"/>
  <c r="T88" i="6"/>
  <c r="R88" i="6"/>
  <c r="J88" i="6"/>
  <c r="I88" i="6"/>
  <c r="H88" i="6"/>
  <c r="G88" i="6"/>
  <c r="F88" i="6"/>
  <c r="E88" i="6"/>
  <c r="D88" i="6"/>
  <c r="R87" i="6"/>
  <c r="J85" i="6"/>
  <c r="I85" i="6"/>
  <c r="H85" i="6"/>
  <c r="G85" i="6"/>
  <c r="F85" i="6"/>
  <c r="E85" i="6"/>
  <c r="J82" i="6"/>
  <c r="I82" i="6"/>
  <c r="H82" i="6"/>
  <c r="G82" i="6"/>
  <c r="F82" i="6"/>
  <c r="E82" i="6"/>
  <c r="K78" i="6"/>
  <c r="J78" i="6"/>
  <c r="I78" i="6"/>
  <c r="H78" i="6"/>
  <c r="G78" i="6"/>
  <c r="F78" i="6"/>
  <c r="C77" i="6"/>
  <c r="BD75" i="6"/>
  <c r="BC75" i="6"/>
  <c r="BB75" i="6"/>
  <c r="BA75" i="6"/>
  <c r="AZ75" i="6"/>
  <c r="AY75" i="6"/>
  <c r="AX75" i="6"/>
  <c r="AW75" i="6"/>
  <c r="AV75" i="6"/>
  <c r="AU75" i="6"/>
  <c r="AT75" i="6"/>
  <c r="AS75" i="6"/>
  <c r="AR75" i="6"/>
  <c r="AQ75" i="6"/>
  <c r="AP75" i="6"/>
  <c r="AO75" i="6"/>
  <c r="AN75" i="6"/>
  <c r="AM75" i="6"/>
  <c r="AL75" i="6"/>
  <c r="AK75" i="6"/>
  <c r="AJ75" i="6"/>
  <c r="AI75" i="6"/>
  <c r="AH75" i="6"/>
  <c r="AG75" i="6"/>
  <c r="AF75" i="6"/>
  <c r="AE75" i="6"/>
  <c r="AD75" i="6"/>
  <c r="AC75" i="6"/>
  <c r="AB75" i="6"/>
  <c r="AA75" i="6"/>
  <c r="Z75" i="6"/>
  <c r="Y75" i="6"/>
  <c r="X75" i="6"/>
  <c r="R75" i="6"/>
  <c r="J75" i="6"/>
  <c r="I75" i="6"/>
  <c r="H75" i="6"/>
  <c r="G75" i="6"/>
  <c r="F75" i="6"/>
  <c r="E75" i="6"/>
  <c r="BD74" i="6"/>
  <c r="BC74" i="6"/>
  <c r="BB74" i="6"/>
  <c r="BA74" i="6"/>
  <c r="AZ74" i="6"/>
  <c r="AY74" i="6"/>
  <c r="AX74" i="6"/>
  <c r="AW74" i="6"/>
  <c r="AV74" i="6"/>
  <c r="AU74" i="6"/>
  <c r="AT74" i="6"/>
  <c r="AS74" i="6"/>
  <c r="AR74" i="6"/>
  <c r="AQ74" i="6"/>
  <c r="AP74" i="6"/>
  <c r="AO74" i="6"/>
  <c r="AN74" i="6"/>
  <c r="AM74" i="6"/>
  <c r="AL74" i="6"/>
  <c r="AK74" i="6"/>
  <c r="AJ74" i="6"/>
  <c r="AI74" i="6"/>
  <c r="AH74" i="6"/>
  <c r="AG74" i="6"/>
  <c r="AF74" i="6"/>
  <c r="AE74" i="6"/>
  <c r="AD74" i="6"/>
  <c r="AC74" i="6"/>
  <c r="AB74" i="6"/>
  <c r="AA74" i="6"/>
  <c r="Z74" i="6"/>
  <c r="Y74" i="6"/>
  <c r="X74" i="6"/>
  <c r="R74" i="6"/>
  <c r="J74" i="6"/>
  <c r="I74" i="6"/>
  <c r="H74" i="6"/>
  <c r="G74" i="6"/>
  <c r="F74" i="6"/>
  <c r="E74" i="6"/>
  <c r="R73" i="6"/>
  <c r="BD72" i="6"/>
  <c r="BC72" i="6"/>
  <c r="BB72" i="6"/>
  <c r="BA72" i="6"/>
  <c r="AZ72" i="6"/>
  <c r="AY72" i="6"/>
  <c r="AX72" i="6"/>
  <c r="AW72" i="6"/>
  <c r="AV72" i="6"/>
  <c r="AU72" i="6"/>
  <c r="AT72" i="6"/>
  <c r="AS72" i="6"/>
  <c r="AR72" i="6"/>
  <c r="AQ72" i="6"/>
  <c r="AP72" i="6"/>
  <c r="AO72" i="6"/>
  <c r="AN72" i="6"/>
  <c r="AM72" i="6"/>
  <c r="AL72" i="6"/>
  <c r="AK72" i="6"/>
  <c r="AJ72" i="6"/>
  <c r="AI72" i="6"/>
  <c r="AH72" i="6"/>
  <c r="AG72" i="6"/>
  <c r="AF72" i="6"/>
  <c r="AE72" i="6"/>
  <c r="AD72" i="6"/>
  <c r="AC72" i="6"/>
  <c r="AB72" i="6"/>
  <c r="AA72" i="6"/>
  <c r="Z72" i="6"/>
  <c r="Y72" i="6"/>
  <c r="X72" i="6"/>
  <c r="R72" i="6"/>
  <c r="J72" i="6"/>
  <c r="I72" i="6"/>
  <c r="H72" i="6"/>
  <c r="G72" i="6"/>
  <c r="F72" i="6"/>
  <c r="E72" i="6"/>
  <c r="BD71" i="6"/>
  <c r="BC71" i="6"/>
  <c r="BB71" i="6"/>
  <c r="BA71" i="6"/>
  <c r="AZ71" i="6"/>
  <c r="AY71" i="6"/>
  <c r="AX71" i="6"/>
  <c r="AW71" i="6"/>
  <c r="AV71" i="6"/>
  <c r="AU71" i="6"/>
  <c r="AT71" i="6"/>
  <c r="AS71" i="6"/>
  <c r="AR71" i="6"/>
  <c r="AQ71" i="6"/>
  <c r="AP71" i="6"/>
  <c r="AO71" i="6"/>
  <c r="AN71" i="6"/>
  <c r="AM71" i="6"/>
  <c r="AL71" i="6"/>
  <c r="AK71" i="6"/>
  <c r="AJ71" i="6"/>
  <c r="AI71" i="6"/>
  <c r="AH71" i="6"/>
  <c r="AG71" i="6"/>
  <c r="AF71" i="6"/>
  <c r="AE71" i="6"/>
  <c r="AD71" i="6"/>
  <c r="AC71" i="6"/>
  <c r="AB71" i="6"/>
  <c r="AA71" i="6"/>
  <c r="Z71" i="6"/>
  <c r="Y71" i="6"/>
  <c r="X71" i="6"/>
  <c r="R71" i="6"/>
  <c r="J71" i="6"/>
  <c r="I71" i="6"/>
  <c r="H71" i="6"/>
  <c r="G71" i="6"/>
  <c r="F71" i="6"/>
  <c r="E71" i="6"/>
  <c r="R70" i="6"/>
  <c r="R69" i="6"/>
  <c r="BZ68" i="6"/>
  <c r="BY68" i="6"/>
  <c r="BX68" i="6"/>
  <c r="BW68" i="6"/>
  <c r="BV68" i="6"/>
  <c r="BU68" i="6"/>
  <c r="BT68" i="6"/>
  <c r="BS68" i="6"/>
  <c r="BR68" i="6"/>
  <c r="BQ68" i="6"/>
  <c r="BP68" i="6"/>
  <c r="BO68" i="6"/>
  <c r="BN68" i="6"/>
  <c r="BM68" i="6"/>
  <c r="BL68" i="6"/>
  <c r="BK68" i="6"/>
  <c r="BJ68" i="6"/>
  <c r="BI68" i="6"/>
  <c r="BH68" i="6"/>
  <c r="BG68" i="6"/>
  <c r="BF68" i="6"/>
  <c r="BE68" i="6"/>
  <c r="BD68" i="6"/>
  <c r="BC68" i="6"/>
  <c r="BB68" i="6"/>
  <c r="BA68" i="6"/>
  <c r="AZ68" i="6"/>
  <c r="AY68" i="6"/>
  <c r="AX68" i="6"/>
  <c r="AW68" i="6"/>
  <c r="AV68" i="6"/>
  <c r="AU68" i="6"/>
  <c r="AT68" i="6"/>
  <c r="AS68" i="6"/>
  <c r="AR68" i="6"/>
  <c r="AQ68" i="6"/>
  <c r="AP68" i="6"/>
  <c r="AO68" i="6"/>
  <c r="AN68" i="6"/>
  <c r="AM68" i="6"/>
  <c r="AL68" i="6"/>
  <c r="AK68" i="6"/>
  <c r="AJ68" i="6"/>
  <c r="AI68" i="6"/>
  <c r="AH68" i="6"/>
  <c r="AG68" i="6"/>
  <c r="AF68" i="6"/>
  <c r="AE68" i="6"/>
  <c r="AD68" i="6"/>
  <c r="AC68" i="6"/>
  <c r="AB68" i="6"/>
  <c r="AA68" i="6"/>
  <c r="Z68" i="6"/>
  <c r="Y68" i="6"/>
  <c r="X68" i="6"/>
  <c r="R68" i="6"/>
  <c r="J68" i="6"/>
  <c r="I68" i="6"/>
  <c r="H68" i="6"/>
  <c r="G68" i="6"/>
  <c r="F68" i="6"/>
  <c r="E68" i="6"/>
  <c r="C68" i="6"/>
  <c r="BZ67" i="6"/>
  <c r="BY67" i="6"/>
  <c r="BX67" i="6"/>
  <c r="BW67" i="6"/>
  <c r="BV67" i="6"/>
  <c r="BU67" i="6"/>
  <c r="BT67" i="6"/>
  <c r="BS67" i="6"/>
  <c r="BR67" i="6"/>
  <c r="BQ67" i="6"/>
  <c r="BP67" i="6"/>
  <c r="BO67" i="6"/>
  <c r="BN67" i="6"/>
  <c r="BM67" i="6"/>
  <c r="BL67" i="6"/>
  <c r="BK67" i="6"/>
  <c r="BJ67" i="6"/>
  <c r="BI67" i="6"/>
  <c r="BH67" i="6"/>
  <c r="BG67" i="6"/>
  <c r="BF67" i="6"/>
  <c r="BE67" i="6"/>
  <c r="BD67" i="6"/>
  <c r="BC67" i="6"/>
  <c r="BB67" i="6"/>
  <c r="BA67" i="6"/>
  <c r="AZ67" i="6"/>
  <c r="AY67" i="6"/>
  <c r="AX67" i="6"/>
  <c r="AW67" i="6"/>
  <c r="AV67" i="6"/>
  <c r="AU67" i="6"/>
  <c r="AT67" i="6"/>
  <c r="AS67" i="6"/>
  <c r="AR67" i="6"/>
  <c r="AQ67" i="6"/>
  <c r="AP67" i="6"/>
  <c r="AO67" i="6"/>
  <c r="AN67" i="6"/>
  <c r="AM67" i="6"/>
  <c r="AL67" i="6"/>
  <c r="AK67" i="6"/>
  <c r="AJ67" i="6"/>
  <c r="AI67" i="6"/>
  <c r="AH67" i="6"/>
  <c r="AG67" i="6"/>
  <c r="AF67" i="6"/>
  <c r="AE67" i="6"/>
  <c r="AD67" i="6"/>
  <c r="AC67" i="6"/>
  <c r="AB67" i="6"/>
  <c r="AA67" i="6"/>
  <c r="Z67" i="6"/>
  <c r="Y67" i="6"/>
  <c r="X67" i="6"/>
  <c r="R67" i="6"/>
  <c r="J67" i="6"/>
  <c r="I67" i="6"/>
  <c r="H67" i="6"/>
  <c r="G67" i="6"/>
  <c r="F67" i="6"/>
  <c r="E67" i="6"/>
  <c r="C67" i="6"/>
  <c r="BD66" i="6"/>
  <c r="BC66" i="6"/>
  <c r="BB66" i="6"/>
  <c r="BA66" i="6"/>
  <c r="AZ66" i="6"/>
  <c r="AY66" i="6"/>
  <c r="AX66" i="6"/>
  <c r="AW66" i="6"/>
  <c r="AV66" i="6"/>
  <c r="AU66" i="6"/>
  <c r="AT66" i="6"/>
  <c r="AS66" i="6"/>
  <c r="AR66" i="6"/>
  <c r="AQ66" i="6"/>
  <c r="AP66" i="6"/>
  <c r="AO66" i="6"/>
  <c r="AN66" i="6"/>
  <c r="AM66" i="6"/>
  <c r="AL66" i="6"/>
  <c r="AK66" i="6"/>
  <c r="AJ66" i="6"/>
  <c r="AI66" i="6"/>
  <c r="AH66" i="6"/>
  <c r="AG66" i="6"/>
  <c r="AF66" i="6"/>
  <c r="AE66" i="6"/>
  <c r="AD66" i="6"/>
  <c r="AC66" i="6"/>
  <c r="AB66" i="6"/>
  <c r="AA66" i="6"/>
  <c r="Z66" i="6"/>
  <c r="Y66" i="6"/>
  <c r="X66" i="6"/>
  <c r="R66" i="6"/>
  <c r="J66" i="6"/>
  <c r="I66" i="6"/>
  <c r="H66" i="6"/>
  <c r="G66" i="6"/>
  <c r="F66" i="6"/>
  <c r="E66" i="6"/>
  <c r="BF65" i="6"/>
  <c r="BE65" i="6"/>
  <c r="BD65" i="6"/>
  <c r="BC65" i="6"/>
  <c r="BB65" i="6"/>
  <c r="BA65" i="6"/>
  <c r="AZ65" i="6"/>
  <c r="AY65" i="6"/>
  <c r="AX65" i="6"/>
  <c r="AW65" i="6"/>
  <c r="AV65" i="6"/>
  <c r="AU65" i="6"/>
  <c r="AT65" i="6"/>
  <c r="AS65" i="6"/>
  <c r="AR65" i="6"/>
  <c r="AQ65" i="6"/>
  <c r="AP65" i="6"/>
  <c r="AO65" i="6"/>
  <c r="AN65" i="6"/>
  <c r="AM65" i="6"/>
  <c r="AL65" i="6"/>
  <c r="AK65" i="6"/>
  <c r="AJ65" i="6"/>
  <c r="AI65" i="6"/>
  <c r="AH65" i="6"/>
  <c r="AG65" i="6"/>
  <c r="AF65" i="6"/>
  <c r="AE65" i="6"/>
  <c r="AD65" i="6"/>
  <c r="AC65" i="6"/>
  <c r="AB65" i="6"/>
  <c r="AA65" i="6"/>
  <c r="Z65" i="6"/>
  <c r="Y65" i="6"/>
  <c r="X65" i="6"/>
  <c r="R65" i="6"/>
  <c r="K65" i="6"/>
  <c r="J65" i="6"/>
  <c r="I65" i="6"/>
  <c r="H65" i="6"/>
  <c r="G65" i="6"/>
  <c r="F65" i="6"/>
  <c r="E65" i="6"/>
  <c r="R64" i="6"/>
  <c r="BZ63" i="6"/>
  <c r="BY63" i="6"/>
  <c r="BX63" i="6"/>
  <c r="BW63" i="6"/>
  <c r="BV63" i="6"/>
  <c r="BU63" i="6"/>
  <c r="BT63" i="6"/>
  <c r="BS63" i="6"/>
  <c r="BR63" i="6"/>
  <c r="BQ63" i="6"/>
  <c r="BP63" i="6"/>
  <c r="BO63" i="6"/>
  <c r="BN63" i="6"/>
  <c r="BM63" i="6"/>
  <c r="BL63" i="6"/>
  <c r="BK63" i="6"/>
  <c r="BJ63" i="6"/>
  <c r="BI63" i="6"/>
  <c r="BH63" i="6"/>
  <c r="BG63" i="6"/>
  <c r="BF63" i="6"/>
  <c r="BE63" i="6"/>
  <c r="BD63" i="6"/>
  <c r="BC63" i="6"/>
  <c r="BB63" i="6"/>
  <c r="BA63" i="6"/>
  <c r="AZ63" i="6"/>
  <c r="AY63" i="6"/>
  <c r="AX63" i="6"/>
  <c r="AW63" i="6"/>
  <c r="AV63" i="6"/>
  <c r="AU63" i="6"/>
  <c r="AT63" i="6"/>
  <c r="AS63" i="6"/>
  <c r="AR63" i="6"/>
  <c r="AQ63" i="6"/>
  <c r="AP63" i="6"/>
  <c r="AO63" i="6"/>
  <c r="AN63" i="6"/>
  <c r="AM63" i="6"/>
  <c r="AL63" i="6"/>
  <c r="AK63" i="6"/>
  <c r="AJ63" i="6"/>
  <c r="AI63" i="6"/>
  <c r="AH63" i="6"/>
  <c r="AG63" i="6"/>
  <c r="AF63" i="6"/>
  <c r="AE63" i="6"/>
  <c r="AD63" i="6"/>
  <c r="AC63" i="6"/>
  <c r="AB63" i="6"/>
  <c r="AA63" i="6"/>
  <c r="Z63" i="6"/>
  <c r="Y63" i="6"/>
  <c r="X63" i="6"/>
  <c r="W63" i="6"/>
  <c r="V63" i="6"/>
  <c r="U63" i="6"/>
  <c r="T63" i="6"/>
  <c r="S63" i="6"/>
  <c r="BV62" i="6"/>
  <c r="BQ62" i="6"/>
  <c r="BL62" i="6"/>
  <c r="BG62" i="6"/>
  <c r="BB62" i="6"/>
  <c r="AW62" i="6"/>
  <c r="AR62" i="6"/>
  <c r="AM62" i="6"/>
  <c r="AH62" i="6"/>
  <c r="AC62" i="6"/>
  <c r="X62" i="6"/>
  <c r="S62" i="6"/>
  <c r="O62" i="6"/>
  <c r="N62" i="6"/>
  <c r="M62" i="6"/>
  <c r="L62" i="6"/>
  <c r="K62" i="6"/>
  <c r="J62" i="6"/>
  <c r="I62" i="6"/>
  <c r="H62" i="6"/>
  <c r="G62" i="6"/>
  <c r="F62" i="6"/>
  <c r="E62" i="6"/>
  <c r="D62" i="6"/>
  <c r="BY61" i="6"/>
  <c r="BX61" i="6"/>
  <c r="R61" i="6"/>
  <c r="O61" i="6"/>
  <c r="N61" i="6"/>
  <c r="C61" i="6"/>
  <c r="BX60" i="6"/>
  <c r="R60" i="6"/>
  <c r="N60" i="6"/>
  <c r="C60" i="6"/>
  <c r="BX59" i="6"/>
  <c r="R59" i="6"/>
  <c r="N59" i="6"/>
  <c r="C59" i="6"/>
  <c r="BD54" i="6"/>
  <c r="BC54" i="6"/>
  <c r="BB54" i="6"/>
  <c r="BA54" i="6"/>
  <c r="AZ54" i="6"/>
  <c r="AY54" i="6"/>
  <c r="AX54" i="6"/>
  <c r="AW54" i="6"/>
  <c r="AV54" i="6"/>
  <c r="AU54" i="6"/>
  <c r="AT54" i="6"/>
  <c r="AS54" i="6"/>
  <c r="AR54" i="6"/>
  <c r="AQ54" i="6"/>
  <c r="AP54" i="6"/>
  <c r="AO54" i="6"/>
  <c r="AN54" i="6"/>
  <c r="AM54" i="6"/>
  <c r="AL54" i="6"/>
  <c r="AK54" i="6"/>
  <c r="AJ54" i="6"/>
  <c r="AI54" i="6"/>
  <c r="AH54" i="6"/>
  <c r="AG54" i="6"/>
  <c r="AF54" i="6"/>
  <c r="AE54" i="6"/>
  <c r="AD54" i="6"/>
  <c r="AC54" i="6"/>
  <c r="AB54" i="6"/>
  <c r="AA54" i="6"/>
  <c r="Z54" i="6"/>
  <c r="Y54" i="6"/>
  <c r="X54" i="6"/>
  <c r="W54" i="6"/>
  <c r="V54" i="6"/>
  <c r="U54" i="6"/>
  <c r="T54" i="6"/>
  <c r="S54" i="6"/>
  <c r="R54" i="6"/>
  <c r="J54" i="6"/>
  <c r="I54" i="6"/>
  <c r="H54" i="6"/>
  <c r="G54" i="6"/>
  <c r="F54" i="6"/>
  <c r="E54" i="6"/>
  <c r="D54" i="6"/>
  <c r="BD52" i="6"/>
  <c r="BC52" i="6"/>
  <c r="BB52" i="6"/>
  <c r="BA52" i="6"/>
  <c r="AZ52" i="6"/>
  <c r="AY52" i="6"/>
  <c r="AX52" i="6"/>
  <c r="AW52" i="6"/>
  <c r="AV52" i="6"/>
  <c r="AU52" i="6"/>
  <c r="AT52" i="6"/>
  <c r="AS52" i="6"/>
  <c r="AR52" i="6"/>
  <c r="AQ52" i="6"/>
  <c r="AP52" i="6"/>
  <c r="AO52" i="6"/>
  <c r="AN52" i="6"/>
  <c r="AM52" i="6"/>
  <c r="AL52" i="6"/>
  <c r="AK52" i="6"/>
  <c r="AJ52" i="6"/>
  <c r="AI52" i="6"/>
  <c r="AH52" i="6"/>
  <c r="AG52" i="6"/>
  <c r="AF52" i="6"/>
  <c r="AE52" i="6"/>
  <c r="AD52" i="6"/>
  <c r="AC52" i="6"/>
  <c r="AB52" i="6"/>
  <c r="AA52" i="6"/>
  <c r="Z52" i="6"/>
  <c r="Y52" i="6"/>
  <c r="X52" i="6"/>
  <c r="W52" i="6"/>
  <c r="V52" i="6"/>
  <c r="U52" i="6"/>
  <c r="T52" i="6"/>
  <c r="S52" i="6"/>
  <c r="R52" i="6"/>
  <c r="J52" i="6"/>
  <c r="I52" i="6"/>
  <c r="H52" i="6"/>
  <c r="G52" i="6"/>
  <c r="F52" i="6"/>
  <c r="E52" i="6"/>
  <c r="D52" i="6"/>
  <c r="BD51" i="6"/>
  <c r="BC51" i="6"/>
  <c r="BB51" i="6"/>
  <c r="BA51" i="6"/>
  <c r="AZ51" i="6"/>
  <c r="AY51" i="6"/>
  <c r="AX51" i="6"/>
  <c r="AW51" i="6"/>
  <c r="AV51" i="6"/>
  <c r="AU51" i="6"/>
  <c r="AT51" i="6"/>
  <c r="AS51" i="6"/>
  <c r="AR51" i="6"/>
  <c r="AQ51" i="6"/>
  <c r="AP51" i="6"/>
  <c r="AO51" i="6"/>
  <c r="AN51" i="6"/>
  <c r="AM51" i="6"/>
  <c r="AL51" i="6"/>
  <c r="AK51" i="6"/>
  <c r="AJ51" i="6"/>
  <c r="AI51" i="6"/>
  <c r="AH51" i="6"/>
  <c r="AG51" i="6"/>
  <c r="AF51" i="6"/>
  <c r="AE51" i="6"/>
  <c r="AD51" i="6"/>
  <c r="AC51" i="6"/>
  <c r="AB51" i="6"/>
  <c r="AA51" i="6"/>
  <c r="Z51" i="6"/>
  <c r="Y51" i="6"/>
  <c r="X51" i="6"/>
  <c r="W51" i="6"/>
  <c r="V51" i="6"/>
  <c r="U51" i="6"/>
  <c r="T51" i="6"/>
  <c r="S51" i="6"/>
  <c r="R51" i="6"/>
  <c r="J51" i="6"/>
  <c r="I51" i="6"/>
  <c r="H51" i="6"/>
  <c r="G51" i="6"/>
  <c r="F51" i="6"/>
  <c r="E51" i="6"/>
  <c r="D51" i="6"/>
  <c r="BD50" i="6"/>
  <c r="BC50" i="6"/>
  <c r="BB50" i="6"/>
  <c r="BA50" i="6"/>
  <c r="AZ50" i="6"/>
  <c r="AY50" i="6"/>
  <c r="AX50" i="6"/>
  <c r="AW50" i="6"/>
  <c r="AV50" i="6"/>
  <c r="AU50" i="6"/>
  <c r="AT50" i="6"/>
  <c r="AS50" i="6"/>
  <c r="AR50" i="6"/>
  <c r="AQ50" i="6"/>
  <c r="AP50" i="6"/>
  <c r="AO50" i="6"/>
  <c r="AN50" i="6"/>
  <c r="AM50" i="6"/>
  <c r="AL50" i="6"/>
  <c r="AK50" i="6"/>
  <c r="AJ50" i="6"/>
  <c r="AI50" i="6"/>
  <c r="AH50" i="6"/>
  <c r="AG50" i="6"/>
  <c r="AF50" i="6"/>
  <c r="AE50" i="6"/>
  <c r="AD50" i="6"/>
  <c r="AC50" i="6"/>
  <c r="AB50" i="6"/>
  <c r="AA50" i="6"/>
  <c r="Z50" i="6"/>
  <c r="Y50" i="6"/>
  <c r="X50" i="6"/>
  <c r="W50" i="6"/>
  <c r="R50" i="6"/>
  <c r="J50" i="6"/>
  <c r="I50" i="6"/>
  <c r="H50" i="6"/>
  <c r="G50" i="6"/>
  <c r="F50" i="6"/>
  <c r="E50" i="6"/>
  <c r="D50" i="6"/>
  <c r="BA49" i="6"/>
  <c r="AV49" i="6"/>
  <c r="AQ49" i="6"/>
  <c r="AL49" i="6"/>
  <c r="AG49" i="6"/>
  <c r="AB49" i="6"/>
  <c r="W49" i="6"/>
  <c r="R49" i="6"/>
  <c r="J49" i="6"/>
  <c r="I49" i="6"/>
  <c r="H49" i="6"/>
  <c r="G49" i="6"/>
  <c r="F49" i="6"/>
  <c r="E49" i="6"/>
  <c r="D49" i="6"/>
  <c r="R48" i="6"/>
  <c r="J48" i="6"/>
  <c r="I48" i="6"/>
  <c r="H48" i="6"/>
  <c r="G48" i="6"/>
  <c r="F48" i="6"/>
  <c r="E48" i="6"/>
  <c r="D48" i="6"/>
  <c r="BA47" i="6"/>
  <c r="AV47" i="6"/>
  <c r="AQ47" i="6"/>
  <c r="AL47" i="6"/>
  <c r="AG47" i="6"/>
  <c r="AB47" i="6"/>
  <c r="W47" i="6"/>
  <c r="R47" i="6"/>
  <c r="J47" i="6"/>
  <c r="I47" i="6"/>
  <c r="H47" i="6"/>
  <c r="G47" i="6"/>
  <c r="F47" i="6"/>
  <c r="E47" i="6"/>
  <c r="D47" i="6"/>
  <c r="BZ46" i="6"/>
  <c r="BU46" i="6"/>
  <c r="BP46" i="6"/>
  <c r="BK46" i="6"/>
  <c r="BF46" i="6"/>
  <c r="BA46" i="6"/>
  <c r="AV46" i="6"/>
  <c r="AQ46" i="6"/>
  <c r="AL46" i="6"/>
  <c r="AG46" i="6"/>
  <c r="AB46" i="6"/>
  <c r="W46" i="6"/>
  <c r="R46" i="6"/>
  <c r="O46" i="6"/>
  <c r="N46" i="6"/>
  <c r="M46" i="6"/>
  <c r="L46" i="6"/>
  <c r="K46" i="6"/>
  <c r="J46" i="6"/>
  <c r="I46" i="6"/>
  <c r="H46" i="6"/>
  <c r="G46" i="6"/>
  <c r="F46" i="6"/>
  <c r="E46" i="6"/>
  <c r="D46" i="6"/>
  <c r="BZ45" i="6"/>
  <c r="BU45" i="6"/>
  <c r="BP45" i="6"/>
  <c r="BK45" i="6"/>
  <c r="BF45" i="6"/>
  <c r="BA45" i="6"/>
  <c r="AV45" i="6"/>
  <c r="AQ45" i="6"/>
  <c r="AL45" i="6"/>
  <c r="AG45" i="6"/>
  <c r="AB45" i="6"/>
  <c r="W45" i="6"/>
  <c r="R45" i="6"/>
  <c r="O45" i="6"/>
  <c r="N45" i="6"/>
  <c r="M45" i="6"/>
  <c r="L45" i="6"/>
  <c r="K45" i="6"/>
  <c r="J45" i="6"/>
  <c r="I45" i="6"/>
  <c r="H45" i="6"/>
  <c r="G45" i="6"/>
  <c r="F45" i="6"/>
  <c r="E45" i="6"/>
  <c r="D45" i="6"/>
  <c r="BZ44" i="6"/>
  <c r="BU44" i="6"/>
  <c r="BP44" i="6"/>
  <c r="BK44" i="6"/>
  <c r="BF44" i="6"/>
  <c r="BA44" i="6"/>
  <c r="AV44" i="6"/>
  <c r="AQ44" i="6"/>
  <c r="AL44" i="6"/>
  <c r="AG44" i="6"/>
  <c r="AB44" i="6"/>
  <c r="W44" i="6"/>
  <c r="R44" i="6"/>
  <c r="O44" i="6"/>
  <c r="N44" i="6"/>
  <c r="M44" i="6"/>
  <c r="L44" i="6"/>
  <c r="K44" i="6"/>
  <c r="J44" i="6"/>
  <c r="I44" i="6"/>
  <c r="H44" i="6"/>
  <c r="G44" i="6"/>
  <c r="F44" i="6"/>
  <c r="E44" i="6"/>
  <c r="D44" i="6"/>
  <c r="R43" i="6"/>
  <c r="BD41" i="6"/>
  <c r="BC41" i="6"/>
  <c r="BB41" i="6"/>
  <c r="BA41" i="6"/>
  <c r="AZ41" i="6"/>
  <c r="AY41" i="6"/>
  <c r="AX41" i="6"/>
  <c r="AW41" i="6"/>
  <c r="AV41" i="6"/>
  <c r="AU41" i="6"/>
  <c r="AT41" i="6"/>
  <c r="AS41" i="6"/>
  <c r="AR41" i="6"/>
  <c r="AQ41" i="6"/>
  <c r="AP41" i="6"/>
  <c r="AO41" i="6"/>
  <c r="AN41" i="6"/>
  <c r="AM41" i="6"/>
  <c r="AL41" i="6"/>
  <c r="AK41" i="6"/>
  <c r="AJ41" i="6"/>
  <c r="AI41" i="6"/>
  <c r="AH41" i="6"/>
  <c r="AG41" i="6"/>
  <c r="AF41" i="6"/>
  <c r="AE41" i="6"/>
  <c r="AD41" i="6"/>
  <c r="AC41" i="6"/>
  <c r="AB41" i="6"/>
  <c r="AA41" i="6"/>
  <c r="Z41" i="6"/>
  <c r="Y41" i="6"/>
  <c r="X41" i="6"/>
  <c r="W41" i="6"/>
  <c r="V41" i="6"/>
  <c r="U41" i="6"/>
  <c r="T41" i="6"/>
  <c r="S41" i="6"/>
  <c r="R41" i="6"/>
  <c r="J41" i="6"/>
  <c r="I41" i="6"/>
  <c r="H41" i="6"/>
  <c r="G41" i="6"/>
  <c r="F41" i="6"/>
  <c r="E41" i="6"/>
  <c r="D41" i="6"/>
  <c r="BA40" i="6"/>
  <c r="AV40" i="6"/>
  <c r="AQ40" i="6"/>
  <c r="AL40" i="6"/>
  <c r="AG40" i="6"/>
  <c r="AB40" i="6"/>
  <c r="W40" i="6"/>
  <c r="R40" i="6"/>
  <c r="J40" i="6"/>
  <c r="I40" i="6"/>
  <c r="H40" i="6"/>
  <c r="G40" i="6"/>
  <c r="F40" i="6"/>
  <c r="E40" i="6"/>
  <c r="D40" i="6"/>
  <c r="BA39" i="6"/>
  <c r="AV39" i="6"/>
  <c r="AQ39" i="6"/>
  <c r="AL39" i="6"/>
  <c r="AG39" i="6"/>
  <c r="AB39" i="6"/>
  <c r="W39" i="6"/>
  <c r="R39" i="6"/>
  <c r="J39" i="6"/>
  <c r="I39" i="6"/>
  <c r="H39" i="6"/>
  <c r="G39" i="6"/>
  <c r="F39" i="6"/>
  <c r="E39" i="6"/>
  <c r="D39" i="6"/>
  <c r="BA38" i="6"/>
  <c r="AV38" i="6"/>
  <c r="AQ38" i="6"/>
  <c r="AL38" i="6"/>
  <c r="AG38" i="6"/>
  <c r="AB38" i="6"/>
  <c r="W38" i="6"/>
  <c r="R38" i="6"/>
  <c r="J38" i="6"/>
  <c r="I38" i="6"/>
  <c r="H38" i="6"/>
  <c r="G38" i="6"/>
  <c r="F38" i="6"/>
  <c r="E38" i="6"/>
  <c r="D38" i="6"/>
  <c r="BA37" i="6"/>
  <c r="AV37" i="6"/>
  <c r="AQ37" i="6"/>
  <c r="AL37" i="6"/>
  <c r="AG37" i="6"/>
  <c r="AB37" i="6"/>
  <c r="W37" i="6"/>
  <c r="R37" i="6"/>
  <c r="J37" i="6"/>
  <c r="I37" i="6"/>
  <c r="H37" i="6"/>
  <c r="G37" i="6"/>
  <c r="F37" i="6"/>
  <c r="E37" i="6"/>
  <c r="D37" i="6"/>
  <c r="BD35" i="6"/>
  <c r="BC35" i="6"/>
  <c r="BB35" i="6"/>
  <c r="BA35" i="6"/>
  <c r="AZ35" i="6"/>
  <c r="AY35" i="6"/>
  <c r="AX35" i="6"/>
  <c r="AW35" i="6"/>
  <c r="AV35" i="6"/>
  <c r="AU35" i="6"/>
  <c r="AT35" i="6"/>
  <c r="AS35" i="6"/>
  <c r="AR35" i="6"/>
  <c r="AQ35" i="6"/>
  <c r="AP35" i="6"/>
  <c r="AO35" i="6"/>
  <c r="AN35" i="6"/>
  <c r="AM35" i="6"/>
  <c r="AL35" i="6"/>
  <c r="AK35" i="6"/>
  <c r="AJ35" i="6"/>
  <c r="AI35" i="6"/>
  <c r="AH35" i="6"/>
  <c r="AG35" i="6"/>
  <c r="AF35" i="6"/>
  <c r="AE35" i="6"/>
  <c r="AD35" i="6"/>
  <c r="AC35" i="6"/>
  <c r="AB35" i="6"/>
  <c r="AA35" i="6"/>
  <c r="Z35" i="6"/>
  <c r="Y35" i="6"/>
  <c r="X35" i="6"/>
  <c r="W35" i="6"/>
  <c r="V35" i="6"/>
  <c r="U35" i="6"/>
  <c r="T35" i="6"/>
  <c r="S35" i="6"/>
  <c r="R35" i="6"/>
  <c r="J35" i="6"/>
  <c r="I35" i="6"/>
  <c r="H35" i="6"/>
  <c r="G35" i="6"/>
  <c r="F35" i="6"/>
  <c r="E35" i="6"/>
  <c r="D35" i="6"/>
  <c r="BA34" i="6"/>
  <c r="AV34" i="6"/>
  <c r="AQ34" i="6"/>
  <c r="AL34" i="6"/>
  <c r="AG34" i="6"/>
  <c r="AB34" i="6"/>
  <c r="W34" i="6"/>
  <c r="R34" i="6"/>
  <c r="J34" i="6"/>
  <c r="I34" i="6"/>
  <c r="H34" i="6"/>
  <c r="G34" i="6"/>
  <c r="F34" i="6"/>
  <c r="E34" i="6"/>
  <c r="D34" i="6"/>
  <c r="BA33" i="6"/>
  <c r="AV33" i="6"/>
  <c r="AQ33" i="6"/>
  <c r="AL33" i="6"/>
  <c r="AG33" i="6"/>
  <c r="AB33" i="6"/>
  <c r="W33" i="6"/>
  <c r="R33" i="6"/>
  <c r="J33" i="6"/>
  <c r="I33" i="6"/>
  <c r="H33" i="6"/>
  <c r="G33" i="6"/>
  <c r="F33" i="6"/>
  <c r="E33" i="6"/>
  <c r="D33" i="6"/>
  <c r="BA32" i="6"/>
  <c r="AV32" i="6"/>
  <c r="AQ32" i="6"/>
  <c r="AL32" i="6"/>
  <c r="AG32" i="6"/>
  <c r="AB32" i="6"/>
  <c r="W32" i="6"/>
  <c r="R32" i="6"/>
  <c r="J32" i="6"/>
  <c r="I32" i="6"/>
  <c r="H32" i="6"/>
  <c r="G32" i="6"/>
  <c r="F32" i="6"/>
  <c r="E32" i="6"/>
  <c r="D32" i="6"/>
  <c r="BA31" i="6"/>
  <c r="AV31" i="6"/>
  <c r="AQ31" i="6"/>
  <c r="AL31" i="6"/>
  <c r="AG31" i="6"/>
  <c r="AB31" i="6"/>
  <c r="W31" i="6"/>
  <c r="R31" i="6"/>
  <c r="J31" i="6"/>
  <c r="I31" i="6"/>
  <c r="H31" i="6"/>
  <c r="G31" i="6"/>
  <c r="F31" i="6"/>
  <c r="E31" i="6"/>
  <c r="D31" i="6"/>
  <c r="BA30" i="6"/>
  <c r="AV30" i="6"/>
  <c r="AQ30" i="6"/>
  <c r="AL30" i="6"/>
  <c r="AG30" i="6"/>
  <c r="AB30" i="6"/>
  <c r="W30" i="6"/>
  <c r="R30" i="6"/>
  <c r="J30" i="6"/>
  <c r="I30" i="6"/>
  <c r="H30" i="6"/>
  <c r="G30" i="6"/>
  <c r="F30" i="6"/>
  <c r="E30" i="6"/>
  <c r="D30" i="6"/>
  <c r="BZ29" i="6"/>
  <c r="BY29" i="6"/>
  <c r="BX29" i="6"/>
  <c r="BW29" i="6"/>
  <c r="BV29" i="6"/>
  <c r="BU29" i="6"/>
  <c r="BT29" i="6"/>
  <c r="BS29" i="6"/>
  <c r="BR29" i="6"/>
  <c r="BQ29" i="6"/>
  <c r="BP29" i="6"/>
  <c r="BO29" i="6"/>
  <c r="BN29" i="6"/>
  <c r="BM29" i="6"/>
  <c r="BL29" i="6"/>
  <c r="BK29" i="6"/>
  <c r="BJ29" i="6"/>
  <c r="BI29" i="6"/>
  <c r="BH29" i="6"/>
  <c r="BG29" i="6"/>
  <c r="BF29" i="6"/>
  <c r="BE29" i="6"/>
  <c r="BA29" i="6"/>
  <c r="AV29" i="6"/>
  <c r="AQ29" i="6"/>
  <c r="AL29" i="6"/>
  <c r="AG29" i="6"/>
  <c r="AB29" i="6"/>
  <c r="W29" i="6"/>
  <c r="R29" i="6"/>
  <c r="O29" i="6"/>
  <c r="N29" i="6"/>
  <c r="M29" i="6"/>
  <c r="L29" i="6"/>
  <c r="K29" i="6"/>
  <c r="J29" i="6"/>
  <c r="I29" i="6"/>
  <c r="H29" i="6"/>
  <c r="G29" i="6"/>
  <c r="F29" i="6"/>
  <c r="E29" i="6"/>
  <c r="D29" i="6"/>
  <c r="BA28" i="6"/>
  <c r="AV28" i="6"/>
  <c r="AQ28" i="6"/>
  <c r="AL28" i="6"/>
  <c r="AG28" i="6"/>
  <c r="AB28" i="6"/>
  <c r="W28" i="6"/>
  <c r="R28" i="6"/>
  <c r="J28" i="6"/>
  <c r="I28" i="6"/>
  <c r="H28" i="6"/>
  <c r="G28" i="6"/>
  <c r="F28" i="6"/>
  <c r="E28" i="6"/>
  <c r="D28" i="6"/>
  <c r="R27" i="6"/>
  <c r="BD25" i="6"/>
  <c r="BC25" i="6"/>
  <c r="BB25" i="6"/>
  <c r="BA25" i="6"/>
  <c r="AZ25" i="6"/>
  <c r="AY25" i="6"/>
  <c r="AX25" i="6"/>
  <c r="AW25" i="6"/>
  <c r="AV25" i="6"/>
  <c r="AU25" i="6"/>
  <c r="AT25" i="6"/>
  <c r="AS25" i="6"/>
  <c r="AR25" i="6"/>
  <c r="AQ25" i="6"/>
  <c r="AP25" i="6"/>
  <c r="AO25" i="6"/>
  <c r="AN25" i="6"/>
  <c r="AM25" i="6"/>
  <c r="AL25" i="6"/>
  <c r="AK25" i="6"/>
  <c r="AJ25" i="6"/>
  <c r="AI25" i="6"/>
  <c r="AH25" i="6"/>
  <c r="AG25" i="6"/>
  <c r="AF25" i="6"/>
  <c r="AE25" i="6"/>
  <c r="AD25" i="6"/>
  <c r="AC25" i="6"/>
  <c r="AB25" i="6"/>
  <c r="AA25" i="6"/>
  <c r="Z25" i="6"/>
  <c r="Y25" i="6"/>
  <c r="X25" i="6"/>
  <c r="W25" i="6"/>
  <c r="V25" i="6"/>
  <c r="U25" i="6"/>
  <c r="T25" i="6"/>
  <c r="S25" i="6"/>
  <c r="R25" i="6"/>
  <c r="J25" i="6"/>
  <c r="I25" i="6"/>
  <c r="H25" i="6"/>
  <c r="G25" i="6"/>
  <c r="F25" i="6"/>
  <c r="E25" i="6"/>
  <c r="D25" i="6"/>
  <c r="J24" i="6"/>
  <c r="I24" i="6"/>
  <c r="H24" i="6"/>
  <c r="G24" i="6"/>
  <c r="F24" i="6"/>
  <c r="E24" i="6"/>
  <c r="D24" i="6"/>
  <c r="BA23" i="6"/>
  <c r="AV23" i="6"/>
  <c r="AQ23" i="6"/>
  <c r="AL23" i="6"/>
  <c r="AG23" i="6"/>
  <c r="AB23" i="6"/>
  <c r="W23" i="6"/>
  <c r="R23" i="6"/>
  <c r="J23" i="6"/>
  <c r="I23" i="6"/>
  <c r="H23" i="6"/>
  <c r="G23" i="6"/>
  <c r="F23" i="6"/>
  <c r="E23" i="6"/>
  <c r="D23" i="6"/>
  <c r="BZ22" i="6"/>
  <c r="BY22" i="6"/>
  <c r="BX22" i="6"/>
  <c r="BW22" i="6"/>
  <c r="BV22" i="6"/>
  <c r="BU22" i="6"/>
  <c r="BT22" i="6"/>
  <c r="BS22" i="6"/>
  <c r="BR22" i="6"/>
  <c r="BQ22" i="6"/>
  <c r="BP22" i="6"/>
  <c r="BO22" i="6"/>
  <c r="BN22" i="6"/>
  <c r="BM22" i="6"/>
  <c r="BL22" i="6"/>
  <c r="BK22" i="6"/>
  <c r="BJ22" i="6"/>
  <c r="BI22" i="6"/>
  <c r="BH22" i="6"/>
  <c r="BG22" i="6"/>
  <c r="BF22" i="6"/>
  <c r="BE22" i="6"/>
  <c r="BA22" i="6"/>
  <c r="AV22" i="6"/>
  <c r="AQ22" i="6"/>
  <c r="AL22" i="6"/>
  <c r="AG22" i="6"/>
  <c r="AB22" i="6"/>
  <c r="W22" i="6"/>
  <c r="R22" i="6"/>
  <c r="O22" i="6"/>
  <c r="N22" i="6"/>
  <c r="M22" i="6"/>
  <c r="L22" i="6"/>
  <c r="K22" i="6"/>
  <c r="J22" i="6"/>
  <c r="I22" i="6"/>
  <c r="H22" i="6"/>
  <c r="G22" i="6"/>
  <c r="F22" i="6"/>
  <c r="E22" i="6"/>
  <c r="D22" i="6"/>
  <c r="BA21" i="6"/>
  <c r="AV21" i="6"/>
  <c r="AQ21" i="6"/>
  <c r="AL21" i="6"/>
  <c r="AG21" i="6"/>
  <c r="AB21" i="6"/>
  <c r="W21" i="6"/>
  <c r="R21" i="6"/>
  <c r="J21" i="6"/>
  <c r="I21" i="6"/>
  <c r="H21" i="6"/>
  <c r="G21" i="6"/>
  <c r="F21" i="6"/>
  <c r="E21" i="6"/>
  <c r="D21"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K19" i="6"/>
  <c r="J19" i="6"/>
  <c r="I19" i="6"/>
  <c r="H19" i="6"/>
  <c r="G19" i="6"/>
  <c r="F19" i="6"/>
  <c r="E19" i="6"/>
  <c r="D19" i="6"/>
  <c r="BF18" i="6"/>
  <c r="BE18" i="6"/>
  <c r="BA18" i="6"/>
  <c r="AV18" i="6"/>
  <c r="AQ18" i="6"/>
  <c r="AL18" i="6"/>
  <c r="AG18" i="6"/>
  <c r="AB18" i="6"/>
  <c r="W18" i="6"/>
  <c r="R18" i="6"/>
  <c r="K18" i="6"/>
  <c r="J18" i="6"/>
  <c r="I18" i="6"/>
  <c r="H18" i="6"/>
  <c r="G18" i="6"/>
  <c r="F18" i="6"/>
  <c r="E18" i="6"/>
  <c r="D18" i="6"/>
  <c r="BF17" i="6"/>
  <c r="BE17" i="6"/>
  <c r="BA17" i="6"/>
  <c r="AV17" i="6"/>
  <c r="AQ17" i="6"/>
  <c r="AL17" i="6"/>
  <c r="AG17" i="6"/>
  <c r="AB17" i="6"/>
  <c r="W17" i="6"/>
  <c r="R17" i="6"/>
  <c r="K17" i="6"/>
  <c r="J17" i="6"/>
  <c r="I17" i="6"/>
  <c r="H17" i="6"/>
  <c r="G17" i="6"/>
  <c r="F17" i="6"/>
  <c r="E17" i="6"/>
  <c r="D17" i="6"/>
  <c r="BD15" i="6"/>
  <c r="BC15" i="6"/>
  <c r="BB15" i="6"/>
  <c r="BA15" i="6"/>
  <c r="AZ15" i="6"/>
  <c r="AY15" i="6"/>
  <c r="AX15" i="6"/>
  <c r="AW15" i="6"/>
  <c r="AV15" i="6"/>
  <c r="AU15" i="6"/>
  <c r="AT15" i="6"/>
  <c r="AS15" i="6"/>
  <c r="AR15" i="6"/>
  <c r="AQ15" i="6"/>
  <c r="AP15" i="6"/>
  <c r="AO15" i="6"/>
  <c r="AN15" i="6"/>
  <c r="AM15" i="6"/>
  <c r="AL15" i="6"/>
  <c r="AK15" i="6"/>
  <c r="AJ15" i="6"/>
  <c r="AI15" i="6"/>
  <c r="AH15" i="6"/>
  <c r="AG15" i="6"/>
  <c r="AF15" i="6"/>
  <c r="AE15" i="6"/>
  <c r="AD15" i="6"/>
  <c r="AC15" i="6"/>
  <c r="AB15" i="6"/>
  <c r="AA15" i="6"/>
  <c r="Z15" i="6"/>
  <c r="Y15" i="6"/>
  <c r="X15" i="6"/>
  <c r="W15" i="6"/>
  <c r="V15" i="6"/>
  <c r="U15" i="6"/>
  <c r="T15" i="6"/>
  <c r="S15" i="6"/>
  <c r="R15" i="6"/>
  <c r="J15" i="6"/>
  <c r="I15" i="6"/>
  <c r="H15" i="6"/>
  <c r="G15" i="6"/>
  <c r="F15" i="6"/>
  <c r="E15" i="6"/>
  <c r="D15" i="6"/>
  <c r="BA14" i="6"/>
  <c r="AV14" i="6"/>
  <c r="AQ14" i="6"/>
  <c r="AL14" i="6"/>
  <c r="AG14" i="6"/>
  <c r="AB14" i="6"/>
  <c r="W14" i="6"/>
  <c r="R14" i="6"/>
  <c r="J14" i="6"/>
  <c r="I14" i="6"/>
  <c r="H14" i="6"/>
  <c r="G14" i="6"/>
  <c r="F14" i="6"/>
  <c r="E14" i="6"/>
  <c r="D14" i="6"/>
  <c r="BA13" i="6"/>
  <c r="AV13" i="6"/>
  <c r="AQ13" i="6"/>
  <c r="AL13" i="6"/>
  <c r="AG13" i="6"/>
  <c r="AB13" i="6"/>
  <c r="W13" i="6"/>
  <c r="R13" i="6"/>
  <c r="J13" i="6"/>
  <c r="I13" i="6"/>
  <c r="H13" i="6"/>
  <c r="G13" i="6"/>
  <c r="F13" i="6"/>
  <c r="E13" i="6"/>
  <c r="D13" i="6"/>
  <c r="BA12" i="6"/>
  <c r="AV12" i="6"/>
  <c r="AQ12" i="6"/>
  <c r="AL12" i="6"/>
  <c r="AG12" i="6"/>
  <c r="AB12" i="6"/>
  <c r="W12" i="6"/>
  <c r="R12" i="6"/>
  <c r="J12" i="6"/>
  <c r="I12" i="6"/>
  <c r="H12" i="6"/>
  <c r="G12" i="6"/>
  <c r="F12" i="6"/>
  <c r="E12" i="6"/>
  <c r="D12" i="6"/>
  <c r="BA11" i="6"/>
  <c r="AV11" i="6"/>
  <c r="AQ11" i="6"/>
  <c r="AL11" i="6"/>
  <c r="AG11" i="6"/>
  <c r="AB11" i="6"/>
  <c r="W11" i="6"/>
  <c r="R11" i="6"/>
  <c r="J11" i="6"/>
  <c r="I11" i="6"/>
  <c r="H11" i="6"/>
  <c r="G11" i="6"/>
  <c r="F11" i="6"/>
  <c r="E11" i="6"/>
  <c r="D11" i="6"/>
  <c r="BZ10" i="6"/>
  <c r="BY10" i="6"/>
  <c r="BX10" i="6"/>
  <c r="BW10" i="6"/>
  <c r="BV10" i="6"/>
  <c r="BU10" i="6"/>
  <c r="BT10" i="6"/>
  <c r="BS10" i="6"/>
  <c r="BR10" i="6"/>
  <c r="BQ10" i="6"/>
  <c r="BP10" i="6"/>
  <c r="BO10" i="6"/>
  <c r="BN10" i="6"/>
  <c r="BM10" i="6"/>
  <c r="BL10" i="6"/>
  <c r="BK10" i="6"/>
  <c r="BJ10" i="6"/>
  <c r="BI10" i="6"/>
  <c r="BH10" i="6"/>
  <c r="BG10" i="6"/>
  <c r="BF10" i="6"/>
  <c r="BE10" i="6"/>
  <c r="R10" i="6"/>
  <c r="O10" i="6"/>
  <c r="N10" i="6"/>
  <c r="M10" i="6"/>
  <c r="L10" i="6"/>
  <c r="K10" i="6"/>
  <c r="J10" i="6"/>
  <c r="I10" i="6"/>
  <c r="H10" i="6"/>
  <c r="G10" i="6"/>
  <c r="F10" i="6"/>
  <c r="E10" i="6"/>
  <c r="D10" i="6"/>
  <c r="BA9" i="6"/>
  <c r="AV9" i="6"/>
  <c r="AQ9" i="6"/>
  <c r="AL9" i="6"/>
  <c r="AG9" i="6"/>
  <c r="AB9" i="6"/>
  <c r="W9" i="6"/>
  <c r="R9" i="6"/>
  <c r="J9" i="6"/>
  <c r="I9" i="6"/>
  <c r="H9" i="6"/>
  <c r="G9" i="6"/>
  <c r="F9" i="6"/>
  <c r="E9" i="6"/>
  <c r="D9" i="6"/>
  <c r="R8" i="6"/>
  <c r="BZ7" i="6"/>
  <c r="BY7" i="6"/>
  <c r="BX7" i="6"/>
  <c r="BW7" i="6"/>
  <c r="BV7" i="6"/>
  <c r="BU7" i="6"/>
  <c r="BT7" i="6"/>
  <c r="BS7" i="6"/>
  <c r="BR7" i="6"/>
  <c r="BQ7" i="6"/>
  <c r="BP7" i="6"/>
  <c r="BO7" i="6"/>
  <c r="BN7" i="6"/>
  <c r="BM7" i="6"/>
  <c r="BL7" i="6"/>
  <c r="BK7" i="6"/>
  <c r="BJ7" i="6"/>
  <c r="BI7" i="6"/>
  <c r="BH7" i="6"/>
  <c r="BG7" i="6"/>
  <c r="BF7" i="6"/>
  <c r="BE7" i="6"/>
  <c r="BD7" i="6"/>
  <c r="BC7" i="6"/>
  <c r="BB7" i="6"/>
  <c r="BA7" i="6"/>
  <c r="AZ7" i="6"/>
  <c r="AY7" i="6"/>
  <c r="AX7" i="6"/>
  <c r="AW7" i="6"/>
  <c r="AV7" i="6"/>
  <c r="AU7" i="6"/>
  <c r="AT7" i="6"/>
  <c r="AS7" i="6"/>
  <c r="AR7" i="6"/>
  <c r="AQ7" i="6"/>
  <c r="AP7" i="6"/>
  <c r="AO7" i="6"/>
  <c r="AN7" i="6"/>
  <c r="AM7" i="6"/>
  <c r="AL7" i="6"/>
  <c r="AK7" i="6"/>
  <c r="AJ7" i="6"/>
  <c r="AI7" i="6"/>
  <c r="AH7" i="6"/>
  <c r="AG7" i="6"/>
  <c r="AF7" i="6"/>
  <c r="AE7" i="6"/>
  <c r="AD7" i="6"/>
  <c r="AC7" i="6"/>
  <c r="AB7" i="6"/>
  <c r="AA7" i="6"/>
  <c r="Z7" i="6"/>
  <c r="Y7" i="6"/>
  <c r="X7" i="6"/>
  <c r="W7" i="6"/>
  <c r="V7" i="6"/>
  <c r="U7" i="6"/>
  <c r="T7" i="6"/>
  <c r="S7" i="6"/>
  <c r="O7" i="6"/>
  <c r="N7" i="6"/>
  <c r="M7" i="6"/>
  <c r="L7" i="6"/>
  <c r="K7" i="6"/>
  <c r="J7" i="6"/>
  <c r="I7" i="6"/>
  <c r="H7" i="6"/>
  <c r="G7" i="6"/>
  <c r="F7" i="6"/>
  <c r="E7" i="6"/>
  <c r="D7" i="6"/>
  <c r="BV5" i="6"/>
  <c r="BQ5" i="6"/>
  <c r="BL5" i="6"/>
  <c r="BG5" i="6"/>
  <c r="BB5" i="6"/>
  <c r="AW5" i="6"/>
  <c r="AR5" i="6"/>
  <c r="AM5" i="6"/>
  <c r="AH5" i="6"/>
  <c r="AC5" i="6"/>
  <c r="X5" i="6"/>
  <c r="S5" i="6"/>
  <c r="O5" i="6"/>
  <c r="N5" i="6"/>
  <c r="N5" i="6" a="1"/>
  <c r="H5" i="6"/>
  <c r="C5" i="6"/>
  <c r="BY4" i="6"/>
  <c r="BX4" i="6"/>
  <c r="R4" i="6"/>
  <c r="N4" i="6"/>
  <c r="N4" i="6" a="1"/>
  <c r="C4" i="6"/>
  <c r="BX3" i="6"/>
  <c r="BR3" i="6"/>
  <c r="R3" i="6"/>
  <c r="P3" i="6"/>
  <c r="N3" i="6"/>
  <c r="C3" i="6"/>
  <c r="BZ125" i="3"/>
  <c r="BY125" i="3"/>
  <c r="BX125" i="3"/>
  <c r="BW125" i="3"/>
  <c r="BV125" i="3"/>
  <c r="BU125" i="3"/>
  <c r="BT125" i="3"/>
  <c r="BS125" i="3"/>
  <c r="BR125" i="3"/>
  <c r="BQ125" i="3"/>
  <c r="BP125" i="3"/>
  <c r="BO125" i="3"/>
  <c r="BN125" i="3"/>
  <c r="BM125" i="3"/>
  <c r="BL125" i="3"/>
  <c r="BK125" i="3"/>
  <c r="BJ125" i="3"/>
  <c r="BI125" i="3"/>
  <c r="BH125" i="3"/>
  <c r="BG125" i="3"/>
  <c r="BF125" i="3"/>
  <c r="BE125" i="3"/>
  <c r="R125" i="3"/>
  <c r="O125" i="3"/>
  <c r="N125" i="3"/>
  <c r="M125" i="3"/>
  <c r="L125" i="3"/>
  <c r="K125" i="3"/>
  <c r="C125" i="3"/>
  <c r="BZ124" i="3"/>
  <c r="BY124" i="3"/>
  <c r="BX124" i="3"/>
  <c r="BW124" i="3"/>
  <c r="BV124" i="3"/>
  <c r="BU124" i="3"/>
  <c r="BT124" i="3"/>
  <c r="BS124" i="3"/>
  <c r="BR124" i="3"/>
  <c r="BQ124" i="3"/>
  <c r="BP124" i="3"/>
  <c r="BO124" i="3"/>
  <c r="BN124" i="3"/>
  <c r="BM124" i="3"/>
  <c r="BL124" i="3"/>
  <c r="BK124" i="3"/>
  <c r="BJ124" i="3"/>
  <c r="BI124" i="3"/>
  <c r="BH124" i="3"/>
  <c r="BG124" i="3"/>
  <c r="BF124" i="3"/>
  <c r="BE124" i="3"/>
  <c r="R124" i="3"/>
  <c r="O124" i="3"/>
  <c r="N124" i="3"/>
  <c r="M124" i="3"/>
  <c r="K124" i="3"/>
  <c r="C124" i="3"/>
  <c r="R123" i="3"/>
  <c r="C123" i="3"/>
  <c r="BF122" i="3"/>
  <c r="BE122" i="3"/>
  <c r="BD122" i="3"/>
  <c r="BC122" i="3"/>
  <c r="BB122" i="3"/>
  <c r="BA122" i="3"/>
  <c r="AZ122" i="3"/>
  <c r="AY122" i="3"/>
  <c r="AX122" i="3"/>
  <c r="AW122" i="3"/>
  <c r="AV122" i="3"/>
  <c r="AU122" i="3"/>
  <c r="AT122" i="3"/>
  <c r="AS122" i="3"/>
  <c r="AR122" i="3"/>
  <c r="AQ122" i="3"/>
  <c r="AP122" i="3"/>
  <c r="AO122" i="3"/>
  <c r="AN122" i="3"/>
  <c r="AM122" i="3"/>
  <c r="AL122" i="3"/>
  <c r="AK122" i="3"/>
  <c r="AJ122" i="3"/>
  <c r="AI122" i="3"/>
  <c r="AH122" i="3"/>
  <c r="R122" i="3"/>
  <c r="K122" i="3"/>
  <c r="J122" i="3"/>
  <c r="I122" i="3"/>
  <c r="H122" i="3"/>
  <c r="G122" i="3"/>
  <c r="R121" i="3"/>
  <c r="BD117" i="3"/>
  <c r="BC117" i="3"/>
  <c r="BB117" i="3"/>
  <c r="AZ117" i="3"/>
  <c r="AY117" i="3"/>
  <c r="AX117" i="3"/>
  <c r="AW117" i="3"/>
  <c r="AU117" i="3"/>
  <c r="AT117" i="3"/>
  <c r="AS117" i="3"/>
  <c r="AR117" i="3"/>
  <c r="AP117" i="3"/>
  <c r="AO117" i="3"/>
  <c r="AN117" i="3"/>
  <c r="AM117" i="3"/>
  <c r="AK117" i="3"/>
  <c r="AJ117" i="3"/>
  <c r="AI117" i="3"/>
  <c r="AH117" i="3"/>
  <c r="AF117" i="3"/>
  <c r="AE117" i="3"/>
  <c r="AD117" i="3"/>
  <c r="AC117" i="3"/>
  <c r="AA117" i="3"/>
  <c r="Z117" i="3"/>
  <c r="Y117" i="3"/>
  <c r="X117" i="3"/>
  <c r="V117" i="3"/>
  <c r="U117" i="3"/>
  <c r="T117" i="3"/>
  <c r="R117" i="3"/>
  <c r="J117" i="3"/>
  <c r="I117" i="3"/>
  <c r="H117" i="3"/>
  <c r="G117" i="3"/>
  <c r="F117" i="3"/>
  <c r="E117" i="3"/>
  <c r="C117" i="3"/>
  <c r="BD116" i="3"/>
  <c r="BC116" i="3"/>
  <c r="BB116" i="3"/>
  <c r="AZ116" i="3"/>
  <c r="AY116" i="3"/>
  <c r="AX116" i="3"/>
  <c r="AW116" i="3"/>
  <c r="AU116" i="3"/>
  <c r="AT116" i="3"/>
  <c r="AS116" i="3"/>
  <c r="AR116" i="3"/>
  <c r="AP116" i="3"/>
  <c r="AO116" i="3"/>
  <c r="AN116" i="3"/>
  <c r="AM116" i="3"/>
  <c r="AK116" i="3"/>
  <c r="AJ116" i="3"/>
  <c r="AI116" i="3"/>
  <c r="AH116" i="3"/>
  <c r="AF116" i="3"/>
  <c r="AE116" i="3"/>
  <c r="AD116" i="3"/>
  <c r="AC116" i="3"/>
  <c r="AA116" i="3"/>
  <c r="Z116" i="3"/>
  <c r="Y116" i="3"/>
  <c r="X116" i="3"/>
  <c r="V116" i="3"/>
  <c r="U116" i="3"/>
  <c r="T116" i="3"/>
  <c r="R116" i="3"/>
  <c r="J116" i="3"/>
  <c r="I116" i="3"/>
  <c r="H116" i="3"/>
  <c r="G116" i="3"/>
  <c r="F116" i="3"/>
  <c r="E116" i="3"/>
  <c r="C116" i="3"/>
  <c r="BD115" i="3"/>
  <c r="BC115" i="3"/>
  <c r="BB115" i="3"/>
  <c r="AZ115" i="3"/>
  <c r="AY115" i="3"/>
  <c r="AX115" i="3"/>
  <c r="AW115" i="3"/>
  <c r="AU115" i="3"/>
  <c r="AT115" i="3"/>
  <c r="AS115" i="3"/>
  <c r="AR115" i="3"/>
  <c r="AP115" i="3"/>
  <c r="AO115" i="3"/>
  <c r="AN115" i="3"/>
  <c r="AM115" i="3"/>
  <c r="AK115" i="3"/>
  <c r="AJ115" i="3"/>
  <c r="AI115" i="3"/>
  <c r="AH115" i="3"/>
  <c r="AF115" i="3"/>
  <c r="AE115" i="3"/>
  <c r="AD115" i="3"/>
  <c r="AC115" i="3"/>
  <c r="AA115" i="3"/>
  <c r="Z115" i="3"/>
  <c r="Y115" i="3"/>
  <c r="X115" i="3"/>
  <c r="V115" i="3"/>
  <c r="U115" i="3"/>
  <c r="T115" i="3"/>
  <c r="R115" i="3"/>
  <c r="J115" i="3"/>
  <c r="I115" i="3"/>
  <c r="H115" i="3"/>
  <c r="G115" i="3"/>
  <c r="F115" i="3"/>
  <c r="E115" i="3"/>
  <c r="C115" i="3"/>
  <c r="BD114" i="3"/>
  <c r="BC114" i="3"/>
  <c r="BB114" i="3"/>
  <c r="AZ114" i="3"/>
  <c r="AY114" i="3"/>
  <c r="AX114" i="3"/>
  <c r="AW114" i="3"/>
  <c r="AU114" i="3"/>
  <c r="AT114" i="3"/>
  <c r="AS114" i="3"/>
  <c r="AR114" i="3"/>
  <c r="AP114" i="3"/>
  <c r="AO114" i="3"/>
  <c r="AN114" i="3"/>
  <c r="AM114" i="3"/>
  <c r="AK114" i="3"/>
  <c r="AJ114" i="3"/>
  <c r="AI114" i="3"/>
  <c r="AH114" i="3"/>
  <c r="AF114" i="3"/>
  <c r="AE114" i="3"/>
  <c r="AD114" i="3"/>
  <c r="AC114" i="3"/>
  <c r="AA114" i="3"/>
  <c r="Z114" i="3"/>
  <c r="Y114" i="3"/>
  <c r="X114" i="3"/>
  <c r="V114" i="3"/>
  <c r="U114" i="3"/>
  <c r="T114" i="3"/>
  <c r="R114" i="3"/>
  <c r="J114" i="3"/>
  <c r="I114" i="3"/>
  <c r="H114" i="3"/>
  <c r="G114" i="3"/>
  <c r="F114" i="3"/>
  <c r="E114" i="3"/>
  <c r="C114" i="3"/>
  <c r="BE113" i="3"/>
  <c r="BD113" i="3"/>
  <c r="BC113" i="3"/>
  <c r="BB113" i="3"/>
  <c r="AZ113" i="3"/>
  <c r="AY113" i="3"/>
  <c r="AX113" i="3"/>
  <c r="AW113" i="3"/>
  <c r="AU113" i="3"/>
  <c r="AT113" i="3"/>
  <c r="AS113" i="3"/>
  <c r="AR113" i="3"/>
  <c r="AP113" i="3"/>
  <c r="AO113" i="3"/>
  <c r="AN113" i="3"/>
  <c r="AM113" i="3"/>
  <c r="AK113" i="3"/>
  <c r="AJ113" i="3"/>
  <c r="AI113" i="3"/>
  <c r="AH113" i="3"/>
  <c r="AF113" i="3"/>
  <c r="AE113" i="3"/>
  <c r="AD113" i="3"/>
  <c r="AC113" i="3"/>
  <c r="AA113" i="3"/>
  <c r="Z113" i="3"/>
  <c r="Y113" i="3"/>
  <c r="X113" i="3"/>
  <c r="V113" i="3"/>
  <c r="U113" i="3"/>
  <c r="T113" i="3"/>
  <c r="R113" i="3"/>
  <c r="K113" i="3"/>
  <c r="J113" i="3"/>
  <c r="I113" i="3"/>
  <c r="H113" i="3"/>
  <c r="G113" i="3"/>
  <c r="F113" i="3"/>
  <c r="E113" i="3"/>
  <c r="C113" i="3"/>
  <c r="BD112" i="3"/>
  <c r="BC112" i="3"/>
  <c r="BB112" i="3"/>
  <c r="AZ112" i="3"/>
  <c r="AY112" i="3"/>
  <c r="AX112" i="3"/>
  <c r="AW112" i="3"/>
  <c r="AU112" i="3"/>
  <c r="AT112" i="3"/>
  <c r="AS112" i="3"/>
  <c r="AR112" i="3"/>
  <c r="AP112" i="3"/>
  <c r="AO112" i="3"/>
  <c r="AN112" i="3"/>
  <c r="AM112" i="3"/>
  <c r="AK112" i="3"/>
  <c r="AJ112" i="3"/>
  <c r="AI112" i="3"/>
  <c r="AH112" i="3"/>
  <c r="AF112" i="3"/>
  <c r="AE112" i="3"/>
  <c r="AD112" i="3"/>
  <c r="AC112" i="3"/>
  <c r="AA112" i="3"/>
  <c r="Z112" i="3"/>
  <c r="Y112" i="3"/>
  <c r="X112" i="3"/>
  <c r="V112" i="3"/>
  <c r="U112" i="3"/>
  <c r="T112" i="3"/>
  <c r="R112" i="3"/>
  <c r="J112" i="3"/>
  <c r="I112" i="3"/>
  <c r="H112" i="3"/>
  <c r="G112" i="3"/>
  <c r="F112" i="3"/>
  <c r="E112" i="3"/>
  <c r="C112" i="3"/>
  <c r="BD111" i="3"/>
  <c r="BC111" i="3"/>
  <c r="BB111" i="3"/>
  <c r="AZ111" i="3"/>
  <c r="AY111" i="3"/>
  <c r="AX111" i="3"/>
  <c r="AW111" i="3"/>
  <c r="AU111" i="3"/>
  <c r="AT111" i="3"/>
  <c r="AS111" i="3"/>
  <c r="AR111" i="3"/>
  <c r="AP111" i="3"/>
  <c r="AO111" i="3"/>
  <c r="AN111" i="3"/>
  <c r="AM111" i="3"/>
  <c r="AK111" i="3"/>
  <c r="AJ111" i="3"/>
  <c r="AI111" i="3"/>
  <c r="AH111" i="3"/>
  <c r="AF111" i="3"/>
  <c r="AE111" i="3"/>
  <c r="AD111" i="3"/>
  <c r="AC111" i="3"/>
  <c r="AA111" i="3"/>
  <c r="Z111" i="3"/>
  <c r="Y111" i="3"/>
  <c r="X111" i="3"/>
  <c r="V111" i="3"/>
  <c r="U111" i="3"/>
  <c r="T111" i="3"/>
  <c r="R111" i="3"/>
  <c r="J111" i="3"/>
  <c r="I111" i="3"/>
  <c r="H111" i="3"/>
  <c r="G111" i="3"/>
  <c r="F111" i="3"/>
  <c r="E111" i="3"/>
  <c r="C111" i="3"/>
  <c r="BE110" i="3"/>
  <c r="BD110" i="3"/>
  <c r="BC110" i="3"/>
  <c r="BB110" i="3"/>
  <c r="AZ110" i="3"/>
  <c r="AY110" i="3"/>
  <c r="AX110" i="3"/>
  <c r="AW110" i="3"/>
  <c r="AU110" i="3"/>
  <c r="AT110" i="3"/>
  <c r="AS110" i="3"/>
  <c r="AR110" i="3"/>
  <c r="AP110" i="3"/>
  <c r="AO110" i="3"/>
  <c r="AN110" i="3"/>
  <c r="AM110" i="3"/>
  <c r="AK110" i="3"/>
  <c r="AJ110" i="3"/>
  <c r="AI110" i="3"/>
  <c r="AH110" i="3"/>
  <c r="AF110" i="3"/>
  <c r="AE110" i="3"/>
  <c r="AD110" i="3"/>
  <c r="AC110" i="3"/>
  <c r="AA110" i="3"/>
  <c r="Z110" i="3"/>
  <c r="Y110" i="3"/>
  <c r="X110" i="3"/>
  <c r="V110" i="3"/>
  <c r="U110" i="3"/>
  <c r="T110" i="3"/>
  <c r="R110" i="3"/>
  <c r="K110" i="3"/>
  <c r="J110" i="3"/>
  <c r="I110" i="3"/>
  <c r="H110" i="3"/>
  <c r="G110" i="3"/>
  <c r="F110" i="3"/>
  <c r="E110" i="3"/>
  <c r="C110" i="3"/>
  <c r="BD109" i="3"/>
  <c r="BC109" i="3"/>
  <c r="BB109" i="3"/>
  <c r="AZ109" i="3"/>
  <c r="AY109" i="3"/>
  <c r="AX109" i="3"/>
  <c r="AW109" i="3"/>
  <c r="AU109" i="3"/>
  <c r="AT109" i="3"/>
  <c r="AS109" i="3"/>
  <c r="AR109" i="3"/>
  <c r="AP109" i="3"/>
  <c r="AO109" i="3"/>
  <c r="AN109" i="3"/>
  <c r="AM109" i="3"/>
  <c r="AK109" i="3"/>
  <c r="AJ109" i="3"/>
  <c r="AI109" i="3"/>
  <c r="AH109" i="3"/>
  <c r="AF109" i="3"/>
  <c r="AE109" i="3"/>
  <c r="AD109" i="3"/>
  <c r="AC109" i="3"/>
  <c r="AA109" i="3"/>
  <c r="Z109" i="3"/>
  <c r="Y109" i="3"/>
  <c r="X109" i="3"/>
  <c r="V109" i="3"/>
  <c r="U109" i="3"/>
  <c r="T109" i="3"/>
  <c r="R109" i="3"/>
  <c r="J109" i="3"/>
  <c r="I109" i="3"/>
  <c r="H109" i="3"/>
  <c r="G109" i="3"/>
  <c r="F109" i="3"/>
  <c r="E109" i="3"/>
  <c r="C109" i="3"/>
  <c r="BD108" i="3"/>
  <c r="BC108" i="3"/>
  <c r="BB108" i="3"/>
  <c r="AZ108" i="3"/>
  <c r="AY108" i="3"/>
  <c r="AX108" i="3"/>
  <c r="AW108" i="3"/>
  <c r="AU108" i="3"/>
  <c r="AT108" i="3"/>
  <c r="AS108" i="3"/>
  <c r="AR108" i="3"/>
  <c r="AP108" i="3"/>
  <c r="AO108" i="3"/>
  <c r="AN108" i="3"/>
  <c r="AM108" i="3"/>
  <c r="AK108" i="3"/>
  <c r="AJ108" i="3"/>
  <c r="AI108" i="3"/>
  <c r="AH108" i="3"/>
  <c r="AF108" i="3"/>
  <c r="AE108" i="3"/>
  <c r="AD108" i="3"/>
  <c r="AC108" i="3"/>
  <c r="AA108" i="3"/>
  <c r="Z108" i="3"/>
  <c r="Y108" i="3"/>
  <c r="X108" i="3"/>
  <c r="V108" i="3"/>
  <c r="U108" i="3"/>
  <c r="T108" i="3"/>
  <c r="R108" i="3"/>
  <c r="J108" i="3"/>
  <c r="I108" i="3"/>
  <c r="H108" i="3"/>
  <c r="G108" i="3"/>
  <c r="F108" i="3"/>
  <c r="E108" i="3"/>
  <c r="C108" i="3"/>
  <c r="BD107" i="3"/>
  <c r="BC107" i="3"/>
  <c r="BB107" i="3"/>
  <c r="AZ107" i="3"/>
  <c r="AY107" i="3"/>
  <c r="AX107" i="3"/>
  <c r="AW107" i="3"/>
  <c r="AU107" i="3"/>
  <c r="AT107" i="3"/>
  <c r="AS107" i="3"/>
  <c r="AR107" i="3"/>
  <c r="AP107" i="3"/>
  <c r="AO107" i="3"/>
  <c r="AN107" i="3"/>
  <c r="AM107" i="3"/>
  <c r="AK107" i="3"/>
  <c r="AJ107" i="3"/>
  <c r="AI107" i="3"/>
  <c r="AH107" i="3"/>
  <c r="AF107" i="3"/>
  <c r="AE107" i="3"/>
  <c r="AD107" i="3"/>
  <c r="AC107" i="3"/>
  <c r="AA107" i="3"/>
  <c r="Z107" i="3"/>
  <c r="Y107" i="3"/>
  <c r="X107" i="3"/>
  <c r="V107" i="3"/>
  <c r="U107" i="3"/>
  <c r="T107" i="3"/>
  <c r="R107" i="3"/>
  <c r="J107" i="3"/>
  <c r="I107" i="3"/>
  <c r="H107" i="3"/>
  <c r="G107" i="3"/>
  <c r="F107" i="3"/>
  <c r="E107" i="3"/>
  <c r="C107" i="3"/>
  <c r="BD106" i="3"/>
  <c r="BC106" i="3"/>
  <c r="BB106" i="3"/>
  <c r="AZ106" i="3"/>
  <c r="AY106" i="3"/>
  <c r="AX106" i="3"/>
  <c r="AW106" i="3"/>
  <c r="AU106" i="3"/>
  <c r="AT106" i="3"/>
  <c r="AS106" i="3"/>
  <c r="AR106" i="3"/>
  <c r="AP106" i="3"/>
  <c r="AO106" i="3"/>
  <c r="AN106" i="3"/>
  <c r="AM106" i="3"/>
  <c r="AK106" i="3"/>
  <c r="AJ106" i="3"/>
  <c r="AI106" i="3"/>
  <c r="AH106" i="3"/>
  <c r="AF106" i="3"/>
  <c r="AE106" i="3"/>
  <c r="AD106" i="3"/>
  <c r="AC106" i="3"/>
  <c r="AA106" i="3"/>
  <c r="Z106" i="3"/>
  <c r="Y106" i="3"/>
  <c r="X106" i="3"/>
  <c r="V106" i="3"/>
  <c r="U106" i="3"/>
  <c r="T106" i="3"/>
  <c r="R106" i="3"/>
  <c r="J106" i="3"/>
  <c r="I106" i="3"/>
  <c r="H106" i="3"/>
  <c r="G106" i="3"/>
  <c r="F106" i="3"/>
  <c r="E106" i="3"/>
  <c r="C106" i="3"/>
  <c r="BD105" i="3"/>
  <c r="BC105" i="3"/>
  <c r="BB105" i="3"/>
  <c r="AZ105" i="3"/>
  <c r="AY105" i="3"/>
  <c r="AX105" i="3"/>
  <c r="AW105" i="3"/>
  <c r="AU105" i="3"/>
  <c r="AT105" i="3"/>
  <c r="AS105" i="3"/>
  <c r="AR105" i="3"/>
  <c r="AP105" i="3"/>
  <c r="AO105" i="3"/>
  <c r="AN105" i="3"/>
  <c r="AM105" i="3"/>
  <c r="AK105" i="3"/>
  <c r="AJ105" i="3"/>
  <c r="AI105" i="3"/>
  <c r="AH105" i="3"/>
  <c r="AF105" i="3"/>
  <c r="AE105" i="3"/>
  <c r="AD105" i="3"/>
  <c r="AC105" i="3"/>
  <c r="AA105" i="3"/>
  <c r="Z105" i="3"/>
  <c r="Y105" i="3"/>
  <c r="X105" i="3"/>
  <c r="V105" i="3"/>
  <c r="U105" i="3"/>
  <c r="T105" i="3"/>
  <c r="R105" i="3"/>
  <c r="J105" i="3"/>
  <c r="I105" i="3"/>
  <c r="H105" i="3"/>
  <c r="G105" i="3"/>
  <c r="F105" i="3"/>
  <c r="E105" i="3"/>
  <c r="C105" i="3"/>
  <c r="BD104" i="3"/>
  <c r="BC104" i="3"/>
  <c r="BB104" i="3"/>
  <c r="AZ104" i="3"/>
  <c r="AY104" i="3"/>
  <c r="AX104" i="3"/>
  <c r="AW104" i="3"/>
  <c r="AU104" i="3"/>
  <c r="AT104" i="3"/>
  <c r="AS104" i="3"/>
  <c r="AR104" i="3"/>
  <c r="AP104" i="3"/>
  <c r="AO104" i="3"/>
  <c r="AN104" i="3"/>
  <c r="AM104" i="3"/>
  <c r="AK104" i="3"/>
  <c r="AJ104" i="3"/>
  <c r="AI104" i="3"/>
  <c r="AH104" i="3"/>
  <c r="AF104" i="3"/>
  <c r="AE104" i="3"/>
  <c r="AD104" i="3"/>
  <c r="AC104" i="3"/>
  <c r="AA104" i="3"/>
  <c r="Z104" i="3"/>
  <c r="Y104" i="3"/>
  <c r="X104" i="3"/>
  <c r="V104" i="3"/>
  <c r="U104" i="3"/>
  <c r="T104" i="3"/>
  <c r="R104" i="3"/>
  <c r="J104" i="3"/>
  <c r="I104" i="3"/>
  <c r="H104" i="3"/>
  <c r="G104" i="3"/>
  <c r="F104" i="3"/>
  <c r="E104" i="3"/>
  <c r="C104" i="3"/>
  <c r="R103"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S102" i="3"/>
  <c r="BV101" i="3"/>
  <c r="BQ101" i="3"/>
  <c r="BL101" i="3"/>
  <c r="BG101" i="3"/>
  <c r="BB101" i="3"/>
  <c r="AW101" i="3"/>
  <c r="AR101" i="3"/>
  <c r="AM101" i="3"/>
  <c r="AH101" i="3"/>
  <c r="AC101" i="3"/>
  <c r="X101" i="3"/>
  <c r="S101" i="3"/>
  <c r="O101" i="3"/>
  <c r="N101" i="3"/>
  <c r="M101" i="3"/>
  <c r="L101" i="3"/>
  <c r="K101" i="3"/>
  <c r="J101" i="3"/>
  <c r="I101" i="3"/>
  <c r="H101" i="3"/>
  <c r="G101" i="3"/>
  <c r="F101" i="3"/>
  <c r="E101" i="3"/>
  <c r="D101" i="3"/>
  <c r="BY100" i="3"/>
  <c r="BX100" i="3"/>
  <c r="R100" i="3"/>
  <c r="O100" i="3"/>
  <c r="N100" i="3"/>
  <c r="C100" i="3"/>
  <c r="BX99" i="3"/>
  <c r="R99" i="3"/>
  <c r="N99" i="3"/>
  <c r="C99" i="3"/>
  <c r="BX98" i="3"/>
  <c r="R98" i="3"/>
  <c r="N98" i="3"/>
  <c r="C98"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S92" i="3"/>
  <c r="R92" i="3"/>
  <c r="J92" i="3"/>
  <c r="I92" i="3"/>
  <c r="H92" i="3"/>
  <c r="G92" i="3"/>
  <c r="F92" i="3"/>
  <c r="E92" i="3"/>
  <c r="D92" i="3"/>
  <c r="C92"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S91" i="3"/>
  <c r="R91" i="3"/>
  <c r="J91" i="3"/>
  <c r="I91" i="3"/>
  <c r="H91" i="3"/>
  <c r="G91" i="3"/>
  <c r="F91" i="3"/>
  <c r="E91" i="3"/>
  <c r="D91" i="3"/>
  <c r="C91"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S90" i="3"/>
  <c r="R90" i="3"/>
  <c r="J90" i="3"/>
  <c r="I90" i="3"/>
  <c r="H90" i="3"/>
  <c r="G90" i="3"/>
  <c r="F90" i="3"/>
  <c r="E90" i="3"/>
  <c r="D90" i="3"/>
  <c r="C90"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S89" i="3"/>
  <c r="R89" i="3"/>
  <c r="J89" i="3"/>
  <c r="I89" i="3"/>
  <c r="H89" i="3"/>
  <c r="G89" i="3"/>
  <c r="F89" i="3"/>
  <c r="E89" i="3"/>
  <c r="D89" i="3"/>
  <c r="C89"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R88" i="3"/>
  <c r="J88" i="3"/>
  <c r="I88" i="3"/>
  <c r="H88" i="3"/>
  <c r="G88" i="3"/>
  <c r="F88" i="3"/>
  <c r="E88"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S87" i="3"/>
  <c r="R87" i="3"/>
  <c r="J87" i="3"/>
  <c r="I87" i="3"/>
  <c r="H87" i="3"/>
  <c r="G87" i="3"/>
  <c r="F87" i="3"/>
  <c r="E87" i="3"/>
  <c r="D87" i="3"/>
  <c r="C87"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S86" i="3"/>
  <c r="R86" i="3"/>
  <c r="J86" i="3"/>
  <c r="I86" i="3"/>
  <c r="H86" i="3"/>
  <c r="G86" i="3"/>
  <c r="F86" i="3"/>
  <c r="E86" i="3"/>
  <c r="D86" i="3"/>
  <c r="C86"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R85" i="3"/>
  <c r="J85" i="3"/>
  <c r="I85" i="3"/>
  <c r="H85" i="3"/>
  <c r="G85" i="3"/>
  <c r="F85" i="3"/>
  <c r="E85"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S84" i="3"/>
  <c r="R84" i="3"/>
  <c r="J84" i="3"/>
  <c r="I84" i="3"/>
  <c r="H84" i="3"/>
  <c r="G84" i="3"/>
  <c r="F84" i="3"/>
  <c r="E84" i="3"/>
  <c r="D84" i="3"/>
  <c r="C84"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R83" i="3"/>
  <c r="J83" i="3"/>
  <c r="I83" i="3"/>
  <c r="H83" i="3"/>
  <c r="G83" i="3"/>
  <c r="F83" i="3"/>
  <c r="E83"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S82" i="3"/>
  <c r="R82" i="3"/>
  <c r="J82" i="3"/>
  <c r="I82" i="3"/>
  <c r="H82" i="3"/>
  <c r="G82" i="3"/>
  <c r="F82" i="3"/>
  <c r="E82" i="3"/>
  <c r="D82" i="3"/>
  <c r="C82"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R81" i="3"/>
  <c r="J81" i="3"/>
  <c r="I81" i="3"/>
  <c r="H81" i="3"/>
  <c r="G81" i="3"/>
  <c r="F81" i="3"/>
  <c r="E81" i="3"/>
  <c r="BD80" i="3"/>
  <c r="BC80" i="3"/>
  <c r="BB80" i="3"/>
  <c r="BA80" i="3"/>
  <c r="AZ80"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S80" i="3"/>
  <c r="R80" i="3"/>
  <c r="J80" i="3"/>
  <c r="I80" i="3"/>
  <c r="H80" i="3"/>
  <c r="G80" i="3"/>
  <c r="F80" i="3"/>
  <c r="E80" i="3"/>
  <c r="D80" i="3"/>
  <c r="C80" i="3"/>
  <c r="BD79" i="3"/>
  <c r="BC79" i="3"/>
  <c r="BB79" i="3"/>
  <c r="BA79" i="3"/>
  <c r="AZ79"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R79" i="3"/>
  <c r="J79" i="3"/>
  <c r="I79" i="3"/>
  <c r="H79" i="3"/>
  <c r="G79" i="3"/>
  <c r="F79" i="3"/>
  <c r="E79" i="3"/>
  <c r="BD78" i="3"/>
  <c r="BC78" i="3"/>
  <c r="BB78" i="3"/>
  <c r="BA78" i="3"/>
  <c r="AZ78"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S78" i="3"/>
  <c r="R78" i="3"/>
  <c r="J78" i="3"/>
  <c r="I78" i="3"/>
  <c r="H78" i="3"/>
  <c r="G78" i="3"/>
  <c r="F78" i="3"/>
  <c r="E78" i="3"/>
  <c r="D78" i="3"/>
  <c r="C78"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R77" i="3"/>
  <c r="J77" i="3"/>
  <c r="I77" i="3"/>
  <c r="H77" i="3"/>
  <c r="G77" i="3"/>
  <c r="F77" i="3"/>
  <c r="E77"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S76" i="3"/>
  <c r="R76" i="3"/>
  <c r="J76" i="3"/>
  <c r="I76" i="3"/>
  <c r="H76" i="3"/>
  <c r="G76" i="3"/>
  <c r="F76" i="3"/>
  <c r="E76" i="3"/>
  <c r="D76" i="3"/>
  <c r="C76"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R75" i="3"/>
  <c r="J75" i="3"/>
  <c r="I75" i="3"/>
  <c r="H75" i="3"/>
  <c r="G75" i="3"/>
  <c r="F75" i="3"/>
  <c r="E75"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S74" i="3"/>
  <c r="R74" i="3"/>
  <c r="J74" i="3"/>
  <c r="I74" i="3"/>
  <c r="H74" i="3"/>
  <c r="G74" i="3"/>
  <c r="F74" i="3"/>
  <c r="E74" i="3"/>
  <c r="D74" i="3"/>
  <c r="C74" i="3"/>
  <c r="R72" i="3"/>
  <c r="BZ68" i="3"/>
  <c r="BY68"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S68" i="3"/>
  <c r="R68" i="3"/>
  <c r="O68" i="3"/>
  <c r="N68" i="3"/>
  <c r="M68" i="3"/>
  <c r="L68" i="3"/>
  <c r="K68" i="3"/>
  <c r="J68" i="3"/>
  <c r="I68" i="3"/>
  <c r="H68" i="3"/>
  <c r="G68" i="3"/>
  <c r="F68" i="3"/>
  <c r="E68" i="3"/>
  <c r="D68" i="3"/>
  <c r="R67" i="3"/>
  <c r="J67" i="3"/>
  <c r="I67" i="3"/>
  <c r="H67" i="3"/>
  <c r="G67" i="3"/>
  <c r="F67" i="3"/>
  <c r="E67" i="3"/>
  <c r="D67" i="3"/>
  <c r="R66" i="3"/>
  <c r="J66" i="3"/>
  <c r="I66" i="3"/>
  <c r="H66" i="3"/>
  <c r="G66" i="3"/>
  <c r="F66" i="3"/>
  <c r="E66" i="3"/>
  <c r="D66" i="3"/>
  <c r="BZ65" i="3"/>
  <c r="BY65"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S65" i="3"/>
  <c r="R65" i="3"/>
  <c r="O65" i="3"/>
  <c r="N65" i="3"/>
  <c r="M65" i="3"/>
  <c r="L65" i="3"/>
  <c r="K65" i="3"/>
  <c r="J65" i="3"/>
  <c r="I65" i="3"/>
  <c r="H65" i="3"/>
  <c r="G65" i="3"/>
  <c r="F65" i="3"/>
  <c r="E65" i="3"/>
  <c r="D65"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S64" i="3"/>
  <c r="R64" i="3"/>
  <c r="J64" i="3"/>
  <c r="I64" i="3"/>
  <c r="H64" i="3"/>
  <c r="G64" i="3"/>
  <c r="F64" i="3"/>
  <c r="E64" i="3"/>
  <c r="D64" i="3"/>
  <c r="BD63" i="3"/>
  <c r="BC63" i="3"/>
  <c r="BB63" i="3"/>
  <c r="BA63" i="3"/>
  <c r="AZ63" i="3"/>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S63" i="3"/>
  <c r="R63" i="3"/>
  <c r="J63" i="3"/>
  <c r="I63" i="3"/>
  <c r="H63" i="3"/>
  <c r="G63" i="3"/>
  <c r="F63" i="3"/>
  <c r="E63" i="3"/>
  <c r="D63" i="3"/>
  <c r="BD62" i="3"/>
  <c r="BC62" i="3"/>
  <c r="BB62" i="3"/>
  <c r="BA62" i="3"/>
  <c r="AZ62"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S62" i="3"/>
  <c r="R62" i="3"/>
  <c r="J62" i="3"/>
  <c r="I62" i="3"/>
  <c r="H62" i="3"/>
  <c r="G62" i="3"/>
  <c r="F62" i="3"/>
  <c r="E62" i="3"/>
  <c r="D62" i="3"/>
  <c r="C62"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S61" i="3"/>
  <c r="R61" i="3"/>
  <c r="J61" i="3"/>
  <c r="I61" i="3"/>
  <c r="H61" i="3"/>
  <c r="G61" i="3"/>
  <c r="F61" i="3"/>
  <c r="E61" i="3"/>
  <c r="D61" i="3"/>
  <c r="BD60" i="3"/>
  <c r="BC60" i="3"/>
  <c r="BB60" i="3"/>
  <c r="BA60" i="3"/>
  <c r="AZ60"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S60" i="3"/>
  <c r="R60" i="3"/>
  <c r="J60" i="3"/>
  <c r="I60" i="3"/>
  <c r="H60" i="3"/>
  <c r="G60" i="3"/>
  <c r="F60" i="3"/>
  <c r="E60" i="3"/>
  <c r="D60"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S59" i="3"/>
  <c r="R59" i="3"/>
  <c r="J59" i="3"/>
  <c r="I59" i="3"/>
  <c r="H59" i="3"/>
  <c r="G59" i="3"/>
  <c r="F59" i="3"/>
  <c r="E59" i="3"/>
  <c r="D59" i="3"/>
  <c r="BZ58" i="3"/>
  <c r="BY58"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S58" i="3"/>
  <c r="BV57" i="3"/>
  <c r="BQ57" i="3"/>
  <c r="BL57" i="3"/>
  <c r="BG57" i="3"/>
  <c r="BB57" i="3"/>
  <c r="AW57" i="3"/>
  <c r="AR57" i="3"/>
  <c r="AM57" i="3"/>
  <c r="AH57" i="3"/>
  <c r="AC57" i="3"/>
  <c r="X57" i="3"/>
  <c r="S57" i="3"/>
  <c r="O57" i="3"/>
  <c r="N57" i="3"/>
  <c r="M57" i="3"/>
  <c r="L57" i="3"/>
  <c r="K57" i="3"/>
  <c r="J57" i="3"/>
  <c r="I57" i="3"/>
  <c r="H57" i="3"/>
  <c r="G57" i="3"/>
  <c r="F57" i="3"/>
  <c r="E57" i="3"/>
  <c r="D57" i="3"/>
  <c r="BY56" i="3"/>
  <c r="BX56" i="3"/>
  <c r="R56" i="3"/>
  <c r="O56" i="3"/>
  <c r="N56" i="3"/>
  <c r="C56" i="3"/>
  <c r="BX55" i="3"/>
  <c r="R55" i="3"/>
  <c r="N55" i="3"/>
  <c r="C55" i="3"/>
  <c r="BX54" i="3"/>
  <c r="R54" i="3"/>
  <c r="N54" i="3"/>
  <c r="C54" i="3"/>
  <c r="R47" i="3"/>
  <c r="O47" i="3"/>
  <c r="N47" i="3"/>
  <c r="M47" i="3"/>
  <c r="L47" i="3"/>
  <c r="K47" i="3"/>
  <c r="J47" i="3"/>
  <c r="I47" i="3"/>
  <c r="H47" i="3"/>
  <c r="G47" i="3"/>
  <c r="BZ45" i="3"/>
  <c r="BY45" i="3"/>
  <c r="BX45" i="3"/>
  <c r="BW45" i="3"/>
  <c r="BV45" i="3"/>
  <c r="BU45" i="3"/>
  <c r="BT45" i="3"/>
  <c r="BS45" i="3"/>
  <c r="BR45" i="3"/>
  <c r="BQ45" i="3"/>
  <c r="BP45" i="3"/>
  <c r="BO45" i="3"/>
  <c r="BN45" i="3"/>
  <c r="BM45" i="3"/>
  <c r="BL45" i="3"/>
  <c r="BK45" i="3"/>
  <c r="BJ45" i="3"/>
  <c r="BI45" i="3"/>
  <c r="BH45" i="3"/>
  <c r="BG45" i="3"/>
  <c r="BF45" i="3"/>
  <c r="BE45" i="3"/>
  <c r="AZ45" i="3"/>
  <c r="AU45" i="3"/>
  <c r="AP45" i="3"/>
  <c r="AK45" i="3"/>
  <c r="AF45" i="3"/>
  <c r="AA45" i="3"/>
  <c r="V45" i="3"/>
  <c r="R45" i="3"/>
  <c r="O45" i="3"/>
  <c r="N45" i="3"/>
  <c r="M45" i="3"/>
  <c r="L45" i="3"/>
  <c r="K45" i="3"/>
  <c r="J45" i="3"/>
  <c r="I45" i="3"/>
  <c r="H45" i="3"/>
  <c r="G45" i="3"/>
  <c r="F45" i="3"/>
  <c r="E45" i="3"/>
  <c r="D45" i="3"/>
  <c r="BZ44" i="3"/>
  <c r="BY44" i="3"/>
  <c r="BX44" i="3"/>
  <c r="BW44" i="3"/>
  <c r="BV44" i="3"/>
  <c r="BU44" i="3"/>
  <c r="BT44" i="3"/>
  <c r="BS44" i="3"/>
  <c r="BR44" i="3"/>
  <c r="BQ44" i="3"/>
  <c r="BP44" i="3"/>
  <c r="BO44" i="3"/>
  <c r="BN44" i="3"/>
  <c r="BM44" i="3"/>
  <c r="BL44" i="3"/>
  <c r="BK44" i="3"/>
  <c r="BJ44" i="3"/>
  <c r="BI44" i="3"/>
  <c r="BH44" i="3"/>
  <c r="BG44" i="3"/>
  <c r="BF44" i="3"/>
  <c r="BE44" i="3"/>
  <c r="AZ44" i="3"/>
  <c r="AU44" i="3"/>
  <c r="AP44" i="3"/>
  <c r="AK44" i="3"/>
  <c r="AF44" i="3"/>
  <c r="AA44" i="3"/>
  <c r="V44" i="3"/>
  <c r="R44" i="3"/>
  <c r="O44" i="3"/>
  <c r="N44" i="3"/>
  <c r="M44" i="3"/>
  <c r="L44" i="3"/>
  <c r="K44" i="3"/>
  <c r="J44" i="3"/>
  <c r="I44" i="3"/>
  <c r="H44" i="3"/>
  <c r="G44" i="3"/>
  <c r="F44" i="3"/>
  <c r="E44" i="3"/>
  <c r="D44" i="3"/>
  <c r="BZ42" i="3"/>
  <c r="BY42"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S42" i="3"/>
  <c r="R42" i="3"/>
  <c r="O42" i="3"/>
  <c r="N42" i="3"/>
  <c r="M42" i="3"/>
  <c r="L42" i="3"/>
  <c r="K42" i="3"/>
  <c r="J42" i="3"/>
  <c r="I42" i="3"/>
  <c r="H42" i="3"/>
  <c r="G42" i="3"/>
  <c r="F42" i="3"/>
  <c r="E42" i="3"/>
  <c r="D42"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S40" i="3"/>
  <c r="R40" i="3"/>
  <c r="J40" i="3"/>
  <c r="I40" i="3"/>
  <c r="H40" i="3"/>
  <c r="G40" i="3"/>
  <c r="F40" i="3"/>
  <c r="E40" i="3"/>
  <c r="D40"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S39" i="3"/>
  <c r="R39" i="3"/>
  <c r="J39" i="3"/>
  <c r="I39" i="3"/>
  <c r="H39" i="3"/>
  <c r="G39" i="3"/>
  <c r="F39" i="3"/>
  <c r="E39" i="3"/>
  <c r="D39"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S37" i="3"/>
  <c r="R37" i="3"/>
  <c r="J37" i="3"/>
  <c r="I37" i="3"/>
  <c r="H37" i="3"/>
  <c r="G37" i="3"/>
  <c r="F37" i="3"/>
  <c r="E37" i="3"/>
  <c r="D37" i="3"/>
  <c r="R35" i="3"/>
  <c r="O35" i="3"/>
  <c r="N35" i="3"/>
  <c r="M35" i="3"/>
  <c r="L35" i="3"/>
  <c r="K35" i="3"/>
  <c r="J35" i="3"/>
  <c r="I35" i="3"/>
  <c r="H35" i="3"/>
  <c r="G35" i="3"/>
  <c r="F35" i="3"/>
  <c r="E35" i="3"/>
  <c r="D35" i="3"/>
  <c r="R34" i="3"/>
  <c r="O34" i="3"/>
  <c r="N34" i="3"/>
  <c r="M34" i="3"/>
  <c r="L34" i="3"/>
  <c r="K34" i="3"/>
  <c r="J34" i="3"/>
  <c r="I34" i="3"/>
  <c r="H34" i="3"/>
  <c r="G34" i="3"/>
  <c r="F34" i="3"/>
  <c r="E34" i="3"/>
  <c r="D34"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S33" i="3"/>
  <c r="R33" i="3"/>
  <c r="J33" i="3"/>
  <c r="I33" i="3"/>
  <c r="H33" i="3"/>
  <c r="G33" i="3"/>
  <c r="F33" i="3"/>
  <c r="E33" i="3"/>
  <c r="D33" i="3"/>
  <c r="BZ32" i="3"/>
  <c r="BU32" i="3"/>
  <c r="BP32" i="3"/>
  <c r="BK32" i="3"/>
  <c r="BF32" i="3"/>
  <c r="AU32" i="3"/>
  <c r="AP32" i="3"/>
  <c r="AK32" i="3"/>
  <c r="AF32" i="3"/>
  <c r="AA32" i="3"/>
  <c r="V32" i="3"/>
  <c r="R32" i="3"/>
  <c r="O32" i="3"/>
  <c r="N32" i="3"/>
  <c r="M32" i="3"/>
  <c r="L32" i="3"/>
  <c r="K32" i="3"/>
  <c r="J32" i="3"/>
  <c r="I32" i="3"/>
  <c r="H32" i="3"/>
  <c r="G32" i="3"/>
  <c r="F32" i="3"/>
  <c r="E32" i="3"/>
  <c r="D32" i="3"/>
  <c r="BZ31" i="3"/>
  <c r="BU31" i="3"/>
  <c r="BP31" i="3"/>
  <c r="BK31" i="3"/>
  <c r="BF31" i="3"/>
  <c r="AU31" i="3"/>
  <c r="AP31" i="3"/>
  <c r="AK31" i="3"/>
  <c r="AF31" i="3"/>
  <c r="AA31" i="3"/>
  <c r="V31" i="3"/>
  <c r="R31" i="3"/>
  <c r="O31" i="3"/>
  <c r="N31" i="3"/>
  <c r="M31" i="3"/>
  <c r="L31" i="3"/>
  <c r="K31" i="3"/>
  <c r="J31" i="3"/>
  <c r="I31" i="3"/>
  <c r="H31" i="3"/>
  <c r="G31" i="3"/>
  <c r="F31" i="3"/>
  <c r="E31" i="3"/>
  <c r="D31"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S29" i="3"/>
  <c r="R29" i="3"/>
  <c r="J29" i="3"/>
  <c r="I29" i="3"/>
  <c r="H29" i="3"/>
  <c r="G29" i="3"/>
  <c r="F29" i="3"/>
  <c r="E29" i="3"/>
  <c r="D29" i="3"/>
  <c r="AZ28" i="3"/>
  <c r="AU28" i="3"/>
  <c r="AP28" i="3"/>
  <c r="AK28" i="3"/>
  <c r="AF28" i="3"/>
  <c r="AA28" i="3"/>
  <c r="V28" i="3"/>
  <c r="R28" i="3"/>
  <c r="J28" i="3"/>
  <c r="I28" i="3"/>
  <c r="H28" i="3"/>
  <c r="G28" i="3"/>
  <c r="F28" i="3"/>
  <c r="E28" i="3"/>
  <c r="D28"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J26" i="3"/>
  <c r="I26" i="3"/>
  <c r="H26" i="3"/>
  <c r="G26" i="3"/>
  <c r="F26" i="3"/>
  <c r="E26" i="3"/>
  <c r="D26" i="3"/>
  <c r="AZ25" i="3"/>
  <c r="AU25" i="3"/>
  <c r="AP25" i="3"/>
  <c r="AK25" i="3"/>
  <c r="AF25" i="3"/>
  <c r="AA25" i="3"/>
  <c r="V25" i="3"/>
  <c r="R25" i="3"/>
  <c r="J25" i="3"/>
  <c r="I25" i="3"/>
  <c r="H25" i="3"/>
  <c r="G25" i="3"/>
  <c r="F25" i="3"/>
  <c r="E25" i="3"/>
  <c r="D25" i="3"/>
  <c r="AZ24" i="3"/>
  <c r="AU24" i="3"/>
  <c r="AP24" i="3"/>
  <c r="AK24" i="3"/>
  <c r="AF24" i="3"/>
  <c r="AA24" i="3"/>
  <c r="V24" i="3"/>
  <c r="R24" i="3"/>
  <c r="J24" i="3"/>
  <c r="I24" i="3"/>
  <c r="H24" i="3"/>
  <c r="G24" i="3"/>
  <c r="F24" i="3"/>
  <c r="E24" i="3"/>
  <c r="D24"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F23" i="3"/>
  <c r="AA23" i="3"/>
  <c r="V23" i="3"/>
  <c r="R23" i="3"/>
  <c r="K23" i="3"/>
  <c r="J23" i="3"/>
  <c r="I23" i="3"/>
  <c r="H23" i="3"/>
  <c r="G23" i="3"/>
  <c r="F23" i="3"/>
  <c r="E23" i="3"/>
  <c r="D23"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J21" i="3"/>
  <c r="I21" i="3"/>
  <c r="H21" i="3"/>
  <c r="G21" i="3"/>
  <c r="F21" i="3"/>
  <c r="E21" i="3"/>
  <c r="D21"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J20" i="3"/>
  <c r="I20" i="3"/>
  <c r="H20" i="3"/>
  <c r="G20" i="3"/>
  <c r="F20" i="3"/>
  <c r="E20" i="3"/>
  <c r="D20"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J19" i="3"/>
  <c r="I19" i="3"/>
  <c r="H19" i="3"/>
  <c r="G19" i="3"/>
  <c r="F19" i="3"/>
  <c r="E19" i="3"/>
  <c r="D19" i="3"/>
  <c r="AZ18" i="3"/>
  <c r="AU18" i="3"/>
  <c r="AP18" i="3"/>
  <c r="AK18" i="3"/>
  <c r="AF18" i="3"/>
  <c r="AA18" i="3"/>
  <c r="V18" i="3"/>
  <c r="R18" i="3"/>
  <c r="J18" i="3"/>
  <c r="I18" i="3"/>
  <c r="H18" i="3"/>
  <c r="G18" i="3"/>
  <c r="F18" i="3"/>
  <c r="E18" i="3"/>
  <c r="D18"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R17" i="3"/>
  <c r="K17" i="3"/>
  <c r="J17" i="3"/>
  <c r="I17" i="3"/>
  <c r="H17" i="3"/>
  <c r="G17" i="3"/>
  <c r="F17" i="3"/>
  <c r="E17" i="3"/>
  <c r="D17" i="3"/>
  <c r="BF16" i="3"/>
  <c r="BE16" i="3"/>
  <c r="AZ16" i="3"/>
  <c r="AU16" i="3"/>
  <c r="AP16" i="3"/>
  <c r="AK16" i="3"/>
  <c r="AF16" i="3"/>
  <c r="AA16" i="3"/>
  <c r="V16" i="3"/>
  <c r="R16" i="3"/>
  <c r="K16" i="3"/>
  <c r="J16" i="3"/>
  <c r="I16" i="3"/>
  <c r="H16" i="3"/>
  <c r="G16" i="3"/>
  <c r="F16" i="3"/>
  <c r="E16" i="3"/>
  <c r="D16" i="3"/>
  <c r="AZ15" i="3"/>
  <c r="AU15" i="3"/>
  <c r="AP15" i="3"/>
  <c r="AK15" i="3"/>
  <c r="AF15" i="3"/>
  <c r="AA15" i="3"/>
  <c r="V15" i="3"/>
  <c r="R15" i="3"/>
  <c r="J15" i="3"/>
  <c r="I15" i="3"/>
  <c r="H15" i="3"/>
  <c r="G15" i="3"/>
  <c r="F15" i="3"/>
  <c r="E15" i="3"/>
  <c r="D15" i="3"/>
  <c r="AZ14" i="3"/>
  <c r="AU14" i="3"/>
  <c r="AP14" i="3"/>
  <c r="AK14" i="3"/>
  <c r="AF14" i="3"/>
  <c r="AA14" i="3"/>
  <c r="V14" i="3"/>
  <c r="R14" i="3"/>
  <c r="J14" i="3"/>
  <c r="I14" i="3"/>
  <c r="H14" i="3"/>
  <c r="G14" i="3"/>
  <c r="F14" i="3"/>
  <c r="E14" i="3"/>
  <c r="D14" i="3"/>
  <c r="AZ13" i="3"/>
  <c r="AU13" i="3"/>
  <c r="AP13" i="3"/>
  <c r="AK13" i="3"/>
  <c r="AF13" i="3"/>
  <c r="AA13" i="3"/>
  <c r="V13" i="3"/>
  <c r="R13" i="3"/>
  <c r="J13" i="3"/>
  <c r="I13" i="3"/>
  <c r="H13" i="3"/>
  <c r="G13" i="3"/>
  <c r="F13" i="3"/>
  <c r="E13" i="3"/>
  <c r="D13" i="3"/>
  <c r="AZ12" i="3"/>
  <c r="AU12" i="3"/>
  <c r="AP12" i="3"/>
  <c r="AK12" i="3"/>
  <c r="AF12" i="3"/>
  <c r="AA12" i="3"/>
  <c r="V12" i="3"/>
  <c r="R12" i="3"/>
  <c r="J12" i="3"/>
  <c r="I12" i="3"/>
  <c r="H12" i="3"/>
  <c r="G12" i="3"/>
  <c r="F12" i="3"/>
  <c r="E12" i="3"/>
  <c r="D12" i="3"/>
  <c r="AZ11" i="3"/>
  <c r="AU11" i="3"/>
  <c r="AP11" i="3"/>
  <c r="AK11" i="3"/>
  <c r="AF11" i="3"/>
  <c r="AA11" i="3"/>
  <c r="V11" i="3"/>
  <c r="R11" i="3"/>
  <c r="J11" i="3"/>
  <c r="I11" i="3"/>
  <c r="H11" i="3"/>
  <c r="G11" i="3"/>
  <c r="F11" i="3"/>
  <c r="E11" i="3"/>
  <c r="D11"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R9" i="3"/>
  <c r="J9" i="3"/>
  <c r="I9" i="3"/>
  <c r="H9" i="3"/>
  <c r="G9" i="3"/>
  <c r="F9" i="3"/>
  <c r="E9" i="3"/>
  <c r="AZ8" i="3"/>
  <c r="AU8" i="3"/>
  <c r="AP8" i="3"/>
  <c r="AK8" i="3"/>
  <c r="AF8" i="3"/>
  <c r="AA8" i="3"/>
  <c r="V8" i="3"/>
  <c r="R8" i="3"/>
  <c r="J8" i="3"/>
  <c r="I8" i="3"/>
  <c r="H8" i="3"/>
  <c r="G8" i="3"/>
  <c r="F8" i="3"/>
  <c r="E8" i="3"/>
  <c r="D8" i="3"/>
  <c r="BZ7" i="3"/>
  <c r="BY7" i="3"/>
  <c r="BX7" i="3"/>
  <c r="BW7" i="3"/>
  <c r="BV7" i="3"/>
  <c r="BU7" i="3"/>
  <c r="BT7" i="3"/>
  <c r="BS7" i="3"/>
  <c r="BR7" i="3"/>
  <c r="BQ7"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S7" i="3"/>
  <c r="O7" i="3"/>
  <c r="N7" i="3"/>
  <c r="M7" i="3"/>
  <c r="L7" i="3"/>
  <c r="K7" i="3"/>
  <c r="J7" i="3"/>
  <c r="I7" i="3"/>
  <c r="H7" i="3"/>
  <c r="G7" i="3"/>
  <c r="F7" i="3"/>
  <c r="E7" i="3"/>
  <c r="D7" i="3"/>
  <c r="BV5" i="3"/>
  <c r="BQ5" i="3"/>
  <c r="BL5" i="3"/>
  <c r="BG5" i="3"/>
  <c r="BB5" i="3"/>
  <c r="AW5" i="3"/>
  <c r="AR5" i="3"/>
  <c r="AM5" i="3"/>
  <c r="AH5" i="3"/>
  <c r="AC5" i="3"/>
  <c r="X5" i="3"/>
  <c r="S5" i="3"/>
  <c r="O5" i="3"/>
  <c r="N5" i="3"/>
  <c r="N5" i="3" a="1"/>
  <c r="H5" i="3"/>
  <c r="C5" i="3"/>
  <c r="BY4" i="3"/>
  <c r="BX4" i="3"/>
  <c r="R4" i="3"/>
  <c r="N4" i="3"/>
  <c r="N4" i="3" a="1"/>
  <c r="C4" i="3"/>
  <c r="BX3" i="3"/>
  <c r="BR3" i="3"/>
  <c r="R3" i="3"/>
  <c r="N3" i="3"/>
  <c r="C3" i="3"/>
  <c r="R161" i="10"/>
  <c r="C161" i="10"/>
  <c r="R160" i="10"/>
  <c r="C160" i="10"/>
  <c r="R159" i="10"/>
  <c r="C159" i="10"/>
  <c r="R158" i="10"/>
  <c r="C158" i="10"/>
  <c r="BD157" i="10"/>
  <c r="BC157" i="10"/>
  <c r="BB157" i="10"/>
  <c r="BA157" i="10"/>
  <c r="AZ157" i="10"/>
  <c r="AY157" i="10"/>
  <c r="AX157" i="10"/>
  <c r="AW157" i="10"/>
  <c r="AV157" i="10"/>
  <c r="AU157" i="10"/>
  <c r="AT157" i="10"/>
  <c r="AS157" i="10"/>
  <c r="AR157" i="10"/>
  <c r="AQ157" i="10"/>
  <c r="AP157" i="10"/>
  <c r="AO157" i="10"/>
  <c r="AN157" i="10"/>
  <c r="AM157" i="10"/>
  <c r="AL157" i="10"/>
  <c r="AK157" i="10"/>
  <c r="AJ157" i="10"/>
  <c r="AI157" i="10"/>
  <c r="AH157" i="10"/>
  <c r="AG157" i="10"/>
  <c r="AF157" i="10"/>
  <c r="AE157" i="10"/>
  <c r="AD157" i="10"/>
  <c r="AC157" i="10"/>
  <c r="AB157" i="10"/>
  <c r="AA157" i="10"/>
  <c r="Z157" i="10"/>
  <c r="Y157" i="10"/>
  <c r="X157" i="10"/>
  <c r="R157" i="10"/>
  <c r="J157" i="10"/>
  <c r="I157" i="10"/>
  <c r="H157" i="10"/>
  <c r="G157" i="10"/>
  <c r="F157" i="10"/>
  <c r="E157" i="10"/>
  <c r="C157" i="10"/>
  <c r="BD156" i="10"/>
  <c r="BC156" i="10"/>
  <c r="BB156" i="10"/>
  <c r="BA156" i="10"/>
  <c r="AZ156" i="10"/>
  <c r="AY156" i="10"/>
  <c r="AX156" i="10"/>
  <c r="AW156" i="10"/>
  <c r="AV156" i="10"/>
  <c r="AU156" i="10"/>
  <c r="AT156" i="10"/>
  <c r="AS156" i="10"/>
  <c r="AR156" i="10"/>
  <c r="AQ156" i="10"/>
  <c r="AP156" i="10"/>
  <c r="AO156" i="10"/>
  <c r="AN156" i="10"/>
  <c r="AM156" i="10"/>
  <c r="AL156" i="10"/>
  <c r="AK156" i="10"/>
  <c r="AJ156" i="10"/>
  <c r="AI156" i="10"/>
  <c r="AH156" i="10"/>
  <c r="AG156" i="10"/>
  <c r="AF156" i="10"/>
  <c r="AE156" i="10"/>
  <c r="AD156" i="10"/>
  <c r="AC156" i="10"/>
  <c r="AB156" i="10"/>
  <c r="AA156" i="10"/>
  <c r="Z156" i="10"/>
  <c r="Y156" i="10"/>
  <c r="X156" i="10"/>
  <c r="W156" i="10"/>
  <c r="V156" i="10"/>
  <c r="U156" i="10"/>
  <c r="T156" i="10"/>
  <c r="S156" i="10"/>
  <c r="R156" i="10"/>
  <c r="J156" i="10"/>
  <c r="I156" i="10"/>
  <c r="H156" i="10"/>
  <c r="G156" i="10"/>
  <c r="F156" i="10"/>
  <c r="E156" i="10"/>
  <c r="D156" i="10"/>
  <c r="C156" i="10"/>
  <c r="R155" i="10"/>
  <c r="C155" i="10"/>
  <c r="R154" i="10"/>
  <c r="C154" i="10"/>
  <c r="R153" i="10"/>
  <c r="C153" i="10"/>
  <c r="R152" i="10"/>
  <c r="C152" i="10"/>
  <c r="BD151" i="10"/>
  <c r="BC151" i="10"/>
  <c r="BB151" i="10"/>
  <c r="BA151" i="10"/>
  <c r="AZ151" i="10"/>
  <c r="AY151" i="10"/>
  <c r="AX151" i="10"/>
  <c r="AW151" i="10"/>
  <c r="AV151" i="10"/>
  <c r="AU151" i="10"/>
  <c r="AT151" i="10"/>
  <c r="AS151" i="10"/>
  <c r="AR151" i="10"/>
  <c r="AQ151" i="10"/>
  <c r="AP151" i="10"/>
  <c r="AO151" i="10"/>
  <c r="AN151" i="10"/>
  <c r="AM151" i="10"/>
  <c r="AL151" i="10"/>
  <c r="AK151" i="10"/>
  <c r="AJ151" i="10"/>
  <c r="AI151" i="10"/>
  <c r="AH151" i="10"/>
  <c r="AG151" i="10"/>
  <c r="AF151" i="10"/>
  <c r="AE151" i="10"/>
  <c r="AD151" i="10"/>
  <c r="AC151" i="10"/>
  <c r="AB151" i="10"/>
  <c r="AA151" i="10"/>
  <c r="Z151" i="10"/>
  <c r="Y151" i="10"/>
  <c r="X151" i="10"/>
  <c r="R151" i="10"/>
  <c r="J151" i="10"/>
  <c r="I151" i="10"/>
  <c r="H151" i="10"/>
  <c r="G151" i="10"/>
  <c r="F151" i="10"/>
  <c r="E151" i="10"/>
  <c r="C151" i="10"/>
  <c r="BD150" i="10"/>
  <c r="BC150" i="10"/>
  <c r="BB150" i="10"/>
  <c r="BA150" i="10"/>
  <c r="AZ150" i="10"/>
  <c r="AY150" i="10"/>
  <c r="AX150" i="10"/>
  <c r="AW150" i="10"/>
  <c r="AV150" i="10"/>
  <c r="AU150" i="10"/>
  <c r="AT150" i="10"/>
  <c r="AS150" i="10"/>
  <c r="AR150" i="10"/>
  <c r="AQ150" i="10"/>
  <c r="AP150" i="10"/>
  <c r="AO150" i="10"/>
  <c r="AN150" i="10"/>
  <c r="AM150" i="10"/>
  <c r="AL150" i="10"/>
  <c r="AK150" i="10"/>
  <c r="AJ150" i="10"/>
  <c r="AI150" i="10"/>
  <c r="AH150" i="10"/>
  <c r="AG150" i="10"/>
  <c r="AF150" i="10"/>
  <c r="AE150" i="10"/>
  <c r="AD150" i="10"/>
  <c r="AC150" i="10"/>
  <c r="AB150" i="10"/>
  <c r="AA150" i="10"/>
  <c r="Z150" i="10"/>
  <c r="Y150" i="10"/>
  <c r="X150" i="10"/>
  <c r="W150" i="10"/>
  <c r="V150" i="10"/>
  <c r="U150" i="10"/>
  <c r="T150" i="10"/>
  <c r="S150" i="10"/>
  <c r="R150" i="10"/>
  <c r="J150" i="10"/>
  <c r="I150" i="10"/>
  <c r="H150" i="10"/>
  <c r="G150" i="10"/>
  <c r="F150" i="10"/>
  <c r="E150" i="10"/>
  <c r="D150" i="10"/>
  <c r="C150" i="10"/>
  <c r="R149" i="10"/>
  <c r="C149" i="10"/>
  <c r="R148" i="10"/>
  <c r="C148" i="10"/>
  <c r="R147" i="10"/>
  <c r="C147" i="10"/>
  <c r="R146" i="10"/>
  <c r="C146" i="10"/>
  <c r="BD145" i="10"/>
  <c r="BC145" i="10"/>
  <c r="BB145" i="10"/>
  <c r="BA145" i="10"/>
  <c r="AZ145" i="10"/>
  <c r="AY145" i="10"/>
  <c r="AX145" i="10"/>
  <c r="AW145" i="10"/>
  <c r="AV145" i="10"/>
  <c r="AU145" i="10"/>
  <c r="AT145" i="10"/>
  <c r="AS145" i="10"/>
  <c r="AR145" i="10"/>
  <c r="AQ145" i="10"/>
  <c r="AP145" i="10"/>
  <c r="AO145" i="10"/>
  <c r="AN145" i="10"/>
  <c r="AM145" i="10"/>
  <c r="AL145" i="10"/>
  <c r="AK145" i="10"/>
  <c r="AJ145" i="10"/>
  <c r="AI145" i="10"/>
  <c r="AH145" i="10"/>
  <c r="AG145" i="10"/>
  <c r="AF145" i="10"/>
  <c r="AE145" i="10"/>
  <c r="AD145" i="10"/>
  <c r="AC145" i="10"/>
  <c r="AB145" i="10"/>
  <c r="AA145" i="10"/>
  <c r="Z145" i="10"/>
  <c r="Y145" i="10"/>
  <c r="X145" i="10"/>
  <c r="R145" i="10"/>
  <c r="J145" i="10"/>
  <c r="I145" i="10"/>
  <c r="H145" i="10"/>
  <c r="G145" i="10"/>
  <c r="F145" i="10"/>
  <c r="E145" i="10"/>
  <c r="C145" i="10"/>
  <c r="BD144" i="10"/>
  <c r="BC144" i="10"/>
  <c r="BB144" i="10"/>
  <c r="BA144" i="10"/>
  <c r="AZ144" i="10"/>
  <c r="AY144" i="10"/>
  <c r="AX144" i="10"/>
  <c r="AW144" i="10"/>
  <c r="AV144" i="10"/>
  <c r="AU144" i="10"/>
  <c r="AT144" i="10"/>
  <c r="AS144" i="10"/>
  <c r="AR144" i="10"/>
  <c r="AQ144" i="10"/>
  <c r="AP144" i="10"/>
  <c r="AO144" i="10"/>
  <c r="AN144" i="10"/>
  <c r="AM144" i="10"/>
  <c r="AL144" i="10"/>
  <c r="AK144" i="10"/>
  <c r="AJ144" i="10"/>
  <c r="AI144" i="10"/>
  <c r="AH144" i="10"/>
  <c r="AG144" i="10"/>
  <c r="AF144" i="10"/>
  <c r="AE144" i="10"/>
  <c r="AD144" i="10"/>
  <c r="AC144" i="10"/>
  <c r="AB144" i="10"/>
  <c r="AA144" i="10"/>
  <c r="Z144" i="10"/>
  <c r="Y144" i="10"/>
  <c r="X144" i="10"/>
  <c r="W144" i="10"/>
  <c r="V144" i="10"/>
  <c r="U144" i="10"/>
  <c r="T144" i="10"/>
  <c r="S144" i="10"/>
  <c r="R144" i="10"/>
  <c r="J144" i="10"/>
  <c r="I144" i="10"/>
  <c r="H144" i="10"/>
  <c r="G144" i="10"/>
  <c r="F144" i="10"/>
  <c r="E144" i="10"/>
  <c r="D144" i="10"/>
  <c r="C144" i="10"/>
  <c r="R143" i="10"/>
  <c r="C143" i="10"/>
  <c r="R142" i="10"/>
  <c r="C142" i="10"/>
  <c r="R141" i="10"/>
  <c r="C141" i="10"/>
  <c r="R140" i="10"/>
  <c r="C140" i="10"/>
  <c r="BD139" i="10"/>
  <c r="BC139" i="10"/>
  <c r="BB139" i="10"/>
  <c r="BA139" i="10"/>
  <c r="AZ139" i="10"/>
  <c r="AY139" i="10"/>
  <c r="AX139" i="10"/>
  <c r="AW139" i="10"/>
  <c r="AV139" i="10"/>
  <c r="AU139" i="10"/>
  <c r="AT139" i="10"/>
  <c r="AS139" i="10"/>
  <c r="AR139" i="10"/>
  <c r="AQ139" i="10"/>
  <c r="AP139" i="10"/>
  <c r="AO139" i="10"/>
  <c r="AN139" i="10"/>
  <c r="AM139" i="10"/>
  <c r="AL139" i="10"/>
  <c r="AK139" i="10"/>
  <c r="AJ139" i="10"/>
  <c r="AI139" i="10"/>
  <c r="AH139" i="10"/>
  <c r="AG139" i="10"/>
  <c r="AF139" i="10"/>
  <c r="AE139" i="10"/>
  <c r="AD139" i="10"/>
  <c r="AC139" i="10"/>
  <c r="AB139" i="10"/>
  <c r="AA139" i="10"/>
  <c r="Z139" i="10"/>
  <c r="Y139" i="10"/>
  <c r="X139" i="10"/>
  <c r="R139" i="10"/>
  <c r="J139" i="10"/>
  <c r="I139" i="10"/>
  <c r="H139" i="10"/>
  <c r="G139" i="10"/>
  <c r="F139" i="10"/>
  <c r="E139" i="10"/>
  <c r="C139" i="10"/>
  <c r="BD138" i="10"/>
  <c r="BC138" i="10"/>
  <c r="BB138" i="10"/>
  <c r="BA138" i="10"/>
  <c r="AZ138" i="10"/>
  <c r="AY138" i="10"/>
  <c r="AX138" i="10"/>
  <c r="AW138" i="10"/>
  <c r="AV138" i="10"/>
  <c r="AU138" i="10"/>
  <c r="AT138" i="10"/>
  <c r="AS138" i="10"/>
  <c r="AR138" i="10"/>
  <c r="AQ138" i="10"/>
  <c r="AP138" i="10"/>
  <c r="AO138" i="10"/>
  <c r="AN138" i="10"/>
  <c r="AM138" i="10"/>
  <c r="AL138" i="10"/>
  <c r="AK138" i="10"/>
  <c r="AJ138" i="10"/>
  <c r="AI138" i="10"/>
  <c r="AH138" i="10"/>
  <c r="AG138" i="10"/>
  <c r="AF138" i="10"/>
  <c r="AE138" i="10"/>
  <c r="AD138" i="10"/>
  <c r="AC138" i="10"/>
  <c r="AB138" i="10"/>
  <c r="AA138" i="10"/>
  <c r="Z138" i="10"/>
  <c r="Y138" i="10"/>
  <c r="X138" i="10"/>
  <c r="W138" i="10"/>
  <c r="V138" i="10"/>
  <c r="U138" i="10"/>
  <c r="T138" i="10"/>
  <c r="S138" i="10"/>
  <c r="R138" i="10"/>
  <c r="J138" i="10"/>
  <c r="I138" i="10"/>
  <c r="H138" i="10"/>
  <c r="G138" i="10"/>
  <c r="F138" i="10"/>
  <c r="E138" i="10"/>
  <c r="D138" i="10"/>
  <c r="C138" i="10"/>
  <c r="R137" i="10"/>
  <c r="C137" i="10"/>
  <c r="R136" i="10"/>
  <c r="C136" i="10"/>
  <c r="R135" i="10"/>
  <c r="C135" i="10"/>
  <c r="R134" i="10"/>
  <c r="C134" i="10"/>
  <c r="BD133" i="10"/>
  <c r="BC133" i="10"/>
  <c r="BB133" i="10"/>
  <c r="BA133" i="10"/>
  <c r="AZ133" i="10"/>
  <c r="AY133" i="10"/>
  <c r="AX133" i="10"/>
  <c r="AW133" i="10"/>
  <c r="AV133" i="10"/>
  <c r="AU133" i="10"/>
  <c r="AT133" i="10"/>
  <c r="AS133" i="10"/>
  <c r="AR133" i="10"/>
  <c r="AQ133" i="10"/>
  <c r="AP133" i="10"/>
  <c r="AO133" i="10"/>
  <c r="AN133" i="10"/>
  <c r="AM133" i="10"/>
  <c r="AL133" i="10"/>
  <c r="AK133" i="10"/>
  <c r="AJ133" i="10"/>
  <c r="AI133" i="10"/>
  <c r="AH133" i="10"/>
  <c r="AG133" i="10"/>
  <c r="AF133" i="10"/>
  <c r="AE133" i="10"/>
  <c r="AD133" i="10"/>
  <c r="AC133" i="10"/>
  <c r="AB133" i="10"/>
  <c r="AA133" i="10"/>
  <c r="Z133" i="10"/>
  <c r="Y133" i="10"/>
  <c r="X133" i="10"/>
  <c r="R133" i="10"/>
  <c r="J133" i="10"/>
  <c r="I133" i="10"/>
  <c r="H133" i="10"/>
  <c r="G133" i="10"/>
  <c r="F133" i="10"/>
  <c r="E133" i="10"/>
  <c r="C133" i="10"/>
  <c r="BD132" i="10"/>
  <c r="BC132" i="10"/>
  <c r="BB132" i="10"/>
  <c r="BA132" i="10"/>
  <c r="AZ132" i="10"/>
  <c r="AY132" i="10"/>
  <c r="AX132" i="10"/>
  <c r="AW132" i="10"/>
  <c r="AV132" i="10"/>
  <c r="AU132" i="10"/>
  <c r="AT132" i="10"/>
  <c r="AS132" i="10"/>
  <c r="AR132" i="10"/>
  <c r="AQ132" i="10"/>
  <c r="AP132" i="10"/>
  <c r="AO132" i="10"/>
  <c r="AN132" i="10"/>
  <c r="AM132" i="10"/>
  <c r="AL132" i="10"/>
  <c r="AK132" i="10"/>
  <c r="AJ132" i="10"/>
  <c r="AI132" i="10"/>
  <c r="AH132" i="10"/>
  <c r="AG132" i="10"/>
  <c r="AF132" i="10"/>
  <c r="AE132" i="10"/>
  <c r="AD132" i="10"/>
  <c r="AC132" i="10"/>
  <c r="AB132" i="10"/>
  <c r="AA132" i="10"/>
  <c r="Z132" i="10"/>
  <c r="Y132" i="10"/>
  <c r="X132" i="10"/>
  <c r="W132" i="10"/>
  <c r="V132" i="10"/>
  <c r="U132" i="10"/>
  <c r="T132" i="10"/>
  <c r="S132" i="10"/>
  <c r="R132" i="10"/>
  <c r="J132" i="10"/>
  <c r="I132" i="10"/>
  <c r="H132" i="10"/>
  <c r="G132" i="10"/>
  <c r="F132" i="10"/>
  <c r="E132" i="10"/>
  <c r="D132" i="10"/>
  <c r="C132" i="10"/>
  <c r="BZ130" i="10"/>
  <c r="BY130" i="10"/>
  <c r="BX130" i="10"/>
  <c r="BW130" i="10"/>
  <c r="BV130" i="10"/>
  <c r="BU130" i="10"/>
  <c r="BT130" i="10"/>
  <c r="BS130" i="10"/>
  <c r="BR130" i="10"/>
  <c r="BQ130" i="10"/>
  <c r="BP130" i="10"/>
  <c r="BO130" i="10"/>
  <c r="BN130" i="10"/>
  <c r="BM130" i="10"/>
  <c r="BL130" i="10"/>
  <c r="BK130" i="10"/>
  <c r="BJ130" i="10"/>
  <c r="BI130" i="10"/>
  <c r="BH130" i="10"/>
  <c r="BG130" i="10"/>
  <c r="BF130" i="10"/>
  <c r="BE130" i="10"/>
  <c r="BD130" i="10"/>
  <c r="BC130" i="10"/>
  <c r="BB130" i="10"/>
  <c r="BA130" i="10"/>
  <c r="AZ130" i="10"/>
  <c r="AY130" i="10"/>
  <c r="AX130" i="10"/>
  <c r="AW130" i="10"/>
  <c r="AV130" i="10"/>
  <c r="AU130" i="10"/>
  <c r="AT130" i="10"/>
  <c r="AS130" i="10"/>
  <c r="AR130" i="10"/>
  <c r="AQ130" i="10"/>
  <c r="AP130" i="10"/>
  <c r="AO130" i="10"/>
  <c r="AN130" i="10"/>
  <c r="AM130" i="10"/>
  <c r="AL130" i="10"/>
  <c r="AK130" i="10"/>
  <c r="AJ130" i="10"/>
  <c r="AI130" i="10"/>
  <c r="AH130" i="10"/>
  <c r="AG130" i="10"/>
  <c r="AF130" i="10"/>
  <c r="AE130" i="10"/>
  <c r="AD130" i="10"/>
  <c r="AC130" i="10"/>
  <c r="AB130" i="10"/>
  <c r="AA130" i="10"/>
  <c r="Z130" i="10"/>
  <c r="Y130" i="10"/>
  <c r="X130" i="10"/>
  <c r="W130" i="10"/>
  <c r="V130" i="10"/>
  <c r="U130" i="10"/>
  <c r="T130" i="10"/>
  <c r="S130" i="10"/>
  <c r="BV129" i="10"/>
  <c r="BQ129" i="10"/>
  <c r="BL129" i="10"/>
  <c r="BG129" i="10"/>
  <c r="BB129" i="10"/>
  <c r="AW129" i="10"/>
  <c r="AR129" i="10"/>
  <c r="AM129" i="10"/>
  <c r="AH129" i="10"/>
  <c r="AC129" i="10"/>
  <c r="X129" i="10"/>
  <c r="S129" i="10"/>
  <c r="R129" i="10"/>
  <c r="O129" i="10"/>
  <c r="N129" i="10"/>
  <c r="M129" i="10"/>
  <c r="L129" i="10"/>
  <c r="K129" i="10"/>
  <c r="J129" i="10"/>
  <c r="I129" i="10"/>
  <c r="H129" i="10"/>
  <c r="G129" i="10"/>
  <c r="F129" i="10"/>
  <c r="E129" i="10"/>
  <c r="D129" i="10"/>
  <c r="C129" i="10"/>
  <c r="R128" i="10"/>
  <c r="O128" i="10"/>
  <c r="N128" i="10"/>
  <c r="M128" i="10"/>
  <c r="L128" i="10"/>
  <c r="K128" i="10"/>
  <c r="J128" i="10"/>
  <c r="I128" i="10"/>
  <c r="H128" i="10"/>
  <c r="G128" i="10"/>
  <c r="F128" i="10"/>
  <c r="E128" i="10"/>
  <c r="C128" i="10"/>
  <c r="BD127" i="10"/>
  <c r="BC127" i="10"/>
  <c r="BB127" i="10"/>
  <c r="BA127" i="10"/>
  <c r="AZ127" i="10"/>
  <c r="AY127" i="10"/>
  <c r="AX127" i="10"/>
  <c r="AW127" i="10"/>
  <c r="AV127" i="10"/>
  <c r="AU127" i="10"/>
  <c r="AT127" i="10"/>
  <c r="AS127" i="10"/>
  <c r="AR127" i="10"/>
  <c r="AQ127" i="10"/>
  <c r="AP127" i="10"/>
  <c r="AO127" i="10"/>
  <c r="AN127" i="10"/>
  <c r="AM127" i="10"/>
  <c r="AL127" i="10"/>
  <c r="AK127" i="10"/>
  <c r="AJ127" i="10"/>
  <c r="AI127" i="10"/>
  <c r="AH127" i="10"/>
  <c r="AG127" i="10"/>
  <c r="AF127" i="10"/>
  <c r="AE127" i="10"/>
  <c r="AD127" i="10"/>
  <c r="AC127" i="10"/>
  <c r="AB127" i="10"/>
  <c r="AA127" i="10"/>
  <c r="Z127" i="10"/>
  <c r="Y127" i="10"/>
  <c r="X127" i="10"/>
  <c r="R127" i="10"/>
  <c r="J127" i="10"/>
  <c r="I127" i="10"/>
  <c r="H127" i="10"/>
  <c r="G127" i="10"/>
  <c r="F127" i="10"/>
  <c r="E127" i="10"/>
  <c r="C127" i="10"/>
  <c r="BD126" i="10"/>
  <c r="BC126" i="10"/>
  <c r="BB126" i="10"/>
  <c r="BA126" i="10"/>
  <c r="AZ126" i="10"/>
  <c r="AY126" i="10"/>
  <c r="AX126" i="10"/>
  <c r="AW126" i="10"/>
  <c r="AV126" i="10"/>
  <c r="AU126" i="10"/>
  <c r="AT126" i="10"/>
  <c r="AS126" i="10"/>
  <c r="AR126" i="10"/>
  <c r="AQ126" i="10"/>
  <c r="AP126" i="10"/>
  <c r="AO126" i="10"/>
  <c r="AN126" i="10"/>
  <c r="AM126" i="10"/>
  <c r="AL126" i="10"/>
  <c r="AK126" i="10"/>
  <c r="AJ126" i="10"/>
  <c r="AI126" i="10"/>
  <c r="AH126" i="10"/>
  <c r="AG126" i="10"/>
  <c r="AF126" i="10"/>
  <c r="AE126" i="10"/>
  <c r="AD126" i="10"/>
  <c r="AC126" i="10"/>
  <c r="AB126" i="10"/>
  <c r="AA126" i="10"/>
  <c r="Z126" i="10"/>
  <c r="Y126" i="10"/>
  <c r="X126" i="10"/>
  <c r="R126" i="10"/>
  <c r="J126" i="10"/>
  <c r="I126" i="10"/>
  <c r="H126" i="10"/>
  <c r="G126" i="10"/>
  <c r="F126" i="10"/>
  <c r="E126" i="10"/>
  <c r="C126" i="10"/>
  <c r="BD125" i="10"/>
  <c r="BC125" i="10"/>
  <c r="BB125" i="10"/>
  <c r="BA125" i="10"/>
  <c r="AZ125" i="10"/>
  <c r="AY125" i="10"/>
  <c r="AX125" i="10"/>
  <c r="AW125" i="10"/>
  <c r="AV125" i="10"/>
  <c r="AU125" i="10"/>
  <c r="AT125" i="10"/>
  <c r="AS125" i="10"/>
  <c r="AR125" i="10"/>
  <c r="AQ125" i="10"/>
  <c r="AP125" i="10"/>
  <c r="AO125" i="10"/>
  <c r="AN125" i="10"/>
  <c r="AM125" i="10"/>
  <c r="AL125" i="10"/>
  <c r="AK125" i="10"/>
  <c r="AJ125" i="10"/>
  <c r="AI125" i="10"/>
  <c r="AH125" i="10"/>
  <c r="AG125" i="10"/>
  <c r="AF125" i="10"/>
  <c r="AE125" i="10"/>
  <c r="AD125" i="10"/>
  <c r="AC125" i="10"/>
  <c r="AB125" i="10"/>
  <c r="AA125" i="10"/>
  <c r="Z125" i="10"/>
  <c r="Y125" i="10"/>
  <c r="X125" i="10"/>
  <c r="R125" i="10"/>
  <c r="J125" i="10"/>
  <c r="I125" i="10"/>
  <c r="H125" i="10"/>
  <c r="G125" i="10"/>
  <c r="F125" i="10"/>
  <c r="E125" i="10"/>
  <c r="C125" i="10"/>
  <c r="BD124" i="10"/>
  <c r="BC124" i="10"/>
  <c r="BB124" i="10"/>
  <c r="BA124" i="10"/>
  <c r="AZ124" i="10"/>
  <c r="AY124" i="10"/>
  <c r="AX124" i="10"/>
  <c r="AW124" i="10"/>
  <c r="AV124" i="10"/>
  <c r="AU124" i="10"/>
  <c r="AT124" i="10"/>
  <c r="AS124" i="10"/>
  <c r="AR124" i="10"/>
  <c r="AQ124" i="10"/>
  <c r="AP124" i="10"/>
  <c r="AO124" i="10"/>
  <c r="AN124" i="10"/>
  <c r="AM124" i="10"/>
  <c r="AL124" i="10"/>
  <c r="AK124" i="10"/>
  <c r="AJ124" i="10"/>
  <c r="AI124" i="10"/>
  <c r="AH124" i="10"/>
  <c r="AG124" i="10"/>
  <c r="AF124" i="10"/>
  <c r="AE124" i="10"/>
  <c r="AD124" i="10"/>
  <c r="AC124" i="10"/>
  <c r="AB124" i="10"/>
  <c r="AA124" i="10"/>
  <c r="Z124" i="10"/>
  <c r="Y124" i="10"/>
  <c r="X124" i="10"/>
  <c r="R124" i="10"/>
  <c r="J124" i="10"/>
  <c r="I124" i="10"/>
  <c r="H124" i="10"/>
  <c r="G124" i="10"/>
  <c r="F124" i="10"/>
  <c r="E124" i="10"/>
  <c r="C124" i="10"/>
  <c r="BD123" i="10"/>
  <c r="BC123" i="10"/>
  <c r="BB123" i="10"/>
  <c r="BA123" i="10"/>
  <c r="AZ123" i="10"/>
  <c r="AY123" i="10"/>
  <c r="AX123" i="10"/>
  <c r="AW123" i="10"/>
  <c r="AV123" i="10"/>
  <c r="AU123" i="10"/>
  <c r="AT123" i="10"/>
  <c r="AS123" i="10"/>
  <c r="AR123" i="10"/>
  <c r="AQ123" i="10"/>
  <c r="AP123" i="10"/>
  <c r="AO123" i="10"/>
  <c r="AN123" i="10"/>
  <c r="AM123" i="10"/>
  <c r="AL123" i="10"/>
  <c r="AK123" i="10"/>
  <c r="AJ123" i="10"/>
  <c r="AI123" i="10"/>
  <c r="AH123" i="10"/>
  <c r="AG123" i="10"/>
  <c r="AF123" i="10"/>
  <c r="AE123" i="10"/>
  <c r="AD123" i="10"/>
  <c r="AC123" i="10"/>
  <c r="AB123" i="10"/>
  <c r="AA123" i="10"/>
  <c r="Z123" i="10"/>
  <c r="Y123" i="10"/>
  <c r="X123" i="10"/>
  <c r="R123" i="10"/>
  <c r="J123" i="10"/>
  <c r="I123" i="10"/>
  <c r="H123" i="10"/>
  <c r="G123" i="10"/>
  <c r="F123" i="10"/>
  <c r="E123" i="10"/>
  <c r="C123" i="10"/>
  <c r="R122" i="10"/>
  <c r="C122" i="10"/>
  <c r="BD121" i="10"/>
  <c r="BC121" i="10"/>
  <c r="BB121" i="10"/>
  <c r="BA121" i="10"/>
  <c r="AZ121" i="10"/>
  <c r="AY121" i="10"/>
  <c r="AX121" i="10"/>
  <c r="AW121" i="10"/>
  <c r="AV121" i="10"/>
  <c r="AU121" i="10"/>
  <c r="AT121" i="10"/>
  <c r="AS121" i="10"/>
  <c r="AR121" i="10"/>
  <c r="AQ121" i="10"/>
  <c r="AP121" i="10"/>
  <c r="AO121" i="10"/>
  <c r="AN121" i="10"/>
  <c r="AM121" i="10"/>
  <c r="AL121" i="10"/>
  <c r="AK121" i="10"/>
  <c r="AJ121" i="10"/>
  <c r="AI121" i="10"/>
  <c r="AH121" i="10"/>
  <c r="AG121" i="10"/>
  <c r="AF121" i="10"/>
  <c r="AE121" i="10"/>
  <c r="AD121" i="10"/>
  <c r="AC121" i="10"/>
  <c r="AB121" i="10"/>
  <c r="AA121" i="10"/>
  <c r="Z121" i="10"/>
  <c r="Y121" i="10"/>
  <c r="X121" i="10"/>
  <c r="R121" i="10"/>
  <c r="J121" i="10"/>
  <c r="I121" i="10"/>
  <c r="H121" i="10"/>
  <c r="G121" i="10"/>
  <c r="F121" i="10"/>
  <c r="E121" i="10"/>
  <c r="D121" i="10"/>
  <c r="C121" i="10"/>
  <c r="BD120" i="10"/>
  <c r="BC120" i="10"/>
  <c r="BB120" i="10"/>
  <c r="BA120" i="10"/>
  <c r="AZ120" i="10"/>
  <c r="AY120" i="10"/>
  <c r="AX120" i="10"/>
  <c r="AW120" i="10"/>
  <c r="AV120" i="10"/>
  <c r="AU120" i="10"/>
  <c r="AT120" i="10"/>
  <c r="AS120" i="10"/>
  <c r="AR120" i="10"/>
  <c r="AQ120" i="10"/>
  <c r="AP120" i="10"/>
  <c r="AO120" i="10"/>
  <c r="AN120" i="10"/>
  <c r="AM120" i="10"/>
  <c r="AL120" i="10"/>
  <c r="AK120" i="10"/>
  <c r="AJ120" i="10"/>
  <c r="AI120" i="10"/>
  <c r="AH120" i="10"/>
  <c r="AG120" i="10"/>
  <c r="AF120" i="10"/>
  <c r="AE120" i="10"/>
  <c r="AD120" i="10"/>
  <c r="AC120" i="10"/>
  <c r="AB120" i="10"/>
  <c r="AA120" i="10"/>
  <c r="Z120" i="10"/>
  <c r="Y120" i="10"/>
  <c r="X120" i="10"/>
  <c r="R120" i="10"/>
  <c r="J120" i="10"/>
  <c r="I120" i="10"/>
  <c r="H120" i="10"/>
  <c r="G120" i="10"/>
  <c r="F120" i="10"/>
  <c r="E120" i="10"/>
  <c r="D120" i="10"/>
  <c r="C120" i="10"/>
  <c r="BD119" i="10"/>
  <c r="BC119" i="10"/>
  <c r="BB119" i="10"/>
  <c r="BA119" i="10"/>
  <c r="AZ119" i="10"/>
  <c r="AY119" i="10"/>
  <c r="AX119" i="10"/>
  <c r="AW119" i="10"/>
  <c r="AV119" i="10"/>
  <c r="AU119" i="10"/>
  <c r="AT119" i="10"/>
  <c r="AS119" i="10"/>
  <c r="AR119" i="10"/>
  <c r="AQ119" i="10"/>
  <c r="AP119" i="10"/>
  <c r="AO119" i="10"/>
  <c r="AN119" i="10"/>
  <c r="AM119" i="10"/>
  <c r="AL119" i="10"/>
  <c r="AK119" i="10"/>
  <c r="AJ119" i="10"/>
  <c r="AI119" i="10"/>
  <c r="AH119" i="10"/>
  <c r="AG119" i="10"/>
  <c r="AF119" i="10"/>
  <c r="AE119" i="10"/>
  <c r="AD119" i="10"/>
  <c r="AC119" i="10"/>
  <c r="AB119" i="10"/>
  <c r="AA119" i="10"/>
  <c r="Z119" i="10"/>
  <c r="Y119" i="10"/>
  <c r="X119" i="10"/>
  <c r="R119" i="10"/>
  <c r="J119" i="10"/>
  <c r="I119" i="10"/>
  <c r="H119" i="10"/>
  <c r="G119" i="10"/>
  <c r="F119" i="10"/>
  <c r="E119" i="10"/>
  <c r="D119" i="10"/>
  <c r="C119" i="10"/>
  <c r="BD118" i="10"/>
  <c r="BC118" i="10"/>
  <c r="BB118" i="10"/>
  <c r="BA118" i="10"/>
  <c r="AZ118" i="10"/>
  <c r="AY118" i="10"/>
  <c r="AX118" i="10"/>
  <c r="AW118" i="10"/>
  <c r="AV118" i="10"/>
  <c r="AU118" i="10"/>
  <c r="AT118" i="10"/>
  <c r="AS118" i="10"/>
  <c r="AR118" i="10"/>
  <c r="AQ118" i="10"/>
  <c r="AP118" i="10"/>
  <c r="AO118" i="10"/>
  <c r="AN118" i="10"/>
  <c r="AM118" i="10"/>
  <c r="AL118" i="10"/>
  <c r="AK118" i="10"/>
  <c r="AJ118" i="10"/>
  <c r="AI118" i="10"/>
  <c r="AH118" i="10"/>
  <c r="AG118" i="10"/>
  <c r="AF118" i="10"/>
  <c r="AE118" i="10"/>
  <c r="AD118" i="10"/>
  <c r="AC118" i="10"/>
  <c r="AB118" i="10"/>
  <c r="AA118" i="10"/>
  <c r="Z118" i="10"/>
  <c r="Y118" i="10"/>
  <c r="X118" i="10"/>
  <c r="R118" i="10"/>
  <c r="J118" i="10"/>
  <c r="I118" i="10"/>
  <c r="H118" i="10"/>
  <c r="G118" i="10"/>
  <c r="F118" i="10"/>
  <c r="E118" i="10"/>
  <c r="D118" i="10"/>
  <c r="C118" i="10"/>
  <c r="BD117" i="10"/>
  <c r="BC117" i="10"/>
  <c r="BB117" i="10"/>
  <c r="BA117" i="10"/>
  <c r="AZ117" i="10"/>
  <c r="AY117" i="10"/>
  <c r="AX117" i="10"/>
  <c r="AW117" i="10"/>
  <c r="AV117" i="10"/>
  <c r="AU117" i="10"/>
  <c r="AT117" i="10"/>
  <c r="AS117" i="10"/>
  <c r="AR117" i="10"/>
  <c r="AQ117" i="10"/>
  <c r="AP117" i="10"/>
  <c r="AO117" i="10"/>
  <c r="AN117" i="10"/>
  <c r="AM117" i="10"/>
  <c r="AL117" i="10"/>
  <c r="AK117" i="10"/>
  <c r="AJ117" i="10"/>
  <c r="AI117" i="10"/>
  <c r="AH117" i="10"/>
  <c r="AG117" i="10"/>
  <c r="AF117" i="10"/>
  <c r="AE117" i="10"/>
  <c r="AD117" i="10"/>
  <c r="AC117" i="10"/>
  <c r="AB117" i="10"/>
  <c r="AA117" i="10"/>
  <c r="Z117" i="10"/>
  <c r="Y117" i="10"/>
  <c r="X117" i="10"/>
  <c r="R117" i="10"/>
  <c r="J117" i="10"/>
  <c r="I117" i="10"/>
  <c r="H117" i="10"/>
  <c r="G117" i="10"/>
  <c r="F117" i="10"/>
  <c r="E117" i="10"/>
  <c r="D117" i="10"/>
  <c r="C117" i="10"/>
  <c r="BD116" i="10"/>
  <c r="BC116" i="10"/>
  <c r="BB116" i="10"/>
  <c r="BA116" i="10"/>
  <c r="AZ116" i="10"/>
  <c r="AY116" i="10"/>
  <c r="AX116" i="10"/>
  <c r="AW116" i="10"/>
  <c r="AV116" i="10"/>
  <c r="AU116" i="10"/>
  <c r="AT116" i="10"/>
  <c r="AS116" i="10"/>
  <c r="AR116" i="10"/>
  <c r="AQ116" i="10"/>
  <c r="AP116" i="10"/>
  <c r="AO116" i="10"/>
  <c r="AN116" i="10"/>
  <c r="AM116" i="10"/>
  <c r="AL116" i="10"/>
  <c r="AK116" i="10"/>
  <c r="AJ116" i="10"/>
  <c r="AI116" i="10"/>
  <c r="AH116" i="10"/>
  <c r="AG116" i="10"/>
  <c r="AF116" i="10"/>
  <c r="AE116" i="10"/>
  <c r="AD116" i="10"/>
  <c r="AC116" i="10"/>
  <c r="AB116" i="10"/>
  <c r="AA116" i="10"/>
  <c r="Z116" i="10"/>
  <c r="Y116" i="10"/>
  <c r="X116" i="10"/>
  <c r="R116" i="10"/>
  <c r="J116" i="10"/>
  <c r="I116" i="10"/>
  <c r="H116" i="10"/>
  <c r="G116" i="10"/>
  <c r="F116" i="10"/>
  <c r="E116" i="10"/>
  <c r="D116" i="10"/>
  <c r="C116" i="10"/>
  <c r="R115" i="10"/>
  <c r="C115" i="10"/>
  <c r="BZ114" i="10"/>
  <c r="BY114" i="10"/>
  <c r="BX114" i="10"/>
  <c r="BW114" i="10"/>
  <c r="BV114" i="10"/>
  <c r="BU114" i="10"/>
  <c r="BT114" i="10"/>
  <c r="BS114" i="10"/>
  <c r="BR114" i="10"/>
  <c r="BQ114" i="10"/>
  <c r="BP114" i="10"/>
  <c r="BO114" i="10"/>
  <c r="BN114" i="10"/>
  <c r="BM114" i="10"/>
  <c r="BL114" i="10"/>
  <c r="BK114" i="10"/>
  <c r="BJ114" i="10"/>
  <c r="BI114" i="10"/>
  <c r="BH114" i="10"/>
  <c r="BG114" i="10"/>
  <c r="BF114" i="10"/>
  <c r="BE114" i="10"/>
  <c r="BD114" i="10"/>
  <c r="BC114" i="10"/>
  <c r="BB114" i="10"/>
  <c r="BA114" i="10"/>
  <c r="AZ114" i="10"/>
  <c r="AY114" i="10"/>
  <c r="AX114" i="10"/>
  <c r="AW114" i="10"/>
  <c r="AV114" i="10"/>
  <c r="AU114" i="10"/>
  <c r="AT114" i="10"/>
  <c r="AS114" i="10"/>
  <c r="AR114" i="10"/>
  <c r="AQ114" i="10"/>
  <c r="AP114" i="10"/>
  <c r="AO114" i="10"/>
  <c r="AN114" i="10"/>
  <c r="AM114" i="10"/>
  <c r="AL114" i="10"/>
  <c r="AK114" i="10"/>
  <c r="AJ114" i="10"/>
  <c r="AI114" i="10"/>
  <c r="AH114" i="10"/>
  <c r="AG114" i="10"/>
  <c r="AF114" i="10"/>
  <c r="AE114" i="10"/>
  <c r="AD114" i="10"/>
  <c r="AC114" i="10"/>
  <c r="AB114" i="10"/>
  <c r="AA114" i="10"/>
  <c r="Z114" i="10"/>
  <c r="Y114" i="10"/>
  <c r="X114" i="10"/>
  <c r="W114" i="10"/>
  <c r="V114" i="10"/>
  <c r="U114" i="10"/>
  <c r="T114" i="10"/>
  <c r="S114" i="10"/>
  <c r="O114" i="10"/>
  <c r="N114" i="10"/>
  <c r="M114" i="10"/>
  <c r="L114" i="10"/>
  <c r="K114" i="10"/>
  <c r="J114" i="10"/>
  <c r="I114" i="10"/>
  <c r="H114" i="10"/>
  <c r="G114" i="10"/>
  <c r="F114" i="10"/>
  <c r="E114" i="10"/>
  <c r="D114" i="10"/>
  <c r="BV113" i="10"/>
  <c r="BQ113" i="10"/>
  <c r="BL113" i="10"/>
  <c r="BG113" i="10"/>
  <c r="BB113" i="10"/>
  <c r="AW113" i="10"/>
  <c r="AR113" i="10"/>
  <c r="AM113" i="10"/>
  <c r="AH113" i="10"/>
  <c r="AC113" i="10"/>
  <c r="X113" i="10"/>
  <c r="S113" i="10"/>
  <c r="BY111" i="10"/>
  <c r="BX111" i="10"/>
  <c r="BW111" i="10"/>
  <c r="BV111" i="10"/>
  <c r="BT111" i="10"/>
  <c r="BS111" i="10"/>
  <c r="BR111" i="10"/>
  <c r="BQ111" i="10"/>
  <c r="BO111" i="10"/>
  <c r="BN111" i="10"/>
  <c r="BM111" i="10"/>
  <c r="BL111" i="10"/>
  <c r="BJ111" i="10"/>
  <c r="BI111" i="10"/>
  <c r="BH111" i="10"/>
  <c r="BG111" i="10"/>
  <c r="BE111" i="10"/>
  <c r="R111" i="10"/>
  <c r="C111" i="10"/>
  <c r="BE110" i="10"/>
  <c r="R110" i="10"/>
  <c r="C110" i="10"/>
  <c r="R109" i="10"/>
  <c r="C109" i="10"/>
  <c r="R108" i="10"/>
  <c r="C108" i="10"/>
  <c r="BD107" i="10"/>
  <c r="BC107" i="10"/>
  <c r="BB107" i="10"/>
  <c r="BA107" i="10"/>
  <c r="AZ107" i="10"/>
  <c r="AY107" i="10"/>
  <c r="AX107" i="10"/>
  <c r="AW107" i="10"/>
  <c r="AV107" i="10"/>
  <c r="AU107" i="10"/>
  <c r="AT107" i="10"/>
  <c r="AS107" i="10"/>
  <c r="AR107" i="10"/>
  <c r="AQ107" i="10"/>
  <c r="AP107" i="10"/>
  <c r="AO107" i="10"/>
  <c r="AN107" i="10"/>
  <c r="AM107" i="10"/>
  <c r="AL107" i="10"/>
  <c r="AK107" i="10"/>
  <c r="AJ107" i="10"/>
  <c r="AI107" i="10"/>
  <c r="AH107" i="10"/>
  <c r="AG107" i="10"/>
  <c r="AF107" i="10"/>
  <c r="AE107" i="10"/>
  <c r="AD107" i="10"/>
  <c r="AC107" i="10"/>
  <c r="AB107" i="10"/>
  <c r="AA107" i="10"/>
  <c r="Z107" i="10"/>
  <c r="Y107" i="10"/>
  <c r="X107" i="10"/>
  <c r="R107" i="10"/>
  <c r="J107" i="10"/>
  <c r="I107" i="10"/>
  <c r="H107" i="10"/>
  <c r="G107" i="10"/>
  <c r="F107" i="10"/>
  <c r="E107" i="10"/>
  <c r="C107" i="10"/>
  <c r="BD106" i="10"/>
  <c r="BC106" i="10"/>
  <c r="BB106" i="10"/>
  <c r="BA106" i="10"/>
  <c r="AZ106" i="10"/>
  <c r="AY106" i="10"/>
  <c r="AX106" i="10"/>
  <c r="AW106" i="10"/>
  <c r="AV106" i="10"/>
  <c r="AU106" i="10"/>
  <c r="AT106" i="10"/>
  <c r="AS106" i="10"/>
  <c r="AR106" i="10"/>
  <c r="AQ106" i="10"/>
  <c r="AP106" i="10"/>
  <c r="AO106" i="10"/>
  <c r="AN106" i="10"/>
  <c r="AM106" i="10"/>
  <c r="AL106" i="10"/>
  <c r="AK106" i="10"/>
  <c r="AJ106" i="10"/>
  <c r="AI106" i="10"/>
  <c r="AH106" i="10"/>
  <c r="AG106" i="10"/>
  <c r="AF106" i="10"/>
  <c r="AE106" i="10"/>
  <c r="AD106" i="10"/>
  <c r="AC106" i="10"/>
  <c r="AB106" i="10"/>
  <c r="AA106" i="10"/>
  <c r="Z106" i="10"/>
  <c r="Y106" i="10"/>
  <c r="X106" i="10"/>
  <c r="W106" i="10"/>
  <c r="V106" i="10"/>
  <c r="U106" i="10"/>
  <c r="T106" i="10"/>
  <c r="S106" i="10"/>
  <c r="R106" i="10"/>
  <c r="J106" i="10"/>
  <c r="I106" i="10"/>
  <c r="H106" i="10"/>
  <c r="G106" i="10"/>
  <c r="F106" i="10"/>
  <c r="E106" i="10"/>
  <c r="D106" i="10"/>
  <c r="C106" i="10"/>
  <c r="BD105" i="10"/>
  <c r="BC105" i="10"/>
  <c r="BB105" i="10"/>
  <c r="BA105" i="10"/>
  <c r="AZ105" i="10"/>
  <c r="AY105" i="10"/>
  <c r="AX105" i="10"/>
  <c r="AW105" i="10"/>
  <c r="AV105" i="10"/>
  <c r="AU105" i="10"/>
  <c r="AT105" i="10"/>
  <c r="AS105" i="10"/>
  <c r="AR105" i="10"/>
  <c r="AQ105" i="10"/>
  <c r="AP105" i="10"/>
  <c r="AO105" i="10"/>
  <c r="AN105" i="10"/>
  <c r="AM105" i="10"/>
  <c r="AL105" i="10"/>
  <c r="AK105" i="10"/>
  <c r="AJ105" i="10"/>
  <c r="AI105" i="10"/>
  <c r="AH105" i="10"/>
  <c r="AG105" i="10"/>
  <c r="AF105" i="10"/>
  <c r="AE105" i="10"/>
  <c r="AD105" i="10"/>
  <c r="AC105" i="10"/>
  <c r="AB105" i="10"/>
  <c r="AA105" i="10"/>
  <c r="Z105" i="10"/>
  <c r="Y105" i="10"/>
  <c r="X105" i="10"/>
  <c r="W105" i="10"/>
  <c r="V105" i="10"/>
  <c r="U105" i="10"/>
  <c r="T105" i="10"/>
  <c r="S105" i="10"/>
  <c r="R105" i="10"/>
  <c r="J105" i="10"/>
  <c r="I105" i="10"/>
  <c r="H105" i="10"/>
  <c r="G105" i="10"/>
  <c r="F105" i="10"/>
  <c r="E105" i="10"/>
  <c r="D105" i="10"/>
  <c r="C105" i="10"/>
  <c r="BY104" i="10"/>
  <c r="BX104" i="10"/>
  <c r="BW104" i="10"/>
  <c r="BV104" i="10"/>
  <c r="BT104" i="10"/>
  <c r="BS104" i="10"/>
  <c r="BR104" i="10"/>
  <c r="BQ104" i="10"/>
  <c r="BO104" i="10"/>
  <c r="BN104" i="10"/>
  <c r="BM104" i="10"/>
  <c r="BL104" i="10"/>
  <c r="BJ104" i="10"/>
  <c r="BI104" i="10"/>
  <c r="BH104" i="10"/>
  <c r="BG104" i="10"/>
  <c r="BE104" i="10"/>
  <c r="R104" i="10"/>
  <c r="C104" i="10"/>
  <c r="BE103" i="10"/>
  <c r="R103" i="10"/>
  <c r="C103" i="10"/>
  <c r="R102" i="10"/>
  <c r="C102" i="10"/>
  <c r="R101" i="10"/>
  <c r="C101" i="10"/>
  <c r="BD100" i="10"/>
  <c r="BC100" i="10"/>
  <c r="BB100" i="10"/>
  <c r="BA100" i="10"/>
  <c r="AZ100" i="10"/>
  <c r="AY100" i="10"/>
  <c r="AX100" i="10"/>
  <c r="AW100" i="10"/>
  <c r="AV100" i="10"/>
  <c r="AU100" i="10"/>
  <c r="AT100" i="10"/>
  <c r="AS100" i="10"/>
  <c r="AR100" i="10"/>
  <c r="AQ100" i="10"/>
  <c r="AP100" i="10"/>
  <c r="AO100" i="10"/>
  <c r="AN100" i="10"/>
  <c r="AM100" i="10"/>
  <c r="AL100" i="10"/>
  <c r="AK100" i="10"/>
  <c r="AJ100" i="10"/>
  <c r="AI100" i="10"/>
  <c r="AH100" i="10"/>
  <c r="AG100" i="10"/>
  <c r="AF100" i="10"/>
  <c r="AE100" i="10"/>
  <c r="AD100" i="10"/>
  <c r="AC100" i="10"/>
  <c r="AB100" i="10"/>
  <c r="AA100" i="10"/>
  <c r="Z100" i="10"/>
  <c r="Y100" i="10"/>
  <c r="X100" i="10"/>
  <c r="R100" i="10"/>
  <c r="J100" i="10"/>
  <c r="I100" i="10"/>
  <c r="H100" i="10"/>
  <c r="G100" i="10"/>
  <c r="F100" i="10"/>
  <c r="E100" i="10"/>
  <c r="C100" i="10"/>
  <c r="BD99" i="10"/>
  <c r="BC99" i="10"/>
  <c r="BB99" i="10"/>
  <c r="BA99" i="10"/>
  <c r="AZ99" i="10"/>
  <c r="AY99" i="10"/>
  <c r="AX99" i="10"/>
  <c r="AW99" i="10"/>
  <c r="AV99" i="10"/>
  <c r="AU99" i="10"/>
  <c r="AT99" i="10"/>
  <c r="AS99" i="10"/>
  <c r="AR99" i="10"/>
  <c r="AQ99" i="10"/>
  <c r="AP99" i="10"/>
  <c r="AO99" i="10"/>
  <c r="AN99" i="10"/>
  <c r="AM99" i="10"/>
  <c r="AL99" i="10"/>
  <c r="AK99" i="10"/>
  <c r="AJ99" i="10"/>
  <c r="AI99" i="10"/>
  <c r="AH99" i="10"/>
  <c r="AG99" i="10"/>
  <c r="AF99" i="10"/>
  <c r="AE99" i="10"/>
  <c r="AD99" i="10"/>
  <c r="AC99" i="10"/>
  <c r="AB99" i="10"/>
  <c r="AA99" i="10"/>
  <c r="Z99" i="10"/>
  <c r="Y99" i="10"/>
  <c r="X99" i="10"/>
  <c r="W99" i="10"/>
  <c r="V99" i="10"/>
  <c r="U99" i="10"/>
  <c r="T99" i="10"/>
  <c r="S99" i="10"/>
  <c r="R99" i="10"/>
  <c r="J99" i="10"/>
  <c r="I99" i="10"/>
  <c r="H99" i="10"/>
  <c r="G99" i="10"/>
  <c r="F99" i="10"/>
  <c r="E99" i="10"/>
  <c r="D99" i="10"/>
  <c r="C99" i="10"/>
  <c r="BD98" i="10"/>
  <c r="BC98" i="10"/>
  <c r="BB98" i="10"/>
  <c r="BA98" i="10"/>
  <c r="AZ98" i="10"/>
  <c r="AY98" i="10"/>
  <c r="AX98" i="10"/>
  <c r="AW98" i="10"/>
  <c r="AV98" i="10"/>
  <c r="AU98" i="10"/>
  <c r="AT98" i="10"/>
  <c r="AS98" i="10"/>
  <c r="AR98" i="10"/>
  <c r="AQ98" i="10"/>
  <c r="AP98" i="10"/>
  <c r="AO98" i="10"/>
  <c r="AN98" i="10"/>
  <c r="AM98" i="10"/>
  <c r="AL98" i="10"/>
  <c r="AK98" i="10"/>
  <c r="AJ98" i="10"/>
  <c r="AI98" i="10"/>
  <c r="AH98" i="10"/>
  <c r="AG98" i="10"/>
  <c r="AF98" i="10"/>
  <c r="AE98" i="10"/>
  <c r="AD98" i="10"/>
  <c r="AC98" i="10"/>
  <c r="AB98" i="10"/>
  <c r="AA98" i="10"/>
  <c r="Z98" i="10"/>
  <c r="Y98" i="10"/>
  <c r="X98" i="10"/>
  <c r="W98" i="10"/>
  <c r="V98" i="10"/>
  <c r="U98" i="10"/>
  <c r="T98" i="10"/>
  <c r="S98" i="10"/>
  <c r="R98" i="10"/>
  <c r="J98" i="10"/>
  <c r="I98" i="10"/>
  <c r="H98" i="10"/>
  <c r="G98" i="10"/>
  <c r="F98" i="10"/>
  <c r="E98" i="10"/>
  <c r="D98" i="10"/>
  <c r="C98" i="10"/>
  <c r="BY97" i="10"/>
  <c r="BX97" i="10"/>
  <c r="BW97" i="10"/>
  <c r="BV97" i="10"/>
  <c r="BT97" i="10"/>
  <c r="BS97" i="10"/>
  <c r="BR97" i="10"/>
  <c r="BQ97" i="10"/>
  <c r="BO97" i="10"/>
  <c r="BN97" i="10"/>
  <c r="BM97" i="10"/>
  <c r="BL97" i="10"/>
  <c r="BJ97" i="10"/>
  <c r="BI97" i="10"/>
  <c r="BH97" i="10"/>
  <c r="BG97" i="10"/>
  <c r="BE97" i="10"/>
  <c r="R97" i="10"/>
  <c r="C97" i="10"/>
  <c r="BE96" i="10"/>
  <c r="R96" i="10"/>
  <c r="C96" i="10"/>
  <c r="R95" i="10"/>
  <c r="C95" i="10"/>
  <c r="R94" i="10"/>
  <c r="C94" i="10"/>
  <c r="BD93" i="10"/>
  <c r="BC93" i="10"/>
  <c r="BB93" i="10"/>
  <c r="BA93" i="10"/>
  <c r="AZ93" i="10"/>
  <c r="AY93" i="10"/>
  <c r="AX93" i="10"/>
  <c r="AW93" i="10"/>
  <c r="AV93" i="10"/>
  <c r="AU93" i="10"/>
  <c r="AT93" i="10"/>
  <c r="AS93" i="10"/>
  <c r="AR93" i="10"/>
  <c r="AQ93" i="10"/>
  <c r="AP93" i="10"/>
  <c r="AO93" i="10"/>
  <c r="AN93" i="10"/>
  <c r="AM93" i="10"/>
  <c r="AL93" i="10"/>
  <c r="AK93" i="10"/>
  <c r="AJ93" i="10"/>
  <c r="AI93" i="10"/>
  <c r="AH93" i="10"/>
  <c r="AG93" i="10"/>
  <c r="AF93" i="10"/>
  <c r="AE93" i="10"/>
  <c r="AD93" i="10"/>
  <c r="AC93" i="10"/>
  <c r="AB93" i="10"/>
  <c r="AA93" i="10"/>
  <c r="Z93" i="10"/>
  <c r="Y93" i="10"/>
  <c r="X93" i="10"/>
  <c r="R93" i="10"/>
  <c r="J93" i="10"/>
  <c r="I93" i="10"/>
  <c r="H93" i="10"/>
  <c r="G93" i="10"/>
  <c r="F93" i="10"/>
  <c r="E93" i="10"/>
  <c r="C93" i="10"/>
  <c r="BD92" i="10"/>
  <c r="BC92" i="10"/>
  <c r="BB92" i="10"/>
  <c r="BA92" i="10"/>
  <c r="AZ92" i="10"/>
  <c r="AY92" i="10"/>
  <c r="AX92" i="10"/>
  <c r="AW92" i="10"/>
  <c r="AV92" i="10"/>
  <c r="AU92" i="10"/>
  <c r="AT92" i="10"/>
  <c r="AS92" i="10"/>
  <c r="AR92" i="10"/>
  <c r="AQ92" i="10"/>
  <c r="AP92" i="10"/>
  <c r="AO92" i="10"/>
  <c r="AN92" i="10"/>
  <c r="AM92" i="10"/>
  <c r="AL92" i="10"/>
  <c r="AK92" i="10"/>
  <c r="AJ92" i="10"/>
  <c r="AI92" i="10"/>
  <c r="AH92" i="10"/>
  <c r="AG92" i="10"/>
  <c r="AF92" i="10"/>
  <c r="AE92" i="10"/>
  <c r="AD92" i="10"/>
  <c r="AC92" i="10"/>
  <c r="AB92" i="10"/>
  <c r="AA92" i="10"/>
  <c r="Z92" i="10"/>
  <c r="Y92" i="10"/>
  <c r="X92" i="10"/>
  <c r="W92" i="10"/>
  <c r="V92" i="10"/>
  <c r="U92" i="10"/>
  <c r="T92" i="10"/>
  <c r="S92" i="10"/>
  <c r="R92" i="10"/>
  <c r="J92" i="10"/>
  <c r="I92" i="10"/>
  <c r="H92" i="10"/>
  <c r="G92" i="10"/>
  <c r="F92" i="10"/>
  <c r="E92" i="10"/>
  <c r="D92" i="10"/>
  <c r="C92" i="10"/>
  <c r="BD91" i="10"/>
  <c r="BC91" i="10"/>
  <c r="BB91" i="10"/>
  <c r="BA91" i="10"/>
  <c r="AZ91" i="10"/>
  <c r="AY91" i="10"/>
  <c r="AX91" i="10"/>
  <c r="AW91" i="10"/>
  <c r="AV91" i="10"/>
  <c r="AU91" i="10"/>
  <c r="AT91" i="10"/>
  <c r="AS91" i="10"/>
  <c r="AR91" i="10"/>
  <c r="AQ91" i="10"/>
  <c r="AP91" i="10"/>
  <c r="AO91" i="10"/>
  <c r="AN91" i="10"/>
  <c r="AM91" i="10"/>
  <c r="AL91" i="10"/>
  <c r="AK91" i="10"/>
  <c r="AJ91" i="10"/>
  <c r="AI91" i="10"/>
  <c r="AH91" i="10"/>
  <c r="AG91" i="10"/>
  <c r="AF91" i="10"/>
  <c r="AE91" i="10"/>
  <c r="AD91" i="10"/>
  <c r="AC91" i="10"/>
  <c r="AB91" i="10"/>
  <c r="AA91" i="10"/>
  <c r="Z91" i="10"/>
  <c r="Y91" i="10"/>
  <c r="X91" i="10"/>
  <c r="W91" i="10"/>
  <c r="V91" i="10"/>
  <c r="U91" i="10"/>
  <c r="T91" i="10"/>
  <c r="S91" i="10"/>
  <c r="R91" i="10"/>
  <c r="J91" i="10"/>
  <c r="I91" i="10"/>
  <c r="H91" i="10"/>
  <c r="G91" i="10"/>
  <c r="F91" i="10"/>
  <c r="E91" i="10"/>
  <c r="D91" i="10"/>
  <c r="C91" i="10"/>
  <c r="BY90" i="10"/>
  <c r="BX90" i="10"/>
  <c r="BW90" i="10"/>
  <c r="BV90" i="10"/>
  <c r="BT90" i="10"/>
  <c r="BS90" i="10"/>
  <c r="BR90" i="10"/>
  <c r="BQ90" i="10"/>
  <c r="BO90" i="10"/>
  <c r="BN90" i="10"/>
  <c r="BM90" i="10"/>
  <c r="BL90" i="10"/>
  <c r="BJ90" i="10"/>
  <c r="BI90" i="10"/>
  <c r="BH90" i="10"/>
  <c r="BG90" i="10"/>
  <c r="BE90" i="10"/>
  <c r="R90" i="10"/>
  <c r="C90" i="10"/>
  <c r="BE89" i="10"/>
  <c r="R89" i="10"/>
  <c r="C89" i="10"/>
  <c r="R88" i="10"/>
  <c r="C88" i="10"/>
  <c r="R87" i="10"/>
  <c r="C87" i="10"/>
  <c r="BD86" i="10"/>
  <c r="BC86" i="10"/>
  <c r="BB86" i="10"/>
  <c r="BA86" i="10"/>
  <c r="AZ86" i="10"/>
  <c r="AY86" i="10"/>
  <c r="AX86" i="10"/>
  <c r="AW86" i="10"/>
  <c r="AV86" i="10"/>
  <c r="AU86" i="10"/>
  <c r="AT86" i="10"/>
  <c r="AS86" i="10"/>
  <c r="AR86" i="10"/>
  <c r="AQ86" i="10"/>
  <c r="AP86" i="10"/>
  <c r="AO86" i="10"/>
  <c r="AN86" i="10"/>
  <c r="AM86" i="10"/>
  <c r="AL86" i="10"/>
  <c r="AK86" i="10"/>
  <c r="AJ86" i="10"/>
  <c r="AI86" i="10"/>
  <c r="AH86" i="10"/>
  <c r="AG86" i="10"/>
  <c r="AF86" i="10"/>
  <c r="AE86" i="10"/>
  <c r="AD86" i="10"/>
  <c r="AC86" i="10"/>
  <c r="AB86" i="10"/>
  <c r="AA86" i="10"/>
  <c r="Z86" i="10"/>
  <c r="Y86" i="10"/>
  <c r="X86" i="10"/>
  <c r="R86" i="10"/>
  <c r="J86" i="10"/>
  <c r="I86" i="10"/>
  <c r="H86" i="10"/>
  <c r="G86" i="10"/>
  <c r="F86" i="10"/>
  <c r="E86" i="10"/>
  <c r="C86" i="10"/>
  <c r="BD85" i="10"/>
  <c r="BC85" i="10"/>
  <c r="BB85" i="10"/>
  <c r="BA85" i="10"/>
  <c r="AZ85" i="10"/>
  <c r="AY85" i="10"/>
  <c r="AX85" i="10"/>
  <c r="AW85" i="10"/>
  <c r="AV85" i="10"/>
  <c r="AU85" i="10"/>
  <c r="AT85" i="10"/>
  <c r="AS85" i="10"/>
  <c r="AR85" i="10"/>
  <c r="AQ85" i="10"/>
  <c r="AP85" i="10"/>
  <c r="AO85" i="10"/>
  <c r="AN85" i="10"/>
  <c r="AM85" i="10"/>
  <c r="AL85" i="10"/>
  <c r="AK85" i="10"/>
  <c r="AJ85" i="10"/>
  <c r="AI85" i="10"/>
  <c r="AH85" i="10"/>
  <c r="AG85" i="10"/>
  <c r="AF85" i="10"/>
  <c r="AE85" i="10"/>
  <c r="AD85" i="10"/>
  <c r="AC85" i="10"/>
  <c r="AB85" i="10"/>
  <c r="AA85" i="10"/>
  <c r="Z85" i="10"/>
  <c r="Y85" i="10"/>
  <c r="X85" i="10"/>
  <c r="W85" i="10"/>
  <c r="V85" i="10"/>
  <c r="U85" i="10"/>
  <c r="T85" i="10"/>
  <c r="S85" i="10"/>
  <c r="R85" i="10"/>
  <c r="J85" i="10"/>
  <c r="I85" i="10"/>
  <c r="H85" i="10"/>
  <c r="G85" i="10"/>
  <c r="F85" i="10"/>
  <c r="E85" i="10"/>
  <c r="D85" i="10"/>
  <c r="C85" i="10"/>
  <c r="BD84" i="10"/>
  <c r="BC84" i="10"/>
  <c r="BB84" i="10"/>
  <c r="BA84" i="10"/>
  <c r="AZ84" i="10"/>
  <c r="AY84" i="10"/>
  <c r="AX84" i="10"/>
  <c r="AW84" i="10"/>
  <c r="AV84" i="10"/>
  <c r="AU84" i="10"/>
  <c r="AT84" i="10"/>
  <c r="AS84" i="10"/>
  <c r="AR84" i="10"/>
  <c r="AQ84" i="10"/>
  <c r="AP84" i="10"/>
  <c r="AO84" i="10"/>
  <c r="AN84" i="10"/>
  <c r="AM84" i="10"/>
  <c r="AL84" i="10"/>
  <c r="AK84" i="10"/>
  <c r="AJ84" i="10"/>
  <c r="AI84" i="10"/>
  <c r="AH84" i="10"/>
  <c r="AG84" i="10"/>
  <c r="AF84" i="10"/>
  <c r="AE84" i="10"/>
  <c r="AD84" i="10"/>
  <c r="AC84" i="10"/>
  <c r="AB84" i="10"/>
  <c r="AA84" i="10"/>
  <c r="Z84" i="10"/>
  <c r="Y84" i="10"/>
  <c r="X84" i="10"/>
  <c r="W84" i="10"/>
  <c r="V84" i="10"/>
  <c r="U84" i="10"/>
  <c r="T84" i="10"/>
  <c r="S84" i="10"/>
  <c r="R84" i="10"/>
  <c r="J84" i="10"/>
  <c r="I84" i="10"/>
  <c r="H84" i="10"/>
  <c r="G84" i="10"/>
  <c r="F84" i="10"/>
  <c r="E84" i="10"/>
  <c r="D84" i="10"/>
  <c r="C84" i="10"/>
  <c r="BY83" i="10"/>
  <c r="BX83" i="10"/>
  <c r="BW83" i="10"/>
  <c r="BV83" i="10"/>
  <c r="BT83" i="10"/>
  <c r="BS83" i="10"/>
  <c r="BR83" i="10"/>
  <c r="BQ83" i="10"/>
  <c r="BO83" i="10"/>
  <c r="BN83" i="10"/>
  <c r="BM83" i="10"/>
  <c r="BL83" i="10"/>
  <c r="BJ83" i="10"/>
  <c r="BI83" i="10"/>
  <c r="BH83" i="10"/>
  <c r="BG83" i="10"/>
  <c r="BE83" i="10"/>
  <c r="R83" i="10"/>
  <c r="C83" i="10"/>
  <c r="BE82" i="10"/>
  <c r="R82" i="10"/>
  <c r="C82" i="10"/>
  <c r="R81" i="10"/>
  <c r="C81" i="10"/>
  <c r="R80" i="10"/>
  <c r="C80" i="10"/>
  <c r="BD79" i="10"/>
  <c r="BC79" i="10"/>
  <c r="BB79" i="10"/>
  <c r="BA79" i="10"/>
  <c r="AZ79" i="10"/>
  <c r="AY79" i="10"/>
  <c r="AX79" i="10"/>
  <c r="AW79" i="10"/>
  <c r="AV79" i="10"/>
  <c r="AU79" i="10"/>
  <c r="AT79" i="10"/>
  <c r="AS79" i="10"/>
  <c r="AR79" i="10"/>
  <c r="AQ79" i="10"/>
  <c r="AP79" i="10"/>
  <c r="AO79" i="10"/>
  <c r="AN79" i="10"/>
  <c r="AM79" i="10"/>
  <c r="AL79" i="10"/>
  <c r="AK79" i="10"/>
  <c r="AJ79" i="10"/>
  <c r="AI79" i="10"/>
  <c r="AH79" i="10"/>
  <c r="AG79" i="10"/>
  <c r="AF79" i="10"/>
  <c r="AE79" i="10"/>
  <c r="AD79" i="10"/>
  <c r="AC79" i="10"/>
  <c r="AB79" i="10"/>
  <c r="AA79" i="10"/>
  <c r="Z79" i="10"/>
  <c r="Y79" i="10"/>
  <c r="X79" i="10"/>
  <c r="R79" i="10"/>
  <c r="J79" i="10"/>
  <c r="I79" i="10"/>
  <c r="H79" i="10"/>
  <c r="G79" i="10"/>
  <c r="F79" i="10"/>
  <c r="E79" i="10"/>
  <c r="C79" i="10"/>
  <c r="BD78" i="10"/>
  <c r="BC78" i="10"/>
  <c r="BB78" i="10"/>
  <c r="BA78" i="10"/>
  <c r="AZ78" i="10"/>
  <c r="AY78" i="10"/>
  <c r="AX78" i="10"/>
  <c r="AW78" i="10"/>
  <c r="AV78" i="10"/>
  <c r="AU78" i="10"/>
  <c r="AT78" i="10"/>
  <c r="AS78" i="10"/>
  <c r="AR78" i="10"/>
  <c r="AQ78" i="10"/>
  <c r="AP78" i="10"/>
  <c r="AO78" i="10"/>
  <c r="AN78" i="10"/>
  <c r="AM78" i="10"/>
  <c r="AL78" i="10"/>
  <c r="AK78" i="10"/>
  <c r="AJ78" i="10"/>
  <c r="AI78" i="10"/>
  <c r="AH78" i="10"/>
  <c r="AG78" i="10"/>
  <c r="AF78" i="10"/>
  <c r="AE78" i="10"/>
  <c r="AD78" i="10"/>
  <c r="AC78" i="10"/>
  <c r="AB78" i="10"/>
  <c r="AA78" i="10"/>
  <c r="Z78" i="10"/>
  <c r="Y78" i="10"/>
  <c r="X78" i="10"/>
  <c r="W78" i="10"/>
  <c r="V78" i="10"/>
  <c r="U78" i="10"/>
  <c r="T78" i="10"/>
  <c r="S78" i="10"/>
  <c r="J78" i="10"/>
  <c r="I78" i="10"/>
  <c r="H78" i="10"/>
  <c r="G78" i="10"/>
  <c r="F78" i="10"/>
  <c r="E78" i="10"/>
  <c r="D78" i="10"/>
  <c r="C78" i="10"/>
  <c r="BD77" i="10"/>
  <c r="BC77" i="10"/>
  <c r="BB77" i="10"/>
  <c r="BA77" i="10"/>
  <c r="AZ77" i="10"/>
  <c r="AY77" i="10"/>
  <c r="AX77" i="10"/>
  <c r="AW77" i="10"/>
  <c r="AV77" i="10"/>
  <c r="AU77" i="10"/>
  <c r="AT77" i="10"/>
  <c r="AS77" i="10"/>
  <c r="AR77" i="10"/>
  <c r="AQ77" i="10"/>
  <c r="AP77" i="10"/>
  <c r="AO77" i="10"/>
  <c r="AN77" i="10"/>
  <c r="AM77" i="10"/>
  <c r="AL77" i="10"/>
  <c r="AK77" i="10"/>
  <c r="AJ77" i="10"/>
  <c r="AI77" i="10"/>
  <c r="AH77" i="10"/>
  <c r="AG77" i="10"/>
  <c r="AF77" i="10"/>
  <c r="AE77" i="10"/>
  <c r="AD77" i="10"/>
  <c r="AC77" i="10"/>
  <c r="AB77" i="10"/>
  <c r="AA77" i="10"/>
  <c r="Z77" i="10"/>
  <c r="Y77" i="10"/>
  <c r="X77" i="10"/>
  <c r="W77" i="10"/>
  <c r="V77" i="10"/>
  <c r="U77" i="10"/>
  <c r="T77" i="10"/>
  <c r="S77" i="10"/>
  <c r="R77" i="10"/>
  <c r="J77" i="10"/>
  <c r="I77" i="10"/>
  <c r="H77" i="10"/>
  <c r="G77" i="10"/>
  <c r="F77" i="10"/>
  <c r="E77" i="10"/>
  <c r="D77" i="10"/>
  <c r="C77" i="10"/>
  <c r="BD76" i="10"/>
  <c r="BC76" i="10"/>
  <c r="BB76" i="10"/>
  <c r="BA76" i="10"/>
  <c r="AZ76" i="10"/>
  <c r="AY76" i="10"/>
  <c r="AX76" i="10"/>
  <c r="AW76" i="10"/>
  <c r="AV76" i="10"/>
  <c r="AU76" i="10"/>
  <c r="AT76" i="10"/>
  <c r="AS76" i="10"/>
  <c r="AR76" i="10"/>
  <c r="AQ76" i="10"/>
  <c r="AP76" i="10"/>
  <c r="AO76" i="10"/>
  <c r="AN76" i="10"/>
  <c r="AM76" i="10"/>
  <c r="AL76" i="10"/>
  <c r="AK76" i="10"/>
  <c r="AJ76" i="10"/>
  <c r="AI76" i="10"/>
  <c r="AH76" i="10"/>
  <c r="AG76" i="10"/>
  <c r="AF76" i="10"/>
  <c r="AE76" i="10"/>
  <c r="AD76" i="10"/>
  <c r="AC76" i="10"/>
  <c r="AB76" i="10"/>
  <c r="AA76" i="10"/>
  <c r="Z76" i="10"/>
  <c r="Y76" i="10"/>
  <c r="X76" i="10"/>
  <c r="W76" i="10"/>
  <c r="V76" i="10"/>
  <c r="U76" i="10"/>
  <c r="T76" i="10"/>
  <c r="S76" i="10"/>
  <c r="R76" i="10"/>
  <c r="J76" i="10"/>
  <c r="I76" i="10"/>
  <c r="H76" i="10"/>
  <c r="G76" i="10"/>
  <c r="F76" i="10"/>
  <c r="E76" i="10"/>
  <c r="D76" i="10"/>
  <c r="C76" i="10"/>
  <c r="BZ75" i="10"/>
  <c r="BY75" i="10"/>
  <c r="BX75" i="10"/>
  <c r="BW75" i="10"/>
  <c r="BV75" i="10"/>
  <c r="BU75" i="10"/>
  <c r="BT75" i="10"/>
  <c r="BS75" i="10"/>
  <c r="BR75" i="10"/>
  <c r="BQ75" i="10"/>
  <c r="BP75" i="10"/>
  <c r="BO75" i="10"/>
  <c r="BN75" i="10"/>
  <c r="BM75" i="10"/>
  <c r="BL75" i="10"/>
  <c r="BK75" i="10"/>
  <c r="BJ75" i="10"/>
  <c r="BI75" i="10"/>
  <c r="BH75" i="10"/>
  <c r="BG75" i="10"/>
  <c r="BF75" i="10"/>
  <c r="BE75" i="10"/>
  <c r="BD75" i="10"/>
  <c r="BC75" i="10"/>
  <c r="BB75" i="10"/>
  <c r="BA75" i="10"/>
  <c r="AZ75" i="10"/>
  <c r="AY75" i="10"/>
  <c r="AX75" i="10"/>
  <c r="AW75" i="10"/>
  <c r="AV75" i="10"/>
  <c r="AU75" i="10"/>
  <c r="AT75" i="10"/>
  <c r="AS75" i="10"/>
  <c r="AR75" i="10"/>
  <c r="AQ75" i="10"/>
  <c r="AP75" i="10"/>
  <c r="AO75" i="10"/>
  <c r="AN75" i="10"/>
  <c r="AM75" i="10"/>
  <c r="AL75" i="10"/>
  <c r="AK75" i="10"/>
  <c r="AJ75" i="10"/>
  <c r="AI75" i="10"/>
  <c r="AH75" i="10"/>
  <c r="AG75" i="10"/>
  <c r="AF75" i="10"/>
  <c r="AE75" i="10"/>
  <c r="AD75" i="10"/>
  <c r="AC75" i="10"/>
  <c r="AB75" i="10"/>
  <c r="AA75" i="10"/>
  <c r="Z75" i="10"/>
  <c r="Y75" i="10"/>
  <c r="X75" i="10"/>
  <c r="W75" i="10"/>
  <c r="V75" i="10"/>
  <c r="U75" i="10"/>
  <c r="T75" i="10"/>
  <c r="S75" i="10"/>
  <c r="BV74" i="10"/>
  <c r="BQ74" i="10"/>
  <c r="BL74" i="10"/>
  <c r="BG74" i="10"/>
  <c r="BB74" i="10"/>
  <c r="AW74" i="10"/>
  <c r="AR74" i="10"/>
  <c r="AM74" i="10"/>
  <c r="AH74" i="10"/>
  <c r="AC74" i="10"/>
  <c r="X74" i="10"/>
  <c r="S74" i="10"/>
  <c r="R74" i="10"/>
  <c r="O74" i="10"/>
  <c r="N74" i="10"/>
  <c r="M74" i="10"/>
  <c r="L74" i="10"/>
  <c r="K74" i="10"/>
  <c r="J74" i="10"/>
  <c r="I74" i="10"/>
  <c r="H74" i="10"/>
  <c r="G74" i="10"/>
  <c r="F74" i="10"/>
  <c r="E74" i="10"/>
  <c r="D74" i="10"/>
  <c r="BY73" i="10"/>
  <c r="BX73" i="10"/>
  <c r="R73" i="10"/>
  <c r="O73" i="10"/>
  <c r="N73" i="10"/>
  <c r="C73" i="10"/>
  <c r="BX72" i="10"/>
  <c r="R72" i="10"/>
  <c r="N72" i="10"/>
  <c r="C72" i="10"/>
  <c r="BX71" i="10"/>
  <c r="R71" i="10"/>
  <c r="N71" i="10"/>
  <c r="C71" i="10"/>
  <c r="K67" i="10"/>
  <c r="J67" i="10"/>
  <c r="I67" i="10"/>
  <c r="H67" i="10"/>
  <c r="G67" i="10"/>
  <c r="K66" i="10"/>
  <c r="J66" i="10"/>
  <c r="I66" i="10"/>
  <c r="H66" i="10"/>
  <c r="G66" i="10"/>
  <c r="AG65" i="10"/>
  <c r="BY63" i="10"/>
  <c r="BX63" i="10"/>
  <c r="BW63" i="10"/>
  <c r="BV63" i="10"/>
  <c r="BT63" i="10"/>
  <c r="BS63" i="10"/>
  <c r="BR63" i="10"/>
  <c r="BQ63" i="10"/>
  <c r="BO63" i="10"/>
  <c r="BN63" i="10"/>
  <c r="BM63" i="10"/>
  <c r="BL63" i="10"/>
  <c r="BJ63" i="10"/>
  <c r="BI63" i="10"/>
  <c r="BH63" i="10"/>
  <c r="BG63" i="10"/>
  <c r="BE63" i="10"/>
  <c r="R63" i="10"/>
  <c r="C63" i="10"/>
  <c r="BE62" i="10"/>
  <c r="R62" i="10"/>
  <c r="C62" i="10"/>
  <c r="BE61" i="10"/>
  <c r="R61" i="10"/>
  <c r="C61" i="10"/>
  <c r="R60" i="10"/>
  <c r="C60" i="10"/>
  <c r="BD59" i="10"/>
  <c r="BC59" i="10"/>
  <c r="BB59" i="10"/>
  <c r="BA59" i="10"/>
  <c r="AZ59" i="10"/>
  <c r="AY59" i="10"/>
  <c r="AX59" i="10"/>
  <c r="AW59" i="10"/>
  <c r="AV59" i="10"/>
  <c r="AU59" i="10"/>
  <c r="AT59" i="10"/>
  <c r="AS59" i="10"/>
  <c r="AR59" i="10"/>
  <c r="AQ59" i="10"/>
  <c r="AP59" i="10"/>
  <c r="AO59" i="10"/>
  <c r="AN59" i="10"/>
  <c r="AM59" i="10"/>
  <c r="AL59" i="10"/>
  <c r="AK59" i="10"/>
  <c r="AJ59" i="10"/>
  <c r="AI59" i="10"/>
  <c r="AH59" i="10"/>
  <c r="AG59" i="10"/>
  <c r="AF59" i="10"/>
  <c r="AE59" i="10"/>
  <c r="AD59" i="10"/>
  <c r="AC59" i="10"/>
  <c r="AB59" i="10"/>
  <c r="AA59" i="10"/>
  <c r="Z59" i="10"/>
  <c r="Y59" i="10"/>
  <c r="X59" i="10"/>
  <c r="J59" i="10"/>
  <c r="I59" i="10"/>
  <c r="H59" i="10"/>
  <c r="G59" i="10"/>
  <c r="F59" i="10"/>
  <c r="E59" i="10"/>
  <c r="C59" i="10"/>
  <c r="BD58" i="10"/>
  <c r="BC58" i="10"/>
  <c r="BB58" i="10"/>
  <c r="BA58" i="10"/>
  <c r="AZ58" i="10"/>
  <c r="AY58" i="10"/>
  <c r="AX58" i="10"/>
  <c r="AW58" i="10"/>
  <c r="AV58" i="10"/>
  <c r="AU58" i="10"/>
  <c r="AT58" i="10"/>
  <c r="AS58" i="10"/>
  <c r="AR58" i="10"/>
  <c r="AQ58" i="10"/>
  <c r="AP58" i="10"/>
  <c r="AO58" i="10"/>
  <c r="AN58" i="10"/>
  <c r="AM58" i="10"/>
  <c r="AL58" i="10"/>
  <c r="AK58" i="10"/>
  <c r="AJ58" i="10"/>
  <c r="AI58" i="10"/>
  <c r="AH58" i="10"/>
  <c r="AG58" i="10"/>
  <c r="AF58" i="10"/>
  <c r="AE58" i="10"/>
  <c r="AD58" i="10"/>
  <c r="AC58" i="10"/>
  <c r="AB58" i="10"/>
  <c r="AA58" i="10"/>
  <c r="Z58" i="10"/>
  <c r="Y58" i="10"/>
  <c r="X58" i="10"/>
  <c r="W58" i="10"/>
  <c r="V58" i="10"/>
  <c r="U58" i="10"/>
  <c r="T58" i="10"/>
  <c r="S58" i="10"/>
  <c r="R58" i="10"/>
  <c r="J58" i="10"/>
  <c r="I58" i="10"/>
  <c r="H58" i="10"/>
  <c r="G58" i="10"/>
  <c r="F58" i="10"/>
  <c r="E58" i="10"/>
  <c r="D58" i="10"/>
  <c r="C58" i="10"/>
  <c r="BY56" i="10"/>
  <c r="BX56" i="10"/>
  <c r="BW56" i="10"/>
  <c r="BV56" i="10"/>
  <c r="BT56" i="10"/>
  <c r="BS56" i="10"/>
  <c r="BR56" i="10"/>
  <c r="BQ56" i="10"/>
  <c r="BO56" i="10"/>
  <c r="BN56" i="10"/>
  <c r="BM56" i="10"/>
  <c r="BL56" i="10"/>
  <c r="BJ56" i="10"/>
  <c r="BI56" i="10"/>
  <c r="BH56" i="10"/>
  <c r="BG56" i="10"/>
  <c r="BE56" i="10"/>
  <c r="C56" i="10"/>
  <c r="BY55" i="10"/>
  <c r="BX55" i="10"/>
  <c r="BW55" i="10"/>
  <c r="BV55" i="10"/>
  <c r="BT55" i="10"/>
  <c r="BS55" i="10"/>
  <c r="BR55" i="10"/>
  <c r="BQ55" i="10"/>
  <c r="BO55" i="10"/>
  <c r="BN55" i="10"/>
  <c r="BM55" i="10"/>
  <c r="BL55" i="10"/>
  <c r="BJ55" i="10"/>
  <c r="BI55" i="10"/>
  <c r="BH55" i="10"/>
  <c r="BG55" i="10"/>
  <c r="BE55" i="10"/>
  <c r="C55" i="10"/>
  <c r="C54" i="10"/>
  <c r="C53" i="10"/>
  <c r="BF52" i="10"/>
  <c r="BD52" i="10"/>
  <c r="BC52" i="10"/>
  <c r="BB52" i="10"/>
  <c r="BA52" i="10"/>
  <c r="AZ52" i="10"/>
  <c r="AY52" i="10"/>
  <c r="AX52" i="10"/>
  <c r="AW52" i="10"/>
  <c r="AV52" i="10"/>
  <c r="AU52" i="10"/>
  <c r="AT52" i="10"/>
  <c r="AS52" i="10"/>
  <c r="AR52" i="10"/>
  <c r="AQ52" i="10"/>
  <c r="AP52" i="10"/>
  <c r="AO52" i="10"/>
  <c r="AN52" i="10"/>
  <c r="AM52" i="10"/>
  <c r="AL52" i="10"/>
  <c r="AK52" i="10"/>
  <c r="AJ52" i="10"/>
  <c r="AI52" i="10"/>
  <c r="AH52" i="10"/>
  <c r="AG52" i="10"/>
  <c r="AF52" i="10"/>
  <c r="AE52" i="10"/>
  <c r="AD52" i="10"/>
  <c r="AC52" i="10"/>
  <c r="AB52" i="10"/>
  <c r="AA52" i="10"/>
  <c r="Z52" i="10"/>
  <c r="Y52" i="10"/>
  <c r="K52" i="10"/>
  <c r="J52" i="10"/>
  <c r="I52" i="10"/>
  <c r="H52" i="10"/>
  <c r="G52" i="10"/>
  <c r="F52" i="10"/>
  <c r="E52" i="10"/>
  <c r="BF51" i="10"/>
  <c r="BE51" i="10"/>
  <c r="BD51" i="10"/>
  <c r="BC51" i="10"/>
  <c r="BB51" i="10"/>
  <c r="BA51" i="10"/>
  <c r="AZ51" i="10"/>
  <c r="AY51" i="10"/>
  <c r="AX51" i="10"/>
  <c r="AW51" i="10"/>
  <c r="AV51" i="10"/>
  <c r="AU51" i="10"/>
  <c r="AT51" i="10"/>
  <c r="AS51" i="10"/>
  <c r="AR51" i="10"/>
  <c r="AQ51" i="10"/>
  <c r="AP51" i="10"/>
  <c r="AO51" i="10"/>
  <c r="AN51" i="10"/>
  <c r="AM51" i="10"/>
  <c r="AL51" i="10"/>
  <c r="AK51" i="10"/>
  <c r="AJ51" i="10"/>
  <c r="AI51" i="10"/>
  <c r="AH51" i="10"/>
  <c r="AG51" i="10"/>
  <c r="AF51" i="10"/>
  <c r="AE51" i="10"/>
  <c r="AD51" i="10"/>
  <c r="AC51" i="10"/>
  <c r="AB51" i="10"/>
  <c r="AA51" i="10"/>
  <c r="Z51" i="10"/>
  <c r="Y51" i="10"/>
  <c r="X51" i="10"/>
  <c r="W51" i="10"/>
  <c r="V51" i="10"/>
  <c r="U51" i="10"/>
  <c r="T51" i="10"/>
  <c r="S51" i="10"/>
  <c r="K51" i="10"/>
  <c r="J51" i="10"/>
  <c r="I51" i="10"/>
  <c r="H51" i="10"/>
  <c r="G51" i="10"/>
  <c r="F51" i="10"/>
  <c r="E51" i="10"/>
  <c r="D51" i="10"/>
  <c r="C51" i="10"/>
  <c r="BE49" i="10"/>
  <c r="R49" i="10"/>
  <c r="BE48" i="10"/>
  <c r="R48" i="10"/>
  <c r="BY47" i="10"/>
  <c r="BX47" i="10"/>
  <c r="BW47" i="10"/>
  <c r="BV47" i="10"/>
  <c r="BT47" i="10"/>
  <c r="BS47" i="10"/>
  <c r="BR47" i="10"/>
  <c r="BQ47" i="10"/>
  <c r="BO47" i="10"/>
  <c r="BN47" i="10"/>
  <c r="BM47" i="10"/>
  <c r="BL47" i="10"/>
  <c r="BJ47" i="10"/>
  <c r="BI47" i="10"/>
  <c r="BH47" i="10"/>
  <c r="BG47" i="10"/>
  <c r="BE47" i="10"/>
  <c r="R47" i="10"/>
  <c r="BY46" i="10"/>
  <c r="R46" i="10"/>
  <c r="BD45" i="10"/>
  <c r="BC45" i="10"/>
  <c r="BB45" i="10"/>
  <c r="BA45" i="10"/>
  <c r="AZ45" i="10"/>
  <c r="AY45" i="10"/>
  <c r="AX45" i="10"/>
  <c r="AW45" i="10"/>
  <c r="AV45" i="10"/>
  <c r="AU45" i="10"/>
  <c r="AT45" i="10"/>
  <c r="AS45" i="10"/>
  <c r="AR45" i="10"/>
  <c r="AQ45" i="10"/>
  <c r="AP45" i="10"/>
  <c r="AO45" i="10"/>
  <c r="AN45" i="10"/>
  <c r="AM45" i="10"/>
  <c r="AL45" i="10"/>
  <c r="AK45" i="10"/>
  <c r="AJ45" i="10"/>
  <c r="AI45" i="10"/>
  <c r="AH45" i="10"/>
  <c r="AG45" i="10"/>
  <c r="AF45" i="10"/>
  <c r="AE45" i="10"/>
  <c r="AD45" i="10"/>
  <c r="AC45" i="10"/>
  <c r="AB45" i="10"/>
  <c r="AA45" i="10"/>
  <c r="Z45" i="10"/>
  <c r="Y45" i="10"/>
  <c r="X45" i="10"/>
  <c r="W45" i="10"/>
  <c r="V45" i="10"/>
  <c r="U45" i="10"/>
  <c r="T45" i="10"/>
  <c r="S45" i="10"/>
  <c r="J45" i="10"/>
  <c r="I45" i="10"/>
  <c r="H45" i="10"/>
  <c r="G45" i="10"/>
  <c r="F45" i="10"/>
  <c r="E45" i="10"/>
  <c r="C45" i="10"/>
  <c r="BD44" i="10"/>
  <c r="BC44" i="10"/>
  <c r="BB44" i="10"/>
  <c r="BA44" i="10"/>
  <c r="AZ44" i="10"/>
  <c r="AY44" i="10"/>
  <c r="AX44" i="10"/>
  <c r="AW44" i="10"/>
  <c r="AV44" i="10"/>
  <c r="AU44" i="10"/>
  <c r="AT44" i="10"/>
  <c r="AS44" i="10"/>
  <c r="AR44" i="10"/>
  <c r="AQ44" i="10"/>
  <c r="AP44" i="10"/>
  <c r="AO44" i="10"/>
  <c r="AN44" i="10"/>
  <c r="AM44" i="10"/>
  <c r="AL44" i="10"/>
  <c r="AK44" i="10"/>
  <c r="AJ44" i="10"/>
  <c r="AI44" i="10"/>
  <c r="AH44" i="10"/>
  <c r="AG44" i="10"/>
  <c r="AF44" i="10"/>
  <c r="AE44" i="10"/>
  <c r="AD44" i="10"/>
  <c r="AC44" i="10"/>
  <c r="AB44" i="10"/>
  <c r="AA44" i="10"/>
  <c r="Z44" i="10"/>
  <c r="Y44" i="10"/>
  <c r="X44" i="10"/>
  <c r="W44" i="10"/>
  <c r="V44" i="10"/>
  <c r="U44" i="10"/>
  <c r="T44" i="10"/>
  <c r="S44" i="10"/>
  <c r="R44" i="10"/>
  <c r="J44" i="10"/>
  <c r="I44" i="10"/>
  <c r="H44" i="10"/>
  <c r="G44" i="10"/>
  <c r="F44" i="10"/>
  <c r="E44" i="10"/>
  <c r="D44" i="10"/>
  <c r="C44" i="10"/>
  <c r="BD42" i="10"/>
  <c r="BC42" i="10"/>
  <c r="BB42" i="10"/>
  <c r="BA42" i="10"/>
  <c r="AZ42" i="10"/>
  <c r="AY42" i="10"/>
  <c r="AX42" i="10"/>
  <c r="AW42" i="10"/>
  <c r="AV42" i="10"/>
  <c r="AU42" i="10"/>
  <c r="AT42" i="10"/>
  <c r="AS42" i="10"/>
  <c r="AR42" i="10"/>
  <c r="AQ42" i="10"/>
  <c r="AP42" i="10"/>
  <c r="AO42" i="10"/>
  <c r="AN42" i="10"/>
  <c r="AM42" i="10"/>
  <c r="AL42" i="10"/>
  <c r="AK42" i="10"/>
  <c r="AJ42" i="10"/>
  <c r="AI42" i="10"/>
  <c r="AH42" i="10"/>
  <c r="AG42" i="10"/>
  <c r="AF42" i="10"/>
  <c r="AE42" i="10"/>
  <c r="AD42" i="10"/>
  <c r="AC42" i="10"/>
  <c r="AB42" i="10"/>
  <c r="AA42" i="10"/>
  <c r="Z42" i="10"/>
  <c r="Y42" i="10"/>
  <c r="X42" i="10"/>
  <c r="R42" i="10"/>
  <c r="J42" i="10"/>
  <c r="I42" i="10"/>
  <c r="H42" i="10"/>
  <c r="G42" i="10"/>
  <c r="F42" i="10"/>
  <c r="E42" i="10"/>
  <c r="C42" i="10"/>
  <c r="BF41" i="10"/>
  <c r="BD41" i="10"/>
  <c r="BC41" i="10"/>
  <c r="BB41" i="10"/>
  <c r="BA41" i="10"/>
  <c r="AZ41" i="10"/>
  <c r="AY41" i="10"/>
  <c r="AX41" i="10"/>
  <c r="AW41" i="10"/>
  <c r="AV41" i="10"/>
  <c r="AU41" i="10"/>
  <c r="AT41" i="10"/>
  <c r="AS41" i="10"/>
  <c r="AR41" i="10"/>
  <c r="AQ41" i="10"/>
  <c r="AP41" i="10"/>
  <c r="AO41" i="10"/>
  <c r="AN41" i="10"/>
  <c r="AM41" i="10"/>
  <c r="AL41" i="10"/>
  <c r="AK41" i="10"/>
  <c r="AJ41" i="10"/>
  <c r="AI41" i="10"/>
  <c r="AH41" i="10"/>
  <c r="AG41" i="10"/>
  <c r="AF41" i="10"/>
  <c r="AE41" i="10"/>
  <c r="AD41" i="10"/>
  <c r="AC41" i="10"/>
  <c r="AB41" i="10"/>
  <c r="AA41" i="10"/>
  <c r="Z41" i="10"/>
  <c r="Y41" i="10"/>
  <c r="X41" i="10"/>
  <c r="R41" i="10"/>
  <c r="K41" i="10"/>
  <c r="J41" i="10"/>
  <c r="I41" i="10"/>
  <c r="H41" i="10"/>
  <c r="G41" i="10"/>
  <c r="F41" i="10"/>
  <c r="E41" i="10"/>
  <c r="C41" i="10"/>
  <c r="BD40" i="10"/>
  <c r="BD40" i="10" a="1"/>
  <c r="BC40" i="10"/>
  <c r="BC40" i="10" a="1"/>
  <c r="BB40" i="10"/>
  <c r="BB40" i="10" a="1"/>
  <c r="BA40" i="10"/>
  <c r="BA40" i="10" a="1"/>
  <c r="AZ40" i="10"/>
  <c r="AZ40" i="10" a="1"/>
  <c r="AY40" i="10"/>
  <c r="AY40" i="10" a="1"/>
  <c r="AX40" i="10"/>
  <c r="AX40" i="10" a="1"/>
  <c r="AW40" i="10"/>
  <c r="AW40" i="10" a="1"/>
  <c r="AV40" i="10"/>
  <c r="AV40" i="10" a="1"/>
  <c r="AU40" i="10"/>
  <c r="AU40" i="10" a="1"/>
  <c r="AT40" i="10"/>
  <c r="AT40" i="10" a="1"/>
  <c r="AS40" i="10"/>
  <c r="AS40" i="10" a="1"/>
  <c r="AR40" i="10"/>
  <c r="AR40" i="10" a="1"/>
  <c r="AQ40" i="10"/>
  <c r="AQ40" i="10" a="1"/>
  <c r="AP40" i="10"/>
  <c r="AP40" i="10" a="1"/>
  <c r="AO40" i="10"/>
  <c r="AO40" i="10" a="1"/>
  <c r="AN40" i="10"/>
  <c r="AN40" i="10" a="1"/>
  <c r="AM40" i="10"/>
  <c r="AM40" i="10" a="1"/>
  <c r="AL40" i="10"/>
  <c r="AL40" i="10" a="1"/>
  <c r="AK40" i="10"/>
  <c r="AK40" i="10" a="1"/>
  <c r="AJ40" i="10"/>
  <c r="AJ40" i="10" a="1"/>
  <c r="AI40" i="10"/>
  <c r="AI40" i="10" a="1"/>
  <c r="AH40" i="10"/>
  <c r="AH40" i="10" a="1"/>
  <c r="AG40" i="10"/>
  <c r="AG40" i="10" a="1"/>
  <c r="AF40" i="10"/>
  <c r="AF40" i="10" a="1"/>
  <c r="AE40" i="10"/>
  <c r="AE40" i="10" a="1"/>
  <c r="AD40" i="10"/>
  <c r="AD40" i="10" a="1"/>
  <c r="AC40" i="10"/>
  <c r="AC40" i="10" a="1"/>
  <c r="AB40" i="10"/>
  <c r="AB40" i="10" a="1"/>
  <c r="AA40" i="10"/>
  <c r="AA40" i="10" a="1"/>
  <c r="Z40" i="10"/>
  <c r="Z40" i="10" a="1"/>
  <c r="Y40" i="10"/>
  <c r="Y40" i="10" a="1"/>
  <c r="X40" i="10"/>
  <c r="X40" i="10" a="1"/>
  <c r="R40" i="10"/>
  <c r="J40" i="10"/>
  <c r="I40" i="10"/>
  <c r="H40" i="10"/>
  <c r="G40" i="10"/>
  <c r="F40" i="10"/>
  <c r="E40" i="10"/>
  <c r="C40" i="10"/>
  <c r="BF39" i="10"/>
  <c r="BD39" i="10"/>
  <c r="BC39" i="10"/>
  <c r="BB39" i="10"/>
  <c r="BA39" i="10"/>
  <c r="AZ39" i="10"/>
  <c r="AY39" i="10"/>
  <c r="AX39" i="10"/>
  <c r="AW39" i="10"/>
  <c r="AV39" i="10"/>
  <c r="AU39" i="10"/>
  <c r="AT39" i="10"/>
  <c r="AS39" i="10"/>
  <c r="AR39" i="10"/>
  <c r="AQ39" i="10"/>
  <c r="AP39" i="10"/>
  <c r="AO39" i="10"/>
  <c r="AN39" i="10"/>
  <c r="AM39" i="10"/>
  <c r="AL39" i="10"/>
  <c r="AK39" i="10"/>
  <c r="AJ39" i="10"/>
  <c r="AI39" i="10"/>
  <c r="AH39" i="10"/>
  <c r="AG39" i="10"/>
  <c r="AF39" i="10"/>
  <c r="AE39" i="10"/>
  <c r="AD39" i="10"/>
  <c r="AC39" i="10"/>
  <c r="AB39" i="10"/>
  <c r="AA39" i="10"/>
  <c r="Z39" i="10"/>
  <c r="Y39" i="10"/>
  <c r="X39" i="10"/>
  <c r="R39" i="10"/>
  <c r="K39" i="10"/>
  <c r="J39" i="10"/>
  <c r="I39" i="10"/>
  <c r="H39" i="10"/>
  <c r="G39" i="10"/>
  <c r="F39" i="10"/>
  <c r="E39" i="10"/>
  <c r="C39" i="10"/>
  <c r="BA37" i="10"/>
  <c r="AZ37" i="10"/>
  <c r="AY37" i="10"/>
  <c r="AX37" i="10"/>
  <c r="AW37" i="10"/>
  <c r="AV37" i="10"/>
  <c r="AU37" i="10"/>
  <c r="AT37" i="10"/>
  <c r="AS37" i="10"/>
  <c r="AR37" i="10"/>
  <c r="AQ37" i="10"/>
  <c r="AP37" i="10"/>
  <c r="AO37" i="10"/>
  <c r="AN37" i="10"/>
  <c r="AM37" i="10"/>
  <c r="AL37" i="10"/>
  <c r="AK37" i="10"/>
  <c r="AJ37" i="10"/>
  <c r="AI37" i="10"/>
  <c r="AH37" i="10"/>
  <c r="AG37" i="10"/>
  <c r="AF37" i="10"/>
  <c r="AE37" i="10"/>
  <c r="AD37" i="10"/>
  <c r="AC37" i="10"/>
  <c r="AB37" i="10"/>
  <c r="AA37" i="10"/>
  <c r="Z37" i="10"/>
  <c r="Y37" i="10"/>
  <c r="X37" i="10"/>
  <c r="W37" i="10"/>
  <c r="V37" i="10"/>
  <c r="U37" i="10"/>
  <c r="T37" i="10"/>
  <c r="S37" i="10"/>
  <c r="R37" i="10"/>
  <c r="BA36" i="10"/>
  <c r="AZ36" i="10"/>
  <c r="AY36" i="10"/>
  <c r="AX36" i="10"/>
  <c r="AW36" i="10"/>
  <c r="AV36" i="10"/>
  <c r="AU36" i="10"/>
  <c r="AT36" i="10"/>
  <c r="AS36" i="10"/>
  <c r="AR36" i="10"/>
  <c r="AQ36" i="10"/>
  <c r="AP36" i="10"/>
  <c r="AO36" i="10"/>
  <c r="AN36" i="10"/>
  <c r="AM36" i="10"/>
  <c r="AL36" i="10"/>
  <c r="AK36" i="10"/>
  <c r="AJ36" i="10"/>
  <c r="AI36" i="10"/>
  <c r="AH36" i="10"/>
  <c r="AG36" i="10"/>
  <c r="AF36" i="10"/>
  <c r="AE36" i="10"/>
  <c r="AD36" i="10"/>
  <c r="AC36" i="10"/>
  <c r="AB36" i="10"/>
  <c r="AA36" i="10"/>
  <c r="Z36" i="10"/>
  <c r="Y36" i="10"/>
  <c r="X36" i="10"/>
  <c r="W36" i="10"/>
  <c r="V36" i="10"/>
  <c r="U36" i="10"/>
  <c r="T36" i="10"/>
  <c r="S36" i="10"/>
  <c r="R36" i="10"/>
  <c r="BZ34" i="10"/>
  <c r="BY34" i="10"/>
  <c r="BX34" i="10"/>
  <c r="BW34" i="10"/>
  <c r="BV34" i="10"/>
  <c r="BU34" i="10"/>
  <c r="BT34" i="10"/>
  <c r="BS34" i="10"/>
  <c r="BR34" i="10"/>
  <c r="BQ34" i="10"/>
  <c r="BP34" i="10"/>
  <c r="BO34" i="10"/>
  <c r="BN34" i="10"/>
  <c r="BM34" i="10"/>
  <c r="BL34" i="10"/>
  <c r="BK34" i="10"/>
  <c r="BJ34" i="10"/>
  <c r="BI34" i="10"/>
  <c r="BH34" i="10"/>
  <c r="BG34" i="10"/>
  <c r="BF34" i="10"/>
  <c r="BE34" i="10"/>
  <c r="BD34" i="10"/>
  <c r="BC34" i="10"/>
  <c r="BB34" i="10"/>
  <c r="BA34" i="10"/>
  <c r="AZ34" i="10"/>
  <c r="AY34" i="10"/>
  <c r="AX34" i="10"/>
  <c r="AW34" i="10"/>
  <c r="AV34" i="10"/>
  <c r="AU34" i="10"/>
  <c r="AT34" i="10"/>
  <c r="AS34" i="10"/>
  <c r="AR34" i="10"/>
  <c r="AQ34" i="10"/>
  <c r="AP34" i="10"/>
  <c r="AO34" i="10"/>
  <c r="AN34" i="10"/>
  <c r="AM34" i="10"/>
  <c r="AL34" i="10"/>
  <c r="AK34" i="10"/>
  <c r="AJ34" i="10"/>
  <c r="AI34" i="10"/>
  <c r="AH34" i="10"/>
  <c r="AG34" i="10"/>
  <c r="AF34" i="10"/>
  <c r="AE34" i="10"/>
  <c r="AD34" i="10"/>
  <c r="AC34" i="10"/>
  <c r="AB34" i="10"/>
  <c r="AA34" i="10"/>
  <c r="Z34" i="10"/>
  <c r="Y34" i="10"/>
  <c r="X34" i="10"/>
  <c r="W34" i="10"/>
  <c r="V34" i="10"/>
  <c r="U34" i="10"/>
  <c r="T34" i="10"/>
  <c r="S34" i="10"/>
  <c r="BV33" i="10"/>
  <c r="BQ33" i="10"/>
  <c r="BL33" i="10"/>
  <c r="BG33" i="10"/>
  <c r="BB33" i="10"/>
  <c r="AW33" i="10"/>
  <c r="AR33" i="10"/>
  <c r="AM33" i="10"/>
  <c r="AH33" i="10"/>
  <c r="AC33" i="10"/>
  <c r="X33" i="10"/>
  <c r="S33" i="10"/>
  <c r="O33" i="10"/>
  <c r="N33" i="10"/>
  <c r="M33" i="10"/>
  <c r="L33" i="10"/>
  <c r="K33" i="10"/>
  <c r="J33" i="10"/>
  <c r="I33" i="10"/>
  <c r="H33" i="10"/>
  <c r="G33" i="10"/>
  <c r="F33" i="10"/>
  <c r="E33" i="10"/>
  <c r="D33" i="10"/>
  <c r="AZ31" i="10"/>
  <c r="AU31" i="10"/>
  <c r="AP31" i="10"/>
  <c r="R31" i="10"/>
  <c r="O31" i="10"/>
  <c r="N31" i="10"/>
  <c r="M31" i="10"/>
  <c r="L31" i="10"/>
  <c r="K31" i="10"/>
  <c r="J31" i="10"/>
  <c r="I31" i="10"/>
  <c r="H31" i="10"/>
  <c r="G31" i="10"/>
  <c r="F31" i="10"/>
  <c r="E31" i="10"/>
  <c r="D31" i="10"/>
  <c r="BF29" i="10"/>
  <c r="BE29" i="10"/>
  <c r="BD29" i="10"/>
  <c r="BC29" i="10"/>
  <c r="BB29" i="10"/>
  <c r="BA29" i="10"/>
  <c r="AY29" i="10"/>
  <c r="AX29" i="10"/>
  <c r="AT29" i="10"/>
  <c r="AS29" i="10"/>
  <c r="R29" i="10"/>
  <c r="K29" i="10"/>
  <c r="J29" i="10"/>
  <c r="I29" i="10"/>
  <c r="H29" i="10"/>
  <c r="G29" i="10"/>
  <c r="F29" i="10"/>
  <c r="E29" i="10"/>
  <c r="D29" i="10"/>
  <c r="R27" i="10"/>
  <c r="O27" i="10"/>
  <c r="N27" i="10"/>
  <c r="M27" i="10"/>
  <c r="L27" i="10"/>
  <c r="K27" i="10"/>
  <c r="J27" i="10"/>
  <c r="I27" i="10"/>
  <c r="H27" i="10"/>
  <c r="G27" i="10"/>
  <c r="F27" i="10"/>
  <c r="E27" i="10"/>
  <c r="D27" i="10"/>
  <c r="BD25" i="10"/>
  <c r="BC25" i="10"/>
  <c r="BB25" i="10"/>
  <c r="BA25" i="10"/>
  <c r="AZ25" i="10"/>
  <c r="AY25" i="10"/>
  <c r="AX25" i="10"/>
  <c r="AW25" i="10"/>
  <c r="AV25" i="10"/>
  <c r="AU25" i="10"/>
  <c r="AT25" i="10"/>
  <c r="AS25" i="10"/>
  <c r="AR25" i="10"/>
  <c r="AQ25" i="10"/>
  <c r="AP25" i="10"/>
  <c r="AO25" i="10"/>
  <c r="AN25" i="10"/>
  <c r="AM25" i="10"/>
  <c r="AL25" i="10"/>
  <c r="AK25" i="10"/>
  <c r="AJ25" i="10"/>
  <c r="AI25" i="10"/>
  <c r="AH25" i="10"/>
  <c r="AG25" i="10"/>
  <c r="AF25" i="10"/>
  <c r="AE25" i="10"/>
  <c r="AD25" i="10"/>
  <c r="AC25" i="10"/>
  <c r="AB25" i="10"/>
  <c r="AA25" i="10"/>
  <c r="Z25" i="10"/>
  <c r="Y25" i="10"/>
  <c r="X25" i="10"/>
  <c r="W25" i="10"/>
  <c r="V25" i="10"/>
  <c r="U25" i="10"/>
  <c r="T25" i="10"/>
  <c r="S25" i="10"/>
  <c r="R25" i="10"/>
  <c r="J25" i="10"/>
  <c r="I25" i="10"/>
  <c r="H25" i="10"/>
  <c r="G25" i="10"/>
  <c r="F25" i="10"/>
  <c r="E25" i="10"/>
  <c r="D25" i="10"/>
  <c r="BF23" i="10"/>
  <c r="BE23" i="10"/>
  <c r="AZ23" i="10"/>
  <c r="AU23" i="10"/>
  <c r="AP23" i="10"/>
  <c r="AK23" i="10"/>
  <c r="AF23" i="10"/>
  <c r="AA23" i="10"/>
  <c r="V23" i="10"/>
  <c r="R23" i="10"/>
  <c r="K23" i="10"/>
  <c r="J23" i="10"/>
  <c r="I23" i="10"/>
  <c r="H23" i="10"/>
  <c r="G23" i="10"/>
  <c r="F23" i="10"/>
  <c r="E23" i="10"/>
  <c r="D23" i="10"/>
  <c r="AZ21" i="10"/>
  <c r="AU21" i="10"/>
  <c r="AP21" i="10"/>
  <c r="AK21" i="10"/>
  <c r="AF21" i="10"/>
  <c r="AA21" i="10"/>
  <c r="V21" i="10"/>
  <c r="R21" i="10"/>
  <c r="J21" i="10"/>
  <c r="I21" i="10"/>
  <c r="H21" i="10"/>
  <c r="G21" i="10"/>
  <c r="F21" i="10"/>
  <c r="E21" i="10"/>
  <c r="D21" i="10"/>
  <c r="AZ19" i="10"/>
  <c r="AU19" i="10"/>
  <c r="AP19" i="10"/>
  <c r="AK19" i="10"/>
  <c r="AF19" i="10"/>
  <c r="AA19" i="10"/>
  <c r="V19" i="10"/>
  <c r="R19" i="10"/>
  <c r="J19" i="10"/>
  <c r="I19" i="10"/>
  <c r="H19" i="10"/>
  <c r="G19" i="10"/>
  <c r="F19" i="10"/>
  <c r="E19" i="10"/>
  <c r="D19" i="10"/>
  <c r="BY16" i="10"/>
  <c r="BX16" i="10"/>
  <c r="BW16" i="10"/>
  <c r="BV16" i="10"/>
  <c r="BT16" i="10"/>
  <c r="BS16" i="10"/>
  <c r="BR16" i="10"/>
  <c r="BQ16" i="10"/>
  <c r="BO16" i="10"/>
  <c r="BN16" i="10"/>
  <c r="BM16" i="10"/>
  <c r="BL16" i="10"/>
  <c r="BJ16" i="10"/>
  <c r="BI16" i="10"/>
  <c r="BH16" i="10"/>
  <c r="BG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W16" i="10"/>
  <c r="V16" i="10"/>
  <c r="U16" i="10"/>
  <c r="T16" i="10"/>
  <c r="S16" i="10"/>
  <c r="J16" i="10"/>
  <c r="I16" i="10"/>
  <c r="H16" i="10"/>
  <c r="G16" i="10"/>
  <c r="F16" i="10"/>
  <c r="E16" i="10"/>
  <c r="D16" i="10"/>
  <c r="BD15" i="10"/>
  <c r="BD15" i="10" a="1"/>
  <c r="BC15" i="10"/>
  <c r="BC15" i="10" a="1"/>
  <c r="BB15" i="10"/>
  <c r="BB15" i="10" a="1"/>
  <c r="BA15" i="10"/>
  <c r="BA15" i="10" a="1"/>
  <c r="AZ15" i="10"/>
  <c r="AZ15" i="10" a="1"/>
  <c r="AY15" i="10"/>
  <c r="AY15" i="10" a="1"/>
  <c r="AX15" i="10"/>
  <c r="AX15" i="10" a="1"/>
  <c r="AW15" i="10"/>
  <c r="AW15" i="10" a="1"/>
  <c r="AV15" i="10"/>
  <c r="AV15" i="10" a="1"/>
  <c r="AU15" i="10"/>
  <c r="AU15" i="10" a="1"/>
  <c r="AT15" i="10"/>
  <c r="AT15" i="10" a="1"/>
  <c r="AS15" i="10"/>
  <c r="AS15" i="10" a="1"/>
  <c r="AR15" i="10"/>
  <c r="AR15" i="10" a="1"/>
  <c r="AQ15" i="10"/>
  <c r="AQ15" i="10" a="1"/>
  <c r="AP15" i="10"/>
  <c r="AP15" i="10" a="1"/>
  <c r="AO15" i="10"/>
  <c r="AO15" i="10" a="1"/>
  <c r="AN15" i="10"/>
  <c r="AN15" i="10" a="1"/>
  <c r="AM15" i="10"/>
  <c r="AM15" i="10" a="1"/>
  <c r="AL15" i="10"/>
  <c r="AL15" i="10" a="1"/>
  <c r="AK15" i="10"/>
  <c r="AK15" i="10" a="1"/>
  <c r="AJ15" i="10"/>
  <c r="AJ15" i="10" a="1"/>
  <c r="AI15" i="10"/>
  <c r="AI15" i="10" a="1"/>
  <c r="AH15" i="10"/>
  <c r="AH15" i="10" a="1"/>
  <c r="AG15" i="10"/>
  <c r="AG15" i="10" a="1"/>
  <c r="AF15" i="10"/>
  <c r="AF15" i="10" a="1"/>
  <c r="AE15" i="10"/>
  <c r="AE15" i="10" a="1"/>
  <c r="AD15" i="10"/>
  <c r="AD15" i="10" a="1"/>
  <c r="AC15" i="10"/>
  <c r="AC15" i="10" a="1"/>
  <c r="AB15" i="10"/>
  <c r="AB15" i="10" a="1"/>
  <c r="AA15" i="10"/>
  <c r="AA15" i="10" a="1"/>
  <c r="Z15" i="10"/>
  <c r="Z15" i="10" a="1"/>
  <c r="Y15" i="10"/>
  <c r="Y15" i="10" a="1"/>
  <c r="X15" i="10"/>
  <c r="X15" i="10" a="1"/>
  <c r="W15" i="10"/>
  <c r="W15" i="10" a="1"/>
  <c r="V15" i="10"/>
  <c r="V15" i="10" a="1"/>
  <c r="U15" i="10"/>
  <c r="U15" i="10" a="1"/>
  <c r="T15" i="10"/>
  <c r="T15" i="10" a="1"/>
  <c r="S15" i="10"/>
  <c r="S15" i="10" a="1"/>
  <c r="J15" i="10"/>
  <c r="J15" i="10" a="1"/>
  <c r="I15" i="10"/>
  <c r="I15" i="10" a="1"/>
  <c r="H15" i="10"/>
  <c r="H15" i="10" a="1"/>
  <c r="G15" i="10"/>
  <c r="G15" i="10" a="1"/>
  <c r="F15" i="10"/>
  <c r="F15" i="10" a="1"/>
  <c r="E15" i="10"/>
  <c r="E15" i="10" a="1"/>
  <c r="D15" i="10"/>
  <c r="D15" i="10" a="1"/>
  <c r="BY14" i="10"/>
  <c r="BX14" i="10"/>
  <c r="BW14" i="10"/>
  <c r="BV14" i="10"/>
  <c r="BT14" i="10"/>
  <c r="BS14" i="10"/>
  <c r="BR14" i="10"/>
  <c r="BQ14" i="10"/>
  <c r="BN14" i="10"/>
  <c r="BM14" i="10"/>
  <c r="BL14" i="10"/>
  <c r="BJ14" i="10"/>
  <c r="BI14" i="10"/>
  <c r="BH14" i="10"/>
  <c r="BG14" i="10"/>
  <c r="BE14" i="10"/>
  <c r="BD14" i="10"/>
  <c r="BC14" i="10"/>
  <c r="BB14" i="10"/>
  <c r="BA14" i="10"/>
  <c r="AZ14" i="10"/>
  <c r="AY14" i="10"/>
  <c r="AX14" i="10"/>
  <c r="AW14" i="10"/>
  <c r="AV14" i="10"/>
  <c r="AU14" i="10"/>
  <c r="AT14" i="10"/>
  <c r="AS14" i="10"/>
  <c r="AR14" i="10"/>
  <c r="AQ14" i="10"/>
  <c r="AP14" i="10"/>
  <c r="AO14" i="10"/>
  <c r="AN14" i="10"/>
  <c r="AM14" i="10"/>
  <c r="AL14" i="10"/>
  <c r="AK14" i="10"/>
  <c r="AJ14" i="10"/>
  <c r="AI14" i="10"/>
  <c r="AH14" i="10"/>
  <c r="AG14" i="10"/>
  <c r="AF14" i="10"/>
  <c r="AE14" i="10"/>
  <c r="AD14" i="10"/>
  <c r="AC14" i="10"/>
  <c r="AB14" i="10"/>
  <c r="AA14" i="10"/>
  <c r="Z14" i="10"/>
  <c r="Y14" i="10"/>
  <c r="X14" i="10"/>
  <c r="W14" i="10"/>
  <c r="V14" i="10"/>
  <c r="U14" i="10"/>
  <c r="T14" i="10"/>
  <c r="S14" i="10"/>
  <c r="J14" i="10"/>
  <c r="I14" i="10"/>
  <c r="H14" i="10"/>
  <c r="G14" i="10"/>
  <c r="F14" i="10"/>
  <c r="E14" i="10"/>
  <c r="D14" i="10"/>
  <c r="BD13" i="10"/>
  <c r="BC13" i="10"/>
  <c r="BB13" i="10"/>
  <c r="BA13" i="10"/>
  <c r="AZ13" i="10"/>
  <c r="AY13" i="10"/>
  <c r="AX13" i="10"/>
  <c r="AW13" i="10"/>
  <c r="AV13" i="10"/>
  <c r="AU13" i="10"/>
  <c r="AT13" i="10"/>
  <c r="AS13" i="10"/>
  <c r="AR13" i="10"/>
  <c r="AQ13" i="10"/>
  <c r="AP13" i="10"/>
  <c r="AO13" i="10"/>
  <c r="AN13" i="10"/>
  <c r="AM13" i="10"/>
  <c r="AL13" i="10"/>
  <c r="AK13" i="10"/>
  <c r="AJ13" i="10"/>
  <c r="AI13" i="10"/>
  <c r="AH13" i="10"/>
  <c r="AG13" i="10"/>
  <c r="AF13" i="10"/>
  <c r="AE13" i="10"/>
  <c r="AD13" i="10"/>
  <c r="AC13" i="10"/>
  <c r="AB13" i="10"/>
  <c r="AA13" i="10"/>
  <c r="Z13" i="10"/>
  <c r="Y13" i="10"/>
  <c r="X13" i="10"/>
  <c r="W13" i="10"/>
  <c r="V13" i="10"/>
  <c r="U13" i="10"/>
  <c r="T13" i="10"/>
  <c r="S13" i="10"/>
  <c r="J13" i="10"/>
  <c r="I13" i="10"/>
  <c r="H13" i="10"/>
  <c r="G13" i="10"/>
  <c r="F13" i="10"/>
  <c r="E13" i="10"/>
  <c r="D13" i="10"/>
  <c r="BD11" i="10"/>
  <c r="BC11" i="10"/>
  <c r="BB11" i="10"/>
  <c r="BA11" i="10"/>
  <c r="AZ11" i="10"/>
  <c r="AY11" i="10"/>
  <c r="AX11" i="10"/>
  <c r="AW11" i="10"/>
  <c r="AV11" i="10"/>
  <c r="AU11" i="10"/>
  <c r="AT11" i="10"/>
  <c r="AS11" i="10"/>
  <c r="AR11" i="10"/>
  <c r="AQ11" i="10"/>
  <c r="AP11" i="10"/>
  <c r="AO11" i="10"/>
  <c r="AN11" i="10"/>
  <c r="AM11" i="10"/>
  <c r="AL11" i="10"/>
  <c r="AK11" i="10"/>
  <c r="AJ11" i="10"/>
  <c r="AI11" i="10"/>
  <c r="AH11" i="10"/>
  <c r="AG11" i="10"/>
  <c r="AF11" i="10"/>
  <c r="AE11" i="10"/>
  <c r="AD11" i="10"/>
  <c r="AC11" i="10"/>
  <c r="AB11" i="10"/>
  <c r="AA11" i="10"/>
  <c r="Z11" i="10"/>
  <c r="Y11" i="10"/>
  <c r="X11" i="10"/>
  <c r="W11" i="10"/>
  <c r="V11" i="10"/>
  <c r="U11" i="10"/>
  <c r="T11" i="10"/>
  <c r="S11" i="10"/>
  <c r="R11" i="10"/>
  <c r="J11" i="10"/>
  <c r="I11" i="10"/>
  <c r="H11" i="10"/>
  <c r="G11" i="10"/>
  <c r="F11" i="10"/>
  <c r="E11" i="10"/>
  <c r="D11" i="10"/>
  <c r="J10" i="10"/>
  <c r="I10" i="10"/>
  <c r="H10" i="10"/>
  <c r="G10" i="10"/>
  <c r="F10" i="10"/>
  <c r="E10" i="10"/>
  <c r="D10" i="10"/>
  <c r="BD9" i="10"/>
  <c r="BC9" i="10"/>
  <c r="BB9" i="10"/>
  <c r="BA9" i="10"/>
  <c r="AZ9" i="10"/>
  <c r="AY9" i="10"/>
  <c r="AX9" i="10"/>
  <c r="AW9" i="10"/>
  <c r="AV9" i="10"/>
  <c r="AU9" i="10"/>
  <c r="AT9" i="10"/>
  <c r="AS9" i="10"/>
  <c r="AR9" i="10"/>
  <c r="AQ9" i="10"/>
  <c r="AP9" i="10"/>
  <c r="AO9" i="10"/>
  <c r="AN9" i="10"/>
  <c r="AM9" i="10"/>
  <c r="AL9" i="10"/>
  <c r="AK9" i="10"/>
  <c r="AJ9" i="10"/>
  <c r="AI9" i="10"/>
  <c r="AH9" i="10"/>
  <c r="AG9" i="10"/>
  <c r="AF9" i="10"/>
  <c r="AE9" i="10"/>
  <c r="AD9" i="10"/>
  <c r="AC9" i="10"/>
  <c r="AB9" i="10"/>
  <c r="AA9" i="10"/>
  <c r="Z9" i="10"/>
  <c r="Y9" i="10"/>
  <c r="X9" i="10"/>
  <c r="R9" i="10"/>
  <c r="J9" i="10"/>
  <c r="I9" i="10"/>
  <c r="H9" i="10"/>
  <c r="G9" i="10"/>
  <c r="F9" i="10"/>
  <c r="E9" i="10"/>
  <c r="BZ7" i="10"/>
  <c r="BY7" i="10"/>
  <c r="BX7" i="10"/>
  <c r="BW7" i="10"/>
  <c r="BV7" i="10"/>
  <c r="BU7" i="10"/>
  <c r="BT7" i="10"/>
  <c r="BS7" i="10"/>
  <c r="BR7" i="10"/>
  <c r="BQ7" i="10"/>
  <c r="BP7" i="10"/>
  <c r="BO7" i="10"/>
  <c r="BN7" i="10"/>
  <c r="BM7" i="10"/>
  <c r="BL7" i="10"/>
  <c r="BK7" i="10"/>
  <c r="BJ7" i="10"/>
  <c r="BI7" i="10"/>
  <c r="BH7" i="10"/>
  <c r="BG7" i="10"/>
  <c r="BF7" i="10"/>
  <c r="BE7" i="10"/>
  <c r="BD7" i="10"/>
  <c r="BC7" i="10"/>
  <c r="BB7" i="10"/>
  <c r="BA7" i="10"/>
  <c r="AZ7" i="10"/>
  <c r="AY7" i="10"/>
  <c r="AX7" i="10"/>
  <c r="AW7" i="10"/>
  <c r="AV7" i="10"/>
  <c r="AU7" i="10"/>
  <c r="AT7" i="10"/>
  <c r="AS7" i="10"/>
  <c r="AR7" i="10"/>
  <c r="AQ7" i="10"/>
  <c r="AP7" i="10"/>
  <c r="AO7" i="10"/>
  <c r="AN7" i="10"/>
  <c r="AM7" i="10"/>
  <c r="AL7" i="10"/>
  <c r="AK7" i="10"/>
  <c r="AJ7" i="10"/>
  <c r="AI7" i="10"/>
  <c r="AH7" i="10"/>
  <c r="AG7" i="10"/>
  <c r="AF7" i="10"/>
  <c r="AE7" i="10"/>
  <c r="AD7" i="10"/>
  <c r="AC7" i="10"/>
  <c r="AB7" i="10"/>
  <c r="AA7" i="10"/>
  <c r="Z7" i="10"/>
  <c r="Y7" i="10"/>
  <c r="X7" i="10"/>
  <c r="W7" i="10"/>
  <c r="V7" i="10"/>
  <c r="U7" i="10"/>
  <c r="T7" i="10"/>
  <c r="S7" i="10"/>
  <c r="O7" i="10"/>
  <c r="N7" i="10"/>
  <c r="M7" i="10"/>
  <c r="L7" i="10"/>
  <c r="K7" i="10"/>
  <c r="J7" i="10"/>
  <c r="I7" i="10"/>
  <c r="H7" i="10"/>
  <c r="G7" i="10"/>
  <c r="F7" i="10"/>
  <c r="E7" i="10"/>
  <c r="D7" i="10"/>
  <c r="BV5" i="10"/>
  <c r="BQ5" i="10"/>
  <c r="BL5" i="10"/>
  <c r="BG5" i="10"/>
  <c r="BB5" i="10"/>
  <c r="AW5" i="10"/>
  <c r="AR5" i="10"/>
  <c r="AM5" i="10"/>
  <c r="AH5" i="10"/>
  <c r="AC5" i="10"/>
  <c r="X5" i="10"/>
  <c r="S5" i="10"/>
  <c r="O5" i="10"/>
  <c r="N5" i="10"/>
  <c r="N5" i="10" a="1"/>
  <c r="H5" i="10"/>
  <c r="C5" i="10"/>
  <c r="BY4" i="10"/>
  <c r="BX4" i="10"/>
  <c r="R4" i="10"/>
  <c r="N4" i="10"/>
  <c r="N4" i="10" a="1"/>
  <c r="C4" i="10"/>
  <c r="BX3" i="10"/>
  <c r="BS3" i="10"/>
  <c r="R3" i="10"/>
  <c r="O3" i="10"/>
  <c r="BS145" i="10"/>
  <c r="C3" i="10"/>
  <c r="F15" i="5"/>
  <c r="O12" i="5"/>
  <c r="I12" i="5"/>
  <c r="O11" i="5"/>
  <c r="I11" i="5"/>
  <c r="C11" i="5"/>
  <c r="N9" i="5"/>
  <c r="K9" i="5"/>
  <c r="I9" i="5"/>
  <c r="N8" i="5"/>
  <c r="I8" i="5"/>
  <c r="C8" i="5"/>
  <c r="AH3" i="5"/>
  <c r="S3" i="5"/>
  <c r="BJ133" i="10"/>
  <c r="BJ78" i="10"/>
  <c r="BL99" i="10"/>
  <c r="BE145" i="10"/>
  <c r="BE144" i="10"/>
  <c r="BI151" i="10"/>
  <c r="BI150" i="10"/>
  <c r="BE85" i="10"/>
  <c r="BM99" i="10"/>
  <c r="BJ151" i="10"/>
  <c r="BN99" i="10"/>
  <c r="BM145" i="10"/>
  <c r="BJ99" i="10"/>
  <c r="BG85" i="10"/>
  <c r="BO99" i="10"/>
  <c r="N73" i="8"/>
  <c r="M73" i="8"/>
  <c r="K73" i="8"/>
  <c r="O71" i="8"/>
  <c r="M71" i="8"/>
  <c r="O3" i="12"/>
  <c r="O74" i="8"/>
  <c r="O3" i="16"/>
  <c r="L72" i="8"/>
  <c r="M74" i="8"/>
  <c r="N72" i="8"/>
  <c r="L74" i="8"/>
  <c r="M72" i="8"/>
  <c r="K74" i="8"/>
  <c r="K72" i="8"/>
  <c r="O3" i="7"/>
  <c r="BG133" i="6"/>
  <c r="BJ133" i="6"/>
  <c r="N71" i="8"/>
  <c r="L73" i="8"/>
  <c r="BL72" i="6"/>
  <c r="BM71" i="6"/>
  <c r="BO133" i="6"/>
  <c r="O73" i="8"/>
  <c r="BR133" i="6"/>
  <c r="BN73" i="6"/>
  <c r="BN72" i="6"/>
  <c r="BL71" i="6"/>
  <c r="K71" i="8"/>
  <c r="BN133" i="6"/>
  <c r="BT73" i="6"/>
  <c r="BU73" i="6"/>
  <c r="BS72" i="6"/>
  <c r="N74" i="8"/>
  <c r="BR73" i="6"/>
  <c r="BJ71" i="6"/>
  <c r="BO73" i="6"/>
  <c r="BP73" i="6"/>
  <c r="BG71" i="6"/>
  <c r="BL73" i="6"/>
  <c r="BG72" i="6"/>
  <c r="O72" i="8"/>
  <c r="BS133" i="6"/>
  <c r="BI73" i="6"/>
  <c r="BE72" i="6"/>
  <c r="BY71" i="6"/>
  <c r="BM133" i="6"/>
  <c r="O84" i="6"/>
  <c r="BG73" i="6"/>
  <c r="BW71" i="6"/>
  <c r="M84" i="6"/>
  <c r="BE73" i="6"/>
  <c r="L71" i="8"/>
  <c r="BE133" i="6"/>
  <c r="BE37" i="6"/>
  <c r="BY72" i="6"/>
  <c r="BZ72" i="6"/>
  <c r="BI71" i="6"/>
  <c r="BT157" i="10"/>
  <c r="BL145" i="10"/>
  <c r="BH139" i="10"/>
  <c r="BH138" i="10"/>
  <c r="BY133" i="6"/>
  <c r="BQ72" i="6"/>
  <c r="BG157" i="10"/>
  <c r="BG156" i="10"/>
  <c r="BX151" i="10"/>
  <c r="BR145" i="10"/>
  <c r="BY106" i="10"/>
  <c r="BY99" i="10"/>
  <c r="BY92" i="10"/>
  <c r="BY85" i="10"/>
  <c r="BW133" i="6"/>
  <c r="BJ73" i="6"/>
  <c r="BK73" i="6"/>
  <c r="BO71" i="6"/>
  <c r="BI157" i="10"/>
  <c r="BI156" i="10"/>
  <c r="BV151" i="10"/>
  <c r="BN145" i="10"/>
  <c r="BR133" i="10"/>
  <c r="BW106" i="10"/>
  <c r="BT99" i="10"/>
  <c r="BV133" i="6"/>
  <c r="BX73" i="6"/>
  <c r="BH72" i="6"/>
  <c r="O79" i="6"/>
  <c r="BW72" i="6"/>
  <c r="BV157" i="10"/>
  <c r="BG151" i="10"/>
  <c r="BG150" i="10"/>
  <c r="BV145" i="10"/>
  <c r="BI139" i="10"/>
  <c r="BI138" i="10"/>
  <c r="BV133" i="10"/>
  <c r="BV99" i="10"/>
  <c r="BQ92" i="10"/>
  <c r="BN85" i="10"/>
  <c r="BN78" i="10"/>
  <c r="BX59" i="10"/>
  <c r="BX42" i="10"/>
  <c r="BE52" i="10"/>
  <c r="BS44" i="10"/>
  <c r="N79" i="6"/>
  <c r="BV72" i="6"/>
  <c r="BG139" i="10"/>
  <c r="BG138" i="10"/>
  <c r="BE106" i="10"/>
  <c r="BM85" i="10"/>
  <c r="BM78" i="10"/>
  <c r="O71" i="10"/>
  <c r="BY71" i="10"/>
  <c r="BW59" i="10"/>
  <c r="BW42" i="10"/>
  <c r="BR44" i="10"/>
  <c r="BX133" i="6"/>
  <c r="M79" i="6"/>
  <c r="BS157" i="10"/>
  <c r="BE151" i="10"/>
  <c r="BE150" i="10"/>
  <c r="BT145" i="10"/>
  <c r="BT133" i="10"/>
  <c r="BS99" i="10"/>
  <c r="BO92" i="10"/>
  <c r="BL85" i="10"/>
  <c r="BL78" i="10"/>
  <c r="BV59" i="10"/>
  <c r="BV42" i="10"/>
  <c r="BY52" i="10"/>
  <c r="BQ44" i="10"/>
  <c r="BQ133" i="6"/>
  <c r="K79" i="6"/>
  <c r="BR72" i="6"/>
  <c r="BL133" i="6"/>
  <c r="BO72" i="6"/>
  <c r="BP72" i="6"/>
  <c r="BI72" i="6"/>
  <c r="BX71" i="6"/>
  <c r="L84" i="6"/>
  <c r="BQ73" i="6"/>
  <c r="BN71" i="6"/>
  <c r="BT72" i="6"/>
  <c r="BU72" i="6"/>
  <c r="BV71" i="6"/>
  <c r="BH151" i="10"/>
  <c r="BH150" i="10"/>
  <c r="BJ145" i="10"/>
  <c r="BT139" i="10"/>
  <c r="BW133" i="10"/>
  <c r="BR106" i="10"/>
  <c r="BX99" i="10"/>
  <c r="BG92" i="10"/>
  <c r="BQ85" i="10"/>
  <c r="BS52" i="10"/>
  <c r="BT59" i="10"/>
  <c r="BT42" i="10"/>
  <c r="BR52" i="10"/>
  <c r="BY44" i="10"/>
  <c r="C37" i="10"/>
  <c r="C114" i="10"/>
  <c r="R114" i="10"/>
  <c r="BM72" i="6"/>
  <c r="BT71" i="6"/>
  <c r="BI145" i="10"/>
  <c r="BI144" i="10"/>
  <c r="BS139" i="10"/>
  <c r="BS133" i="10"/>
  <c r="BQ106" i="10"/>
  <c r="BW99" i="10"/>
  <c r="BJ72" i="6"/>
  <c r="BK72" i="6"/>
  <c r="BS71" i="6"/>
  <c r="BH145" i="10"/>
  <c r="BH144" i="10"/>
  <c r="BR139" i="10"/>
  <c r="BQ133" i="10"/>
  <c r="BR99" i="10"/>
  <c r="BE92" i="10"/>
  <c r="BO85" i="10"/>
  <c r="BY78" i="10"/>
  <c r="BS59" i="10"/>
  <c r="BS42" i="10"/>
  <c r="BQ52" i="10"/>
  <c r="BX44" i="10"/>
  <c r="BI133" i="6"/>
  <c r="BH73" i="6"/>
  <c r="BM151" i="10"/>
  <c r="BQ145" i="10"/>
  <c r="BY139" i="10"/>
  <c r="BX106" i="10"/>
  <c r="BL92" i="10"/>
  <c r="BV85" i="10"/>
  <c r="BG78" i="10"/>
  <c r="BX52" i="10"/>
  <c r="BE157" i="10"/>
  <c r="BE156" i="10"/>
  <c r="BX133" i="10"/>
  <c r="BI106" i="10"/>
  <c r="BT78" i="10"/>
  <c r="BL52" i="10"/>
  <c r="BX72" i="6"/>
  <c r="BR151" i="10"/>
  <c r="BO145" i="10"/>
  <c r="BT133" i="6"/>
  <c r="BV73" i="6"/>
  <c r="BX145" i="10"/>
  <c r="BQ99" i="10"/>
  <c r="BT92" i="10"/>
  <c r="BI44" i="10"/>
  <c r="BH133" i="6"/>
  <c r="N84" i="6"/>
  <c r="BS73" i="6"/>
  <c r="BW145" i="10"/>
  <c r="BO139" i="10"/>
  <c r="BS92" i="10"/>
  <c r="BE59" i="10"/>
  <c r="BT52" i="10"/>
  <c r="BH44" i="10"/>
  <c r="BM73" i="6"/>
  <c r="BW151" i="10"/>
  <c r="BM139" i="10"/>
  <c r="BQ71" i="6"/>
  <c r="BT151" i="10"/>
  <c r="BJ139" i="10"/>
  <c r="BH71" i="6"/>
  <c r="BY157" i="10"/>
  <c r="BS151" i="10"/>
  <c r="BG145" i="10"/>
  <c r="BG144" i="10"/>
  <c r="BE139" i="10"/>
  <c r="BE138" i="10"/>
  <c r="BJ92" i="10"/>
  <c r="BX78" i="10"/>
  <c r="L79" i="6"/>
  <c r="BR157" i="10"/>
  <c r="BN151" i="10"/>
  <c r="K84" i="6"/>
  <c r="BI99" i="10"/>
  <c r="BV78" i="10"/>
  <c r="BQ59" i="10"/>
  <c r="BQ42" i="10"/>
  <c r="BH99" i="10"/>
  <c r="BG99" i="10"/>
  <c r="BS78" i="10"/>
  <c r="BO59" i="10"/>
  <c r="BO42" i="10"/>
  <c r="BX157" i="10"/>
  <c r="BR78" i="10"/>
  <c r="BN59" i="10"/>
  <c r="BN42" i="10"/>
  <c r="BW157" i="10"/>
  <c r="BX139" i="10"/>
  <c r="BE99" i="10"/>
  <c r="BQ78" i="10"/>
  <c r="BM59" i="10"/>
  <c r="BM42" i="10"/>
  <c r="BQ157" i="10"/>
  <c r="BW139" i="10"/>
  <c r="BV106" i="10"/>
  <c r="BX92" i="10"/>
  <c r="BL59" i="10"/>
  <c r="BL42" i="10"/>
  <c r="BT3" i="10"/>
  <c r="BO157" i="10"/>
  <c r="BW92" i="10"/>
  <c r="BO78" i="10"/>
  <c r="BW52" i="10"/>
  <c r="BV139" i="10"/>
  <c r="BN157" i="10"/>
  <c r="BT106" i="10"/>
  <c r="BV92" i="10"/>
  <c r="BJ59" i="10"/>
  <c r="BJ42" i="10"/>
  <c r="BV52" i="10"/>
  <c r="BL157" i="10"/>
  <c r="BN139" i="10"/>
  <c r="BO106" i="10"/>
  <c r="BR92" i="10"/>
  <c r="BW85" i="10"/>
  <c r="BI78" i="10"/>
  <c r="BH59" i="10"/>
  <c r="BO52" i="10"/>
  <c r="BV44" i="10"/>
  <c r="BY151" i="10"/>
  <c r="BL139" i="10"/>
  <c r="BY133" i="10"/>
  <c r="BN106" i="10"/>
  <c r="BN92" i="10"/>
  <c r="BT85" i="10"/>
  <c r="BH78" i="10"/>
  <c r="BG59" i="10"/>
  <c r="BN52" i="10"/>
  <c r="BJ157" i="10"/>
  <c r="BO133" i="10"/>
  <c r="BM106" i="10"/>
  <c r="BM92" i="10"/>
  <c r="BS85" i="10"/>
  <c r="BM52" i="10"/>
  <c r="BT44" i="10"/>
  <c r="BH157" i="10"/>
  <c r="BH156" i="10"/>
  <c r="BQ151" i="10"/>
  <c r="BN133" i="10"/>
  <c r="BL106" i="10"/>
  <c r="BR85" i="10"/>
  <c r="BE78" i="10"/>
  <c r="BJ52" i="10"/>
  <c r="BY73" i="6"/>
  <c r="BZ73" i="6"/>
  <c r="BO151" i="10"/>
  <c r="BM133" i="10"/>
  <c r="BI92" i="10"/>
  <c r="BI52" i="10"/>
  <c r="BO44" i="10"/>
  <c r="BW73" i="6"/>
  <c r="O3" i="3"/>
  <c r="BL151" i="10"/>
  <c r="BL133" i="10"/>
  <c r="BJ106" i="10"/>
  <c r="BH92" i="10"/>
  <c r="BJ85" i="10"/>
  <c r="BH52" i="10"/>
  <c r="BN44" i="10"/>
  <c r="BR71" i="6"/>
  <c r="BH106" i="10"/>
  <c r="BI85" i="10"/>
  <c r="BG52" i="10"/>
  <c r="BM44" i="10"/>
  <c r="BW78" i="10"/>
  <c r="BH85" i="10"/>
  <c r="BY145" i="10"/>
  <c r="BX85" i="10"/>
  <c r="BE44" i="10"/>
  <c r="BQ139" i="10"/>
  <c r="BL44" i="10"/>
  <c r="BI59" i="10"/>
  <c r="BG44" i="10"/>
  <c r="BE71" i="6"/>
  <c r="BJ44" i="10"/>
  <c r="BW44" i="10"/>
  <c r="BR59" i="10"/>
  <c r="BR42" i="10"/>
  <c r="BY59" i="10"/>
  <c r="BY42" i="10"/>
  <c r="BE133" i="10"/>
  <c r="BE132" i="10"/>
  <c r="BJ116" i="10"/>
  <c r="BM157" i="10"/>
  <c r="BG133" i="10"/>
  <c r="BG132" i="10"/>
  <c r="BG106" i="10"/>
  <c r="BH133" i="10"/>
  <c r="BH132" i="10"/>
  <c r="BS106" i="10"/>
  <c r="BI133" i="10"/>
  <c r="BI132" i="10"/>
  <c r="BN132" i="10"/>
  <c r="BS132" i="10"/>
  <c r="BX132" i="10"/>
  <c r="BN156" i="10"/>
  <c r="BS156" i="10"/>
  <c r="BX156" i="10"/>
  <c r="BN144" i="10"/>
  <c r="BS144" i="10"/>
  <c r="BX144" i="10"/>
  <c r="BM138" i="10"/>
  <c r="BR138" i="10"/>
  <c r="BE120" i="10"/>
  <c r="BW120" i="10"/>
  <c r="BF37" i="6"/>
  <c r="BS3" i="16"/>
  <c r="BY54" i="16"/>
  <c r="BY98" i="16"/>
  <c r="O54" i="16"/>
  <c r="O98" i="16"/>
  <c r="BN118" i="10"/>
  <c r="BX117" i="10"/>
  <c r="BM117" i="10"/>
  <c r="BJ39" i="10"/>
  <c r="BJ51" i="10"/>
  <c r="BJ41" i="10"/>
  <c r="BL138" i="10"/>
  <c r="L75" i="8"/>
  <c r="L39" i="8"/>
  <c r="L23" i="12"/>
  <c r="K75" i="8"/>
  <c r="BX120" i="10"/>
  <c r="BE116" i="10"/>
  <c r="M75" i="8"/>
  <c r="M39" i="8"/>
  <c r="M23" i="12"/>
  <c r="BX116" i="10"/>
  <c r="BG41" i="10"/>
  <c r="BG51" i="10"/>
  <c r="BG39" i="10"/>
  <c r="BV120" i="10"/>
  <c r="BJ118" i="10"/>
  <c r="BH42" i="10"/>
  <c r="BH58" i="10"/>
  <c r="BL144" i="10"/>
  <c r="BM116" i="10"/>
  <c r="AA10" i="12" a="1"/>
  <c r="AA10" i="12"/>
  <c r="AA3" i="12"/>
  <c r="AN3" i="12"/>
  <c r="R12" i="12" a="1"/>
  <c r="R12" i="12"/>
  <c r="R18" i="12" a="1"/>
  <c r="R18" i="12"/>
  <c r="AA18" i="12" a="1"/>
  <c r="AA18" i="12"/>
  <c r="AA12" i="12" a="1"/>
  <c r="AA12" i="12"/>
  <c r="R10" i="12" a="1"/>
  <c r="R10" i="12"/>
  <c r="BM132" i="10"/>
  <c r="BR132" i="10"/>
  <c r="BW132" i="10"/>
  <c r="BT118" i="10"/>
  <c r="BQ116" i="10"/>
  <c r="BI118" i="10"/>
  <c r="BI119" i="10"/>
  <c r="BL118" i="10"/>
  <c r="BW116" i="10"/>
  <c r="BF73" i="6"/>
  <c r="BE48" i="6"/>
  <c r="BF48" i="6"/>
  <c r="BS120" i="10"/>
  <c r="BL120" i="10"/>
  <c r="BJ138" i="10"/>
  <c r="BO138" i="10"/>
  <c r="BT138" i="10"/>
  <c r="BY138" i="10"/>
  <c r="BF138" i="10"/>
  <c r="BQ119" i="10"/>
  <c r="O75" i="8"/>
  <c r="BG120" i="10"/>
  <c r="BI117" i="10"/>
  <c r="BQ39" i="10"/>
  <c r="BQ41" i="10"/>
  <c r="BS41" i="10"/>
  <c r="BS39" i="10"/>
  <c r="BY39" i="10"/>
  <c r="BY41" i="10"/>
  <c r="BE41" i="10"/>
  <c r="BE39" i="10"/>
  <c r="BP71" i="6"/>
  <c r="BL132" i="10"/>
  <c r="BH120" i="10"/>
  <c r="BW117" i="10"/>
  <c r="BQ117" i="10"/>
  <c r="BR118" i="10"/>
  <c r="BI116" i="10"/>
  <c r="BZ71" i="6"/>
  <c r="BM156" i="10"/>
  <c r="BR156" i="10"/>
  <c r="BW156" i="10"/>
  <c r="BE119" i="10"/>
  <c r="BY116" i="10"/>
  <c r="BG118" i="10"/>
  <c r="BL116" i="10"/>
  <c r="BN116" i="10"/>
  <c r="BO120" i="10"/>
  <c r="BO117" i="10"/>
  <c r="BX119" i="10"/>
  <c r="BL117" i="10"/>
  <c r="BN117" i="10"/>
  <c r="BY117" i="10"/>
  <c r="BO119" i="10"/>
  <c r="BH41" i="10"/>
  <c r="BH51" i="10"/>
  <c r="BH39" i="10"/>
  <c r="BM41" i="10"/>
  <c r="BM39" i="10"/>
  <c r="BE118" i="10"/>
  <c r="BR120" i="10"/>
  <c r="BO118" i="10"/>
  <c r="BQ118" i="10"/>
  <c r="BY118" i="10"/>
  <c r="BE49" i="6"/>
  <c r="BF49" i="6"/>
  <c r="BF72" i="6"/>
  <c r="BG117" i="10"/>
  <c r="BF132" i="10"/>
  <c r="BJ132" i="10"/>
  <c r="BO132" i="10"/>
  <c r="BT132" i="10"/>
  <c r="BY132" i="10"/>
  <c r="BJ117" i="10"/>
  <c r="BS117" i="10"/>
  <c r="BR119" i="10"/>
  <c r="BS119" i="10"/>
  <c r="BV119" i="10"/>
  <c r="BY119" i="10"/>
  <c r="BJ119" i="10"/>
  <c r="BH118" i="10"/>
  <c r="BM118" i="10"/>
  <c r="BV39" i="10"/>
  <c r="BV41" i="10"/>
  <c r="BR116" i="10"/>
  <c r="BL39" i="10"/>
  <c r="BL41" i="10"/>
  <c r="BY120" i="10"/>
  <c r="N75" i="8"/>
  <c r="BJ120" i="10"/>
  <c r="BM120" i="10"/>
  <c r="BT116" i="10"/>
  <c r="BN138" i="10"/>
  <c r="BS138" i="10"/>
  <c r="BX138" i="10"/>
  <c r="BN119" i="10"/>
  <c r="BV118" i="10"/>
  <c r="BI120" i="10"/>
  <c r="BM144" i="10"/>
  <c r="BR144" i="10"/>
  <c r="BW144" i="10"/>
  <c r="BM150" i="10"/>
  <c r="BR150" i="10"/>
  <c r="BW150" i="10"/>
  <c r="BF150" i="10"/>
  <c r="BJ150" i="10"/>
  <c r="BO150" i="10"/>
  <c r="BT150" i="10"/>
  <c r="BY150" i="10"/>
  <c r="BT120" i="10"/>
  <c r="BS116" i="10"/>
  <c r="BL150" i="10"/>
  <c r="BL156" i="10"/>
  <c r="O3" i="8"/>
  <c r="O49" i="7"/>
  <c r="O91" i="7"/>
  <c r="BS3" i="7"/>
  <c r="BY49" i="7"/>
  <c r="BY91" i="7"/>
  <c r="BM119" i="10"/>
  <c r="BE47" i="6"/>
  <c r="BF71" i="6"/>
  <c r="O3" i="6"/>
  <c r="BS3" i="3"/>
  <c r="O54" i="3"/>
  <c r="O98" i="3"/>
  <c r="BN39" i="10"/>
  <c r="BN41" i="10"/>
  <c r="BG119" i="10"/>
  <c r="BF156" i="10"/>
  <c r="BJ156" i="10"/>
  <c r="BO156" i="10"/>
  <c r="BT156" i="10"/>
  <c r="BY156" i="10"/>
  <c r="BE117" i="10"/>
  <c r="BW118" i="10"/>
  <c r="BT119" i="10"/>
  <c r="BO41" i="10"/>
  <c r="BO39" i="10"/>
  <c r="BG42" i="10"/>
  <c r="BG58" i="10"/>
  <c r="BH119" i="10"/>
  <c r="BT39" i="10"/>
  <c r="BT41" i="10"/>
  <c r="BX39" i="10"/>
  <c r="BX41" i="10"/>
  <c r="BW119" i="10"/>
  <c r="BN150" i="10"/>
  <c r="BS150" i="10"/>
  <c r="BX150" i="10"/>
  <c r="BN120" i="10"/>
  <c r="BU71" i="6"/>
  <c r="BH117" i="10"/>
  <c r="BX118" i="10"/>
  <c r="BR117" i="10"/>
  <c r="BI58" i="10"/>
  <c r="BI42" i="10"/>
  <c r="BH116" i="10"/>
  <c r="BW39" i="10"/>
  <c r="BW41" i="10"/>
  <c r="BE42" i="10"/>
  <c r="BE58" i="10"/>
  <c r="BG116" i="10"/>
  <c r="BQ120" i="10"/>
  <c r="BW138" i="10"/>
  <c r="BK71" i="6"/>
  <c r="BJ144" i="10"/>
  <c r="BO144" i="10"/>
  <c r="BT144" i="10"/>
  <c r="BY144" i="10"/>
  <c r="BF144" i="10"/>
  <c r="K85" i="6"/>
  <c r="BR41" i="10"/>
  <c r="BR39" i="10"/>
  <c r="BI51" i="10"/>
  <c r="BI41" i="10"/>
  <c r="BI39" i="10"/>
  <c r="BT117" i="10"/>
  <c r="BO116" i="10"/>
  <c r="BV116" i="10"/>
  <c r="BS118" i="10"/>
  <c r="BV117" i="10"/>
  <c r="BL119" i="10"/>
  <c r="BK150" i="10"/>
  <c r="BK144" i="10"/>
  <c r="BK145" i="10"/>
  <c r="BK138" i="10"/>
  <c r="BK139" i="10"/>
  <c r="BE45" i="10"/>
  <c r="BF58" i="10"/>
  <c r="BE19" i="10"/>
  <c r="BJ58" i="10"/>
  <c r="BF157" i="10"/>
  <c r="K156" i="10"/>
  <c r="K157" i="10"/>
  <c r="N39" i="8"/>
  <c r="N23" i="12"/>
  <c r="BP138" i="10"/>
  <c r="BQ138" i="10"/>
  <c r="O39" i="8"/>
  <c r="O23" i="12"/>
  <c r="R23" i="12"/>
  <c r="S23" i="12"/>
  <c r="T23" i="12"/>
  <c r="U23" i="12"/>
  <c r="V23" i="12"/>
  <c r="W23" i="12"/>
  <c r="X23" i="12"/>
  <c r="Y23" i="12"/>
  <c r="Z23" i="12"/>
  <c r="AA23" i="12"/>
  <c r="AC23" i="12"/>
  <c r="AD23" i="12"/>
  <c r="AE23" i="12"/>
  <c r="AF23" i="12"/>
  <c r="AG23" i="12"/>
  <c r="AH23" i="12"/>
  <c r="AI23" i="12"/>
  <c r="AJ23" i="12"/>
  <c r="AK23" i="12"/>
  <c r="AL23" i="12"/>
  <c r="AM23" i="12"/>
  <c r="AN23" i="12"/>
  <c r="BF151" i="10"/>
  <c r="K150" i="10"/>
  <c r="K151" i="10"/>
  <c r="BJ23" i="10"/>
  <c r="BO51" i="10"/>
  <c r="BM51" i="10"/>
  <c r="BH23" i="10"/>
  <c r="BY54" i="3"/>
  <c r="BY98" i="3"/>
  <c r="BS3" i="6"/>
  <c r="BY59" i="6"/>
  <c r="BF139" i="10"/>
  <c r="K138" i="10"/>
  <c r="K139" i="10"/>
  <c r="BL51" i="10"/>
  <c r="BG23" i="10"/>
  <c r="BK51" i="10"/>
  <c r="BN51" i="10"/>
  <c r="BI23" i="10"/>
  <c r="BI19" i="10"/>
  <c r="BI45" i="10"/>
  <c r="BI21" i="10"/>
  <c r="BN58" i="10"/>
  <c r="BQ132" i="10"/>
  <c r="BP132" i="10"/>
  <c r="BG45" i="10"/>
  <c r="BG19" i="10"/>
  <c r="BL58" i="10"/>
  <c r="BK58" i="10"/>
  <c r="BK132" i="10"/>
  <c r="S10" i="12"/>
  <c r="S13" i="12"/>
  <c r="R37" i="12"/>
  <c r="BF47" i="6"/>
  <c r="K132" i="10"/>
  <c r="K133" i="10"/>
  <c r="BF133" i="10"/>
  <c r="AA38" i="12"/>
  <c r="AC12" i="12"/>
  <c r="K33" i="12"/>
  <c r="L78" i="6"/>
  <c r="L85" i="6"/>
  <c r="AA40" i="12"/>
  <c r="AC18" i="12"/>
  <c r="R40" i="12"/>
  <c r="S18" i="12"/>
  <c r="K144" i="10"/>
  <c r="K145" i="10"/>
  <c r="BF145" i="10"/>
  <c r="BG48" i="6"/>
  <c r="BH48" i="6"/>
  <c r="BI48" i="6"/>
  <c r="BJ48" i="6"/>
  <c r="BK48" i="6"/>
  <c r="K48" i="6"/>
  <c r="S12" i="12"/>
  <c r="R38" i="12"/>
  <c r="BG49" i="6"/>
  <c r="BH49" i="6"/>
  <c r="BI49" i="6"/>
  <c r="BJ49" i="6"/>
  <c r="BK49" i="6"/>
  <c r="K49" i="6"/>
  <c r="BI3" i="8"/>
  <c r="BN49" i="8"/>
  <c r="O49" i="8"/>
  <c r="O88" i="8"/>
  <c r="BJ88" i="8"/>
  <c r="AC10" i="12"/>
  <c r="AA37" i="12"/>
  <c r="BF133" i="6"/>
  <c r="K37" i="6"/>
  <c r="BG37" i="6"/>
  <c r="BP156" i="10"/>
  <c r="BQ156" i="10"/>
  <c r="BK156" i="10"/>
  <c r="L150" i="10"/>
  <c r="BK151" i="10"/>
  <c r="BQ150" i="10"/>
  <c r="BP150" i="10"/>
  <c r="BQ144" i="10"/>
  <c r="BP144" i="10"/>
  <c r="BH19" i="10"/>
  <c r="BH45" i="10"/>
  <c r="BH21" i="10"/>
  <c r="BM58" i="10"/>
  <c r="L144" i="10"/>
  <c r="L145" i="10"/>
  <c r="L138" i="10"/>
  <c r="L139" i="10"/>
  <c r="BF59" i="10"/>
  <c r="BF42" i="10"/>
  <c r="K42" i="10"/>
  <c r="K58" i="10"/>
  <c r="K59" i="10"/>
  <c r="BF19" i="10"/>
  <c r="BE21" i="10"/>
  <c r="BF45" i="10"/>
  <c r="BF44" i="10"/>
  <c r="K44" i="10"/>
  <c r="AD10" i="12"/>
  <c r="AC37" i="12"/>
  <c r="BY102" i="6"/>
  <c r="O59" i="6"/>
  <c r="O102" i="6"/>
  <c r="BM45" i="10"/>
  <c r="BM21" i="10"/>
  <c r="BR58" i="10"/>
  <c r="BM19" i="10"/>
  <c r="K47" i="6"/>
  <c r="BG47" i="6"/>
  <c r="BH40" i="10" a="1"/>
  <c r="BH40" i="10"/>
  <c r="BH29" i="10"/>
  <c r="BH25" i="10"/>
  <c r="BH13" i="10"/>
  <c r="T13" i="12"/>
  <c r="S39" i="12"/>
  <c r="BM23" i="10"/>
  <c r="BR51" i="10"/>
  <c r="BL49" i="6"/>
  <c r="BM49" i="6"/>
  <c r="BN49" i="6"/>
  <c r="BO49" i="6"/>
  <c r="BP49" i="6"/>
  <c r="L49" i="6"/>
  <c r="T10" i="12"/>
  <c r="S37" i="12"/>
  <c r="BO23" i="10"/>
  <c r="BT51" i="10"/>
  <c r="BP145" i="10"/>
  <c r="M144" i="10"/>
  <c r="L132" i="10"/>
  <c r="L133" i="10"/>
  <c r="BK133" i="10"/>
  <c r="BJ29" i="10"/>
  <c r="BV144" i="10"/>
  <c r="BZ144" i="10"/>
  <c r="BU144" i="10"/>
  <c r="L58" i="10"/>
  <c r="L59" i="10"/>
  <c r="BK59" i="10"/>
  <c r="BK42" i="10"/>
  <c r="L42" i="10"/>
  <c r="BK19" i="10"/>
  <c r="L19" i="10"/>
  <c r="F195" i="7"/>
  <c r="BP151" i="10"/>
  <c r="M150" i="10"/>
  <c r="M151" i="10"/>
  <c r="S38" i="12"/>
  <c r="T12" i="12"/>
  <c r="BL45" i="10"/>
  <c r="BQ58" i="10"/>
  <c r="BL19" i="10"/>
  <c r="BV150" i="10"/>
  <c r="BZ150" i="10"/>
  <c r="BU150" i="10"/>
  <c r="K72" i="6"/>
  <c r="L48" i="6"/>
  <c r="BL48" i="6"/>
  <c r="BM48" i="6"/>
  <c r="BN48" i="6"/>
  <c r="BO48" i="6"/>
  <c r="BP48" i="6"/>
  <c r="BG21" i="10"/>
  <c r="BU138" i="10"/>
  <c r="BV138" i="10"/>
  <c r="BZ138" i="10"/>
  <c r="BP133" i="10"/>
  <c r="M132" i="10"/>
  <c r="M133" i="10"/>
  <c r="M138" i="10"/>
  <c r="BP139" i="10"/>
  <c r="BV132" i="10"/>
  <c r="BZ132" i="10"/>
  <c r="BU132" i="10"/>
  <c r="L151" i="10"/>
  <c r="S40" i="12"/>
  <c r="T18" i="12"/>
  <c r="BS58" i="10"/>
  <c r="BN45" i="10"/>
  <c r="BN21" i="10"/>
  <c r="BN19" i="10"/>
  <c r="L156" i="10"/>
  <c r="L157" i="10"/>
  <c r="BK157" i="10"/>
  <c r="BI40" i="10" a="1"/>
  <c r="BI40" i="10"/>
  <c r="BV156" i="10"/>
  <c r="BZ156" i="10"/>
  <c r="BU156" i="10"/>
  <c r="AD18" i="12"/>
  <c r="AC40" i="12"/>
  <c r="M156" i="10"/>
  <c r="BP157" i="10"/>
  <c r="BI29" i="10"/>
  <c r="BI25" i="10"/>
  <c r="BI13" i="10"/>
  <c r="BH37" i="6"/>
  <c r="L33" i="12"/>
  <c r="M78" i="6"/>
  <c r="M85" i="6"/>
  <c r="BS51" i="10"/>
  <c r="BN23" i="10"/>
  <c r="L51" i="10"/>
  <c r="L52" i="10"/>
  <c r="BK52" i="10"/>
  <c r="BK23" i="10"/>
  <c r="AD12" i="12"/>
  <c r="AC38" i="12"/>
  <c r="BG29" i="10"/>
  <c r="BJ45" i="10"/>
  <c r="BJ21" i="10"/>
  <c r="BO58" i="10"/>
  <c r="BJ19" i="10"/>
  <c r="K133" i="6"/>
  <c r="BL23" i="10"/>
  <c r="BQ51" i="10"/>
  <c r="BP51" i="10"/>
  <c r="BE25" i="10"/>
  <c r="M145" i="10"/>
  <c r="L72" i="6"/>
  <c r="M139" i="10"/>
  <c r="M157" i="10"/>
  <c r="BH15" i="10" a="1"/>
  <c r="BH15" i="10"/>
  <c r="BH11" i="10"/>
  <c r="BI15" i="10" a="1"/>
  <c r="BI15" i="10"/>
  <c r="BI11" i="10"/>
  <c r="BZ133" i="10"/>
  <c r="O132" i="10"/>
  <c r="M51" i="10"/>
  <c r="M52" i="10"/>
  <c r="BP23" i="10"/>
  <c r="BP52" i="10"/>
  <c r="T39" i="12"/>
  <c r="U13" i="12"/>
  <c r="BQ23" i="10"/>
  <c r="BV51" i="10"/>
  <c r="BU51" i="10"/>
  <c r="BH36" i="10"/>
  <c r="BL29" i="10"/>
  <c r="BI36" i="10"/>
  <c r="O138" i="10"/>
  <c r="O139" i="10"/>
  <c r="BZ139" i="10"/>
  <c r="BU145" i="10"/>
  <c r="N144" i="10"/>
  <c r="N145" i="10"/>
  <c r="BJ36" i="10"/>
  <c r="AE18" i="12"/>
  <c r="AD40" i="12"/>
  <c r="BU139" i="10"/>
  <c r="N138" i="10"/>
  <c r="N139" i="10"/>
  <c r="O144" i="10"/>
  <c r="BZ145" i="10"/>
  <c r="BT58" i="10"/>
  <c r="BO19" i="10"/>
  <c r="BO45" i="10"/>
  <c r="BO21" i="10"/>
  <c r="N156" i="10"/>
  <c r="N157" i="10"/>
  <c r="BU157" i="10"/>
  <c r="BG40" i="10" a="1"/>
  <c r="BG40" i="10"/>
  <c r="BJ25" i="10"/>
  <c r="BJ13" i="10"/>
  <c r="BJ40" i="10" a="1"/>
  <c r="BJ40" i="10"/>
  <c r="BZ157" i="10"/>
  <c r="O156" i="10"/>
  <c r="O157" i="10"/>
  <c r="BK45" i="10"/>
  <c r="BH47" i="6"/>
  <c r="BG25" i="10"/>
  <c r="BG13" i="10"/>
  <c r="M48" i="6"/>
  <c r="BQ48" i="6"/>
  <c r="BR48" i="6"/>
  <c r="BS48" i="6"/>
  <c r="BT48" i="6"/>
  <c r="BU48" i="6"/>
  <c r="K71" i="6"/>
  <c r="BG36" i="10"/>
  <c r="AD38" i="12"/>
  <c r="AE12" i="12"/>
  <c r="BW58" i="10"/>
  <c r="BR19" i="10"/>
  <c r="BR45" i="10"/>
  <c r="BR21" i="10"/>
  <c r="L23" i="10"/>
  <c r="BK29" i="10"/>
  <c r="L29" i="10"/>
  <c r="N150" i="10"/>
  <c r="N151" i="10"/>
  <c r="BU151" i="10"/>
  <c r="BY51" i="10"/>
  <c r="BY23" i="10"/>
  <c r="BT23" i="10"/>
  <c r="BM40" i="10" a="1"/>
  <c r="BM40" i="10"/>
  <c r="BK39" i="10"/>
  <c r="L39" i="10"/>
  <c r="BK41" i="10"/>
  <c r="L41" i="10"/>
  <c r="BZ151" i="10"/>
  <c r="O150" i="10"/>
  <c r="BO29" i="10"/>
  <c r="BN29" i="10"/>
  <c r="BN25" i="10"/>
  <c r="BN13" i="10"/>
  <c r="BN40" i="10" a="1"/>
  <c r="BN40" i="10"/>
  <c r="BP58" i="10"/>
  <c r="U10" i="12"/>
  <c r="T37" i="12"/>
  <c r="BX51" i="10"/>
  <c r="BX23" i="10"/>
  <c r="BS23" i="10"/>
  <c r="BX58" i="10"/>
  <c r="BS19" i="10"/>
  <c r="BS45" i="10"/>
  <c r="BS21" i="10"/>
  <c r="BQ19" i="10"/>
  <c r="BV58" i="10"/>
  <c r="BQ45" i="10"/>
  <c r="AD37" i="12"/>
  <c r="AE10" i="12"/>
  <c r="M33" i="12"/>
  <c r="N78" i="6"/>
  <c r="N85" i="6"/>
  <c r="T40" i="12"/>
  <c r="U18" i="12"/>
  <c r="BP45" i="10"/>
  <c r="BL21" i="10"/>
  <c r="BL25" i="10"/>
  <c r="M49" i="6"/>
  <c r="BQ49" i="6"/>
  <c r="BR49" i="6"/>
  <c r="BS49" i="6"/>
  <c r="BT49" i="6"/>
  <c r="BU49" i="6"/>
  <c r="K45" i="10"/>
  <c r="BF21" i="10"/>
  <c r="T38" i="12"/>
  <c r="U12" i="12"/>
  <c r="BR23" i="10"/>
  <c r="BW51" i="10"/>
  <c r="BW23" i="10"/>
  <c r="BE37" i="10"/>
  <c r="BE13" i="10"/>
  <c r="BE40" i="10" a="1"/>
  <c r="BE40" i="10"/>
  <c r="BM29" i="10"/>
  <c r="BM25" i="10"/>
  <c r="BM13" i="10"/>
  <c r="BC36" i="10"/>
  <c r="BB36" i="10"/>
  <c r="BD36" i="10"/>
  <c r="K19" i="10"/>
  <c r="BE36" i="10"/>
  <c r="BI37" i="6"/>
  <c r="BU133" i="10"/>
  <c r="N132" i="10"/>
  <c r="N133" i="10"/>
  <c r="BI9" i="10"/>
  <c r="BI9" i="3"/>
  <c r="BI98" i="10"/>
  <c r="BI100" i="10"/>
  <c r="BI126" i="10"/>
  <c r="BI14" i="3"/>
  <c r="BI84" i="10"/>
  <c r="BI86" i="10"/>
  <c r="BI124" i="10"/>
  <c r="BI12" i="3"/>
  <c r="BI77" i="10"/>
  <c r="BI79" i="10"/>
  <c r="BI123" i="10"/>
  <c r="BI11" i="3"/>
  <c r="BI105" i="10"/>
  <c r="BI107" i="10"/>
  <c r="BI127" i="10"/>
  <c r="BI15" i="3"/>
  <c r="BI91" i="10"/>
  <c r="BI93" i="10"/>
  <c r="BI125" i="10"/>
  <c r="BI13" i="3"/>
  <c r="BH9" i="10"/>
  <c r="BH9" i="3"/>
  <c r="BH91" i="10"/>
  <c r="BH93" i="10"/>
  <c r="BH125" i="10"/>
  <c r="BH13" i="3"/>
  <c r="BH84" i="10"/>
  <c r="BH86" i="10"/>
  <c r="BH124" i="10"/>
  <c r="BH12" i="3"/>
  <c r="BH98" i="10"/>
  <c r="BH100" i="10"/>
  <c r="BH126" i="10"/>
  <c r="BH14" i="3"/>
  <c r="BH105" i="10"/>
  <c r="BH107" i="10"/>
  <c r="BH127" i="10"/>
  <c r="BH15" i="3"/>
  <c r="BH77" i="10"/>
  <c r="BH79" i="10"/>
  <c r="BH123" i="10"/>
  <c r="BH11" i="3"/>
  <c r="BI47" i="6"/>
  <c r="AF18" i="12"/>
  <c r="AE40" i="12"/>
  <c r="BE15" i="10" a="1"/>
  <c r="BE15" i="10"/>
  <c r="BF15" i="10"/>
  <c r="BF13" i="10"/>
  <c r="BS13" i="10"/>
  <c r="BS40" i="10" a="1"/>
  <c r="BS40" i="10"/>
  <c r="BM15" i="10" a="1"/>
  <c r="BM15" i="10"/>
  <c r="BM11" i="10"/>
  <c r="BK21" i="10"/>
  <c r="L45" i="10"/>
  <c r="BK44" i="10"/>
  <c r="L44" i="10"/>
  <c r="BW29" i="10"/>
  <c r="BX19" i="10"/>
  <c r="BX45" i="10"/>
  <c r="BX21" i="10"/>
  <c r="BT29" i="10"/>
  <c r="BR25" i="10"/>
  <c r="BR29" i="10"/>
  <c r="BS25" i="10"/>
  <c r="BS29" i="10"/>
  <c r="BY29" i="10"/>
  <c r="U38" i="12"/>
  <c r="V12" i="12"/>
  <c r="BX29" i="10"/>
  <c r="BX25" i="10"/>
  <c r="BJ15" i="10" a="1"/>
  <c r="BJ15" i="10"/>
  <c r="BJ11" i="10"/>
  <c r="BB37" i="10"/>
  <c r="BF40" i="10" a="1"/>
  <c r="BF40" i="10"/>
  <c r="K40" i="10"/>
  <c r="BC37" i="10"/>
  <c r="K21" i="10"/>
  <c r="K25" i="10"/>
  <c r="BD37" i="10"/>
  <c r="U37" i="12"/>
  <c r="V10" i="12"/>
  <c r="BP19" i="10"/>
  <c r="BO36" i="10"/>
  <c r="BP59" i="10"/>
  <c r="BP42" i="10"/>
  <c r="M42" i="10"/>
  <c r="M58" i="10"/>
  <c r="M59" i="10"/>
  <c r="BP44" i="10"/>
  <c r="M44" i="10"/>
  <c r="BV49" i="6"/>
  <c r="BW49" i="6"/>
  <c r="BX49" i="6"/>
  <c r="BY49" i="6"/>
  <c r="BZ49" i="6"/>
  <c r="O49" i="6"/>
  <c r="N49" i="6"/>
  <c r="F196" i="7"/>
  <c r="BR40" i="10" a="1"/>
  <c r="BR40" i="10"/>
  <c r="BR13" i="10"/>
  <c r="BK13" i="10"/>
  <c r="BG15" i="10" a="1"/>
  <c r="BG15" i="10"/>
  <c r="BG11" i="10"/>
  <c r="BU52" i="10"/>
  <c r="N51" i="10"/>
  <c r="N52" i="10"/>
  <c r="BU23" i="10"/>
  <c r="BL40" i="10" a="1"/>
  <c r="BL40" i="10"/>
  <c r="BL13" i="10"/>
  <c r="BN15" i="10" a="1"/>
  <c r="BN15" i="10"/>
  <c r="BN11" i="10"/>
  <c r="BZ51" i="10"/>
  <c r="BV23" i="10"/>
  <c r="BJ37" i="6"/>
  <c r="M45" i="10"/>
  <c r="BP21" i="10"/>
  <c r="BW45" i="10"/>
  <c r="BW21" i="10"/>
  <c r="BW19" i="10"/>
  <c r="BQ29" i="10"/>
  <c r="V18" i="12"/>
  <c r="U40" i="12"/>
  <c r="AF12" i="12"/>
  <c r="AE38" i="12"/>
  <c r="U39" i="12"/>
  <c r="V13" i="12"/>
  <c r="BO40" i="10" a="1"/>
  <c r="BO40" i="10"/>
  <c r="E195" i="7"/>
  <c r="N33" i="12"/>
  <c r="O78" i="6"/>
  <c r="O85" i="6"/>
  <c r="O33" i="12"/>
  <c r="BK36" i="10"/>
  <c r="BY58" i="10"/>
  <c r="BZ58" i="10"/>
  <c r="BT19" i="10"/>
  <c r="BT45" i="10"/>
  <c r="BT21" i="10"/>
  <c r="BP41" i="10"/>
  <c r="M41" i="10"/>
  <c r="BP39" i="10"/>
  <c r="M39" i="10"/>
  <c r="BF25" i="10"/>
  <c r="AF10" i="12"/>
  <c r="AE37" i="12"/>
  <c r="BO25" i="10"/>
  <c r="BO13" i="10"/>
  <c r="BP29" i="10"/>
  <c r="M29" i="10"/>
  <c r="M23" i="10"/>
  <c r="BF36" i="10"/>
  <c r="O151" i="10"/>
  <c r="O145" i="10"/>
  <c r="BQ21" i="10"/>
  <c r="BQ25" i="10"/>
  <c r="BV48" i="6"/>
  <c r="BW48" i="6"/>
  <c r="BX48" i="6"/>
  <c r="BY48" i="6"/>
  <c r="BZ48" i="6"/>
  <c r="O48" i="6"/>
  <c r="N48" i="6"/>
  <c r="O133" i="10"/>
  <c r="BU58" i="10"/>
  <c r="M72" i="6"/>
  <c r="BV45" i="10"/>
  <c r="BV19" i="10"/>
  <c r="BJ77" i="10"/>
  <c r="BJ105" i="10"/>
  <c r="BJ98" i="10"/>
  <c r="BJ84" i="10"/>
  <c r="BJ91" i="10"/>
  <c r="BM9" i="10"/>
  <c r="BM9" i="3"/>
  <c r="BM97" i="7"/>
  <c r="BM105" i="10"/>
  <c r="BM107" i="10"/>
  <c r="BM127" i="10"/>
  <c r="BM15" i="3"/>
  <c r="BM77" i="10"/>
  <c r="BM79" i="10"/>
  <c r="BM123" i="10"/>
  <c r="BM11" i="3"/>
  <c r="BM91" i="10"/>
  <c r="BM93" i="10"/>
  <c r="BM125" i="10"/>
  <c r="BM98" i="10"/>
  <c r="BM100" i="10"/>
  <c r="BM126" i="10"/>
  <c r="BM14" i="3"/>
  <c r="BM84" i="10"/>
  <c r="BM86" i="10"/>
  <c r="BM124" i="10"/>
  <c r="BM12" i="3"/>
  <c r="BN9" i="10"/>
  <c r="BN9" i="3"/>
  <c r="BN97" i="7"/>
  <c r="BN105" i="10"/>
  <c r="BN107" i="10"/>
  <c r="BN127" i="10"/>
  <c r="BN15" i="3"/>
  <c r="BN84" i="10"/>
  <c r="BN86" i="10"/>
  <c r="BN124" i="10"/>
  <c r="BN91" i="10"/>
  <c r="BN93" i="10"/>
  <c r="BN125" i="10"/>
  <c r="BN13" i="3"/>
  <c r="BN98" i="10"/>
  <c r="BN100" i="10"/>
  <c r="BN126" i="10"/>
  <c r="BN14" i="3"/>
  <c r="BN77" i="10"/>
  <c r="BN79" i="10"/>
  <c r="BN123" i="10"/>
  <c r="BN11" i="3"/>
  <c r="BO15" i="10" a="1"/>
  <c r="BO15" i="10"/>
  <c r="BO11" i="10"/>
  <c r="BU39" i="10"/>
  <c r="N39" i="10"/>
  <c r="BU41" i="10"/>
  <c r="N41" i="10"/>
  <c r="BN12" i="3"/>
  <c r="BI76" i="3"/>
  <c r="BI106" i="3"/>
  <c r="AG12" i="12"/>
  <c r="AF38" i="12"/>
  <c r="BG9" i="10"/>
  <c r="BG9" i="3"/>
  <c r="BG84" i="10"/>
  <c r="BG91" i="10"/>
  <c r="BG98" i="10"/>
  <c r="BG105" i="10"/>
  <c r="BG77" i="10"/>
  <c r="BI108" i="3"/>
  <c r="BK15" i="10"/>
  <c r="BI97" i="7"/>
  <c r="BI8" i="3"/>
  <c r="BI82" i="3"/>
  <c r="AF37" i="12"/>
  <c r="AG10" i="12"/>
  <c r="V40" i="12"/>
  <c r="W18" i="12"/>
  <c r="L13" i="10"/>
  <c r="BK11" i="10"/>
  <c r="BK9" i="10"/>
  <c r="BK14" i="10"/>
  <c r="L14" i="10"/>
  <c r="BR15" i="10" a="1"/>
  <c r="BR15" i="10"/>
  <c r="BR11" i="10"/>
  <c r="V38" i="12"/>
  <c r="W12" i="12"/>
  <c r="BS15" i="10" a="1"/>
  <c r="BS15" i="10"/>
  <c r="BS11" i="10"/>
  <c r="BF11" i="10"/>
  <c r="BF9" i="10"/>
  <c r="BF9" i="3"/>
  <c r="BF14" i="10"/>
  <c r="K14" i="10"/>
  <c r="K13" i="10"/>
  <c r="K15" i="10"/>
  <c r="BF16" i="10"/>
  <c r="K16" i="10"/>
  <c r="BZ59" i="10"/>
  <c r="BZ42" i="10"/>
  <c r="O42" i="10"/>
  <c r="BZ19" i="10"/>
  <c r="O19" i="10"/>
  <c r="I195" i="7"/>
  <c r="O58" i="10"/>
  <c r="BT40" i="10" a="1"/>
  <c r="BT40" i="10"/>
  <c r="BW40" i="10" a="1"/>
  <c r="BW40" i="10"/>
  <c r="BE11" i="10"/>
  <c r="BP40" i="10" a="1"/>
  <c r="BP40" i="10"/>
  <c r="M40" i="10"/>
  <c r="M21" i="10"/>
  <c r="BN37" i="10"/>
  <c r="BM37" i="10"/>
  <c r="BV21" i="10"/>
  <c r="BV25" i="10"/>
  <c r="BY45" i="10"/>
  <c r="BY21" i="10"/>
  <c r="BY19" i="10"/>
  <c r="AG18" i="12"/>
  <c r="AF40" i="12"/>
  <c r="BJ47" i="6"/>
  <c r="BU59" i="10"/>
  <c r="BU42" i="10"/>
  <c r="N42" i="10"/>
  <c r="N58" i="10"/>
  <c r="N59" i="10"/>
  <c r="BU19" i="10"/>
  <c r="BK37" i="6"/>
  <c r="BV29" i="10"/>
  <c r="N72" i="6"/>
  <c r="BZ52" i="10"/>
  <c r="BZ23" i="10"/>
  <c r="O51" i="10"/>
  <c r="O52" i="10"/>
  <c r="BT25" i="10"/>
  <c r="BT13" i="10"/>
  <c r="BH108" i="6"/>
  <c r="O72" i="6"/>
  <c r="M19" i="10"/>
  <c r="G195" i="7"/>
  <c r="BM36" i="10"/>
  <c r="BN36" i="10"/>
  <c r="BL36" i="10"/>
  <c r="BX13" i="10"/>
  <c r="BX40" i="10" a="1"/>
  <c r="BX40" i="10"/>
  <c r="BQ40" i="10" a="1"/>
  <c r="BQ40" i="10"/>
  <c r="BQ13" i="10"/>
  <c r="W10" i="12"/>
  <c r="V37" i="12"/>
  <c r="BU45" i="10"/>
  <c r="BU44" i="10"/>
  <c r="N44" i="10"/>
  <c r="BO37" i="10"/>
  <c r="BL15" i="10" a="1"/>
  <c r="BL15" i="10"/>
  <c r="BL11" i="10"/>
  <c r="BP13" i="10"/>
  <c r="BW25" i="10"/>
  <c r="BW13" i="10"/>
  <c r="BM13" i="3"/>
  <c r="BH97" i="7"/>
  <c r="BH8" i="3"/>
  <c r="W13" i="12"/>
  <c r="V39" i="12"/>
  <c r="BL37" i="10"/>
  <c r="BI107" i="3"/>
  <c r="G196" i="7"/>
  <c r="BU29" i="10"/>
  <c r="N29" i="10"/>
  <c r="N23" i="10"/>
  <c r="BK40" i="10" a="1"/>
  <c r="BK40" i="10"/>
  <c r="L40" i="10"/>
  <c r="L21" i="10"/>
  <c r="L25" i="10"/>
  <c r="BI37" i="10"/>
  <c r="BH37" i="10"/>
  <c r="BG37" i="10"/>
  <c r="BJ37" i="10"/>
  <c r="BK25" i="10"/>
  <c r="BI109" i="3"/>
  <c r="BP25" i="10"/>
  <c r="BF37" i="10"/>
  <c r="BI108" i="6"/>
  <c r="BI105" i="3"/>
  <c r="BP36" i="10"/>
  <c r="BR9" i="10"/>
  <c r="BR9" i="3"/>
  <c r="BR97" i="7"/>
  <c r="BR84" i="10"/>
  <c r="BR86" i="10"/>
  <c r="BR124" i="10"/>
  <c r="BR77" i="10"/>
  <c r="BR79" i="10"/>
  <c r="BR123" i="10"/>
  <c r="BR98" i="10"/>
  <c r="BR100" i="10"/>
  <c r="BR126" i="10"/>
  <c r="BR14" i="3"/>
  <c r="BR91" i="10"/>
  <c r="BR93" i="10"/>
  <c r="BR125" i="10"/>
  <c r="BR105" i="10"/>
  <c r="BR107" i="10"/>
  <c r="BR127" i="10"/>
  <c r="BR15" i="3"/>
  <c r="BO9" i="10"/>
  <c r="BO9" i="3"/>
  <c r="BO97" i="7"/>
  <c r="BO91" i="10"/>
  <c r="BO93" i="10"/>
  <c r="BO125" i="10"/>
  <c r="BO84" i="10"/>
  <c r="BO86" i="10"/>
  <c r="BO124" i="10"/>
  <c r="BO98" i="10"/>
  <c r="BO100" i="10"/>
  <c r="BO126" i="10"/>
  <c r="BO77" i="10"/>
  <c r="BO79" i="10"/>
  <c r="BO123" i="10"/>
  <c r="BO105" i="10"/>
  <c r="BO107" i="10"/>
  <c r="BO127" i="10"/>
  <c r="BN105" i="3"/>
  <c r="BN108" i="6"/>
  <c r="BN80" i="3"/>
  <c r="BN108" i="3"/>
  <c r="BN107" i="3"/>
  <c r="BN78" i="3"/>
  <c r="BS13" i="3"/>
  <c r="BU13" i="10"/>
  <c r="BQ15" i="10" a="1"/>
  <c r="BQ15" i="10"/>
  <c r="BE9" i="10"/>
  <c r="BE9" i="3"/>
  <c r="BE105" i="10"/>
  <c r="BE107" i="10"/>
  <c r="BE127" i="10"/>
  <c r="BE15" i="3"/>
  <c r="BE84" i="10"/>
  <c r="BJ86" i="10"/>
  <c r="BJ124" i="10"/>
  <c r="BE77" i="10"/>
  <c r="BJ79" i="10"/>
  <c r="BJ123" i="10"/>
  <c r="BE98" i="10"/>
  <c r="BE91" i="10"/>
  <c r="BJ93" i="10"/>
  <c r="BJ125" i="10"/>
  <c r="BN109" i="3"/>
  <c r="BH56" i="7"/>
  <c r="BH34" i="6"/>
  <c r="BH20" i="7"/>
  <c r="BH33" i="6"/>
  <c r="BH19" i="7"/>
  <c r="BH39" i="6"/>
  <c r="BH33" i="7"/>
  <c r="BI73" i="7"/>
  <c r="BH157" i="6"/>
  <c r="BH145" i="6"/>
  <c r="BH21" i="6"/>
  <c r="BH40" i="6"/>
  <c r="BH34" i="7"/>
  <c r="BH13" i="6"/>
  <c r="BH13" i="7"/>
  <c r="BH71" i="7"/>
  <c r="BH14" i="6"/>
  <c r="BH14" i="7"/>
  <c r="BH12" i="6"/>
  <c r="BH12" i="7"/>
  <c r="BH23" i="6"/>
  <c r="BH32" i="7"/>
  <c r="BI72" i="7"/>
  <c r="BH18" i="3"/>
  <c r="BM8" i="3"/>
  <c r="BM78" i="3"/>
  <c r="BH25" i="3"/>
  <c r="BH32" i="6"/>
  <c r="BH18" i="7"/>
  <c r="BL37" i="6"/>
  <c r="L37" i="6"/>
  <c r="BK133" i="6"/>
  <c r="BW15" i="10" a="1"/>
  <c r="BW15" i="10"/>
  <c r="BW11" i="10"/>
  <c r="BN106" i="3"/>
  <c r="BJ9" i="10"/>
  <c r="BJ9" i="3"/>
  <c r="BJ97" i="7"/>
  <c r="BH78" i="3"/>
  <c r="BH82" i="3"/>
  <c r="X18" i="12"/>
  <c r="W40" i="12"/>
  <c r="BR13" i="3"/>
  <c r="N19" i="10"/>
  <c r="H195" i="7"/>
  <c r="BS36" i="10"/>
  <c r="BR36" i="10"/>
  <c r="BQ36" i="10"/>
  <c r="BT15" i="10" a="1"/>
  <c r="BT15" i="10"/>
  <c r="BT11" i="10"/>
  <c r="BK37" i="10"/>
  <c r="BX15" i="10" a="1"/>
  <c r="BX15" i="10"/>
  <c r="BX11" i="10"/>
  <c r="AH10" i="12"/>
  <c r="AG37" i="12"/>
  <c r="M13" i="10"/>
  <c r="O59" i="10"/>
  <c r="BL9" i="10"/>
  <c r="BL9" i="3"/>
  <c r="BL97" i="7"/>
  <c r="BL91" i="10"/>
  <c r="BL84" i="10"/>
  <c r="BL98" i="10"/>
  <c r="BL105" i="10"/>
  <c r="BL77" i="10"/>
  <c r="BK47" i="6"/>
  <c r="BI71" i="7"/>
  <c r="BI40" i="6"/>
  <c r="BI34" i="7"/>
  <c r="BI23" i="6"/>
  <c r="BI32" i="7"/>
  <c r="BI12" i="6"/>
  <c r="BI12" i="7"/>
  <c r="BI34" i="6"/>
  <c r="BI20" i="7"/>
  <c r="BI33" i="6"/>
  <c r="BI19" i="7"/>
  <c r="BI14" i="6"/>
  <c r="BI14" i="7"/>
  <c r="BI21" i="6"/>
  <c r="BI32" i="6"/>
  <c r="BI18" i="7"/>
  <c r="BI63" i="7"/>
  <c r="BI104" i="3"/>
  <c r="BI56" i="7"/>
  <c r="BI157" i="6"/>
  <c r="BI145" i="6"/>
  <c r="BI25" i="3"/>
  <c r="BN8" i="3"/>
  <c r="BN82" i="3"/>
  <c r="BI18" i="3"/>
  <c r="BI13" i="6"/>
  <c r="BI13" i="7"/>
  <c r="BI39" i="6"/>
  <c r="BI33" i="7"/>
  <c r="BP15" i="10"/>
  <c r="L15" i="10"/>
  <c r="L11" i="10"/>
  <c r="BK16" i="10"/>
  <c r="L16" i="10"/>
  <c r="BU25" i="10"/>
  <c r="BR12" i="3"/>
  <c r="AG40" i="12"/>
  <c r="AH18" i="12"/>
  <c r="H196" i="7"/>
  <c r="BH76" i="3"/>
  <c r="BI77" i="3"/>
  <c r="BY36" i="10"/>
  <c r="BY25" i="10"/>
  <c r="BI80" i="3"/>
  <c r="BY13" i="10"/>
  <c r="BY40" i="10" a="1"/>
  <c r="BY40" i="10"/>
  <c r="BW36" i="10"/>
  <c r="M25" i="10"/>
  <c r="BU21" i="10"/>
  <c r="N45" i="10"/>
  <c r="BM108" i="6"/>
  <c r="BR11" i="3"/>
  <c r="BZ45" i="10"/>
  <c r="K11" i="10"/>
  <c r="K10" i="10"/>
  <c r="BK77" i="10"/>
  <c r="BG79" i="10"/>
  <c r="BG123" i="10"/>
  <c r="BG11" i="3"/>
  <c r="BH74" i="3"/>
  <c r="BV40" i="10" a="1"/>
  <c r="BV40" i="10"/>
  <c r="BV13" i="10"/>
  <c r="BK105" i="10"/>
  <c r="BG107" i="10"/>
  <c r="BG127" i="10"/>
  <c r="BG15" i="3"/>
  <c r="BI78" i="3"/>
  <c r="BH80" i="3"/>
  <c r="BF97" i="7"/>
  <c r="K9" i="3"/>
  <c r="BK98" i="10"/>
  <c r="BG100" i="10"/>
  <c r="BG126" i="10"/>
  <c r="BG14" i="3"/>
  <c r="BS9" i="10"/>
  <c r="BS9" i="3"/>
  <c r="BS97" i="7"/>
  <c r="BS91" i="10"/>
  <c r="BS93" i="10"/>
  <c r="BS125" i="10"/>
  <c r="BS105" i="10"/>
  <c r="BS107" i="10"/>
  <c r="BS127" i="10"/>
  <c r="BS15" i="3"/>
  <c r="BS84" i="10"/>
  <c r="BS86" i="10"/>
  <c r="BS124" i="10"/>
  <c r="BS12" i="3"/>
  <c r="BS98" i="10"/>
  <c r="BS100" i="10"/>
  <c r="BS126" i="10"/>
  <c r="BS14" i="3"/>
  <c r="BS77" i="10"/>
  <c r="BS79" i="10"/>
  <c r="BS123" i="10"/>
  <c r="BS11" i="3"/>
  <c r="BK91" i="10"/>
  <c r="BG93" i="10"/>
  <c r="BG125" i="10"/>
  <c r="BG13" i="3"/>
  <c r="BX36" i="10"/>
  <c r="BG86" i="10"/>
  <c r="BG124" i="10"/>
  <c r="BG12" i="3"/>
  <c r="BK84" i="10"/>
  <c r="BI74" i="3"/>
  <c r="BI75" i="3"/>
  <c r="BP37" i="10"/>
  <c r="BZ29" i="10"/>
  <c r="O29" i="10"/>
  <c r="O23" i="10"/>
  <c r="X12" i="12"/>
  <c r="W38" i="12"/>
  <c r="BG97" i="7"/>
  <c r="BG8" i="3"/>
  <c r="X10" i="12"/>
  <c r="W37" i="12"/>
  <c r="BZ39" i="10"/>
  <c r="O39" i="10"/>
  <c r="BZ41" i="10"/>
  <c r="O41" i="10"/>
  <c r="BT36" i="10"/>
  <c r="W39" i="12"/>
  <c r="X13" i="12"/>
  <c r="BV36" i="10"/>
  <c r="AH12" i="12"/>
  <c r="AG38" i="12"/>
  <c r="BM80" i="3"/>
  <c r="BM76" i="3"/>
  <c r="BM74" i="3"/>
  <c r="BM82" i="3"/>
  <c r="BN83" i="3"/>
  <c r="BN74" i="3"/>
  <c r="BI59" i="7"/>
  <c r="BI64" i="7"/>
  <c r="BJ107" i="10"/>
  <c r="BJ127" i="10"/>
  <c r="BJ15" i="3"/>
  <c r="BI74" i="7"/>
  <c r="BN79" i="3"/>
  <c r="BZ36" i="10"/>
  <c r="BN81" i="3"/>
  <c r="BI60" i="7"/>
  <c r="BU36" i="10"/>
  <c r="BI65" i="7"/>
  <c r="BI58" i="7"/>
  <c r="F193" i="7"/>
  <c r="L9" i="10"/>
  <c r="BS108" i="6"/>
  <c r="BS105" i="3"/>
  <c r="BS108" i="3"/>
  <c r="BS106" i="3"/>
  <c r="BS109" i="3"/>
  <c r="BX9" i="10"/>
  <c r="BX9" i="3"/>
  <c r="BX97" i="7"/>
  <c r="BX98" i="10"/>
  <c r="BX100" i="10"/>
  <c r="BX126" i="10"/>
  <c r="BX14" i="3"/>
  <c r="BX105" i="10"/>
  <c r="BX107" i="10"/>
  <c r="BX127" i="10"/>
  <c r="BX15" i="3"/>
  <c r="BX91" i="10"/>
  <c r="BX93" i="10"/>
  <c r="BX125" i="10"/>
  <c r="BX13" i="3"/>
  <c r="BX84" i="10"/>
  <c r="BX86" i="10"/>
  <c r="BX124" i="10"/>
  <c r="BX12" i="3"/>
  <c r="BX77" i="10"/>
  <c r="BX79" i="10"/>
  <c r="BX123" i="10"/>
  <c r="BX11" i="3"/>
  <c r="BT9" i="10"/>
  <c r="BT9" i="3"/>
  <c r="BT97" i="7"/>
  <c r="BT77" i="10"/>
  <c r="BT79" i="10"/>
  <c r="BT123" i="10"/>
  <c r="BT98" i="10"/>
  <c r="BT100" i="10"/>
  <c r="BT126" i="10"/>
  <c r="BT91" i="10"/>
  <c r="BT93" i="10"/>
  <c r="BT125" i="10"/>
  <c r="BT84" i="10"/>
  <c r="BT86" i="10"/>
  <c r="BT124" i="10"/>
  <c r="BT105" i="10"/>
  <c r="BT107" i="10"/>
  <c r="BT127" i="10"/>
  <c r="L91" i="10"/>
  <c r="BS107" i="3"/>
  <c r="BZ21" i="10"/>
  <c r="O45" i="10"/>
  <c r="BZ44" i="10"/>
  <c r="O44" i="10"/>
  <c r="L133" i="6"/>
  <c r="BI166" i="6"/>
  <c r="BI25" i="7"/>
  <c r="BI128" i="6"/>
  <c r="BI30" i="6"/>
  <c r="BI38" i="6"/>
  <c r="BI41" i="6"/>
  <c r="E193" i="7"/>
  <c r="K9" i="10"/>
  <c r="BM37" i="6"/>
  <c r="L47" i="6"/>
  <c r="BL47" i="6"/>
  <c r="Y10" i="12"/>
  <c r="X37" i="12"/>
  <c r="BP16" i="10"/>
  <c r="M16" i="10"/>
  <c r="M15" i="10"/>
  <c r="M11" i="10"/>
  <c r="BL79" i="10"/>
  <c r="BL123" i="10"/>
  <c r="BL11" i="3"/>
  <c r="BP77" i="10"/>
  <c r="BG80" i="3"/>
  <c r="BH108" i="3"/>
  <c r="N21" i="10"/>
  <c r="N25" i="10"/>
  <c r="BU40" i="10" a="1"/>
  <c r="BU40" i="10"/>
  <c r="N40" i="10"/>
  <c r="BR37" i="10"/>
  <c r="BS37" i="10"/>
  <c r="BQ37" i="10"/>
  <c r="BT37" i="10"/>
  <c r="BI35" i="7"/>
  <c r="BL107" i="10"/>
  <c r="BL127" i="10"/>
  <c r="BL15" i="3"/>
  <c r="BP105" i="10"/>
  <c r="L98" i="10"/>
  <c r="BP98" i="10"/>
  <c r="BL100" i="10"/>
  <c r="BL126" i="10"/>
  <c r="BL14" i="3"/>
  <c r="BN75" i="3"/>
  <c r="BG157" i="6"/>
  <c r="BG56" i="7"/>
  <c r="BG39" i="6"/>
  <c r="BG33" i="7"/>
  <c r="BH73" i="7"/>
  <c r="BG14" i="6"/>
  <c r="BG14" i="7"/>
  <c r="BH60" i="7"/>
  <c r="BG21" i="6"/>
  <c r="BH128" i="6"/>
  <c r="BG40" i="6"/>
  <c r="BG34" i="7"/>
  <c r="BH74" i="7"/>
  <c r="BL8" i="3"/>
  <c r="BG13" i="6"/>
  <c r="BG13" i="7"/>
  <c r="BH59" i="7"/>
  <c r="BG71" i="7"/>
  <c r="BG18" i="3"/>
  <c r="BG34" i="6"/>
  <c r="BG20" i="7"/>
  <c r="BH65" i="7"/>
  <c r="BG25" i="3"/>
  <c r="BH115" i="3"/>
  <c r="BG23" i="6"/>
  <c r="BG32" i="7"/>
  <c r="BG32" i="6"/>
  <c r="BG18" i="7"/>
  <c r="BH63" i="7"/>
  <c r="BG104" i="3"/>
  <c r="BG33" i="6"/>
  <c r="BG19" i="7"/>
  <c r="BH64" i="7"/>
  <c r="BG12" i="6"/>
  <c r="BG12" i="7"/>
  <c r="BH58" i="7"/>
  <c r="K10" i="12"/>
  <c r="K37" i="12"/>
  <c r="K97" i="7"/>
  <c r="BL86" i="10"/>
  <c r="BL124" i="10"/>
  <c r="BL12" i="3"/>
  <c r="BP84" i="10"/>
  <c r="X40" i="12"/>
  <c r="Y18" i="12"/>
  <c r="BH137" i="6"/>
  <c r="BH146" i="6"/>
  <c r="BN18" i="3"/>
  <c r="BI111" i="3"/>
  <c r="BI86" i="3"/>
  <c r="BL93" i="10"/>
  <c r="BL125" i="10"/>
  <c r="BL13" i="3"/>
  <c r="BP91" i="10"/>
  <c r="BH91" i="3"/>
  <c r="BM25" i="3"/>
  <c r="BE93" i="10"/>
  <c r="BE125" i="10"/>
  <c r="BE13" i="3"/>
  <c r="BG107" i="3"/>
  <c r="BF91" i="10"/>
  <c r="BH81" i="3"/>
  <c r="BN71" i="7"/>
  <c r="BN56" i="7"/>
  <c r="BN34" i="6"/>
  <c r="BN20" i="7"/>
  <c r="BN157" i="6"/>
  <c r="BN145" i="6"/>
  <c r="BN40" i="6"/>
  <c r="BN34" i="7"/>
  <c r="BN21" i="6"/>
  <c r="BN14" i="6"/>
  <c r="BN14" i="7"/>
  <c r="BN39" i="6"/>
  <c r="BN33" i="7"/>
  <c r="BN12" i="6"/>
  <c r="BN12" i="7"/>
  <c r="BN32" i="6"/>
  <c r="BN18" i="7"/>
  <c r="BS8" i="3"/>
  <c r="BN33" i="6"/>
  <c r="BN19" i="7"/>
  <c r="BN23" i="6"/>
  <c r="BN32" i="7"/>
  <c r="BN13" i="6"/>
  <c r="BN13" i="7"/>
  <c r="BN104" i="3"/>
  <c r="BF98" i="10"/>
  <c r="BE100" i="10"/>
  <c r="BE126" i="10"/>
  <c r="BE14" i="3"/>
  <c r="Y12" i="12"/>
  <c r="X38" i="12"/>
  <c r="BI79" i="3"/>
  <c r="BY15" i="10" a="1"/>
  <c r="BY15" i="10"/>
  <c r="BY11" i="10"/>
  <c r="L10" i="10"/>
  <c r="BM56" i="7"/>
  <c r="BM14" i="6"/>
  <c r="BM14" i="7"/>
  <c r="BM21" i="6"/>
  <c r="BM34" i="6"/>
  <c r="BM20" i="7"/>
  <c r="BM23" i="6"/>
  <c r="BM32" i="7"/>
  <c r="BM40" i="6"/>
  <c r="BM34" i="7"/>
  <c r="BM33" i="6"/>
  <c r="BM19" i="7"/>
  <c r="BM71" i="7"/>
  <c r="BM39" i="6"/>
  <c r="BM33" i="7"/>
  <c r="BM12" i="6"/>
  <c r="BM12" i="7"/>
  <c r="BM157" i="6"/>
  <c r="BM145" i="6"/>
  <c r="BM32" i="6"/>
  <c r="BM18" i="7"/>
  <c r="BM13" i="6"/>
  <c r="BM13" i="7"/>
  <c r="BR8" i="3"/>
  <c r="BR80" i="3"/>
  <c r="BF77" i="10"/>
  <c r="BK79" i="10"/>
  <c r="BK123" i="10"/>
  <c r="L123" i="10"/>
  <c r="BE79" i="10"/>
  <c r="BE123" i="10"/>
  <c r="BE11" i="3"/>
  <c r="BG105" i="3"/>
  <c r="BG82" i="3"/>
  <c r="BH83" i="3"/>
  <c r="BG109" i="3"/>
  <c r="BH109" i="3"/>
  <c r="BP14" i="10"/>
  <c r="M14" i="10"/>
  <c r="BM18" i="3"/>
  <c r="BH86" i="3"/>
  <c r="BE86" i="10"/>
  <c r="BE124" i="10"/>
  <c r="BE12" i="3"/>
  <c r="BG106" i="3"/>
  <c r="BF84" i="10"/>
  <c r="I196" i="7"/>
  <c r="L105" i="10"/>
  <c r="BI81" i="3"/>
  <c r="BP11" i="10"/>
  <c r="BP9" i="10"/>
  <c r="BI83" i="3"/>
  <c r="BH35" i="7"/>
  <c r="BE109" i="3"/>
  <c r="BF15" i="3"/>
  <c r="BV15" i="10" a="1"/>
  <c r="BV15" i="10"/>
  <c r="BV11" i="10"/>
  <c r="BZ13" i="10"/>
  <c r="BE97" i="7"/>
  <c r="BE8" i="3"/>
  <c r="BJ100" i="10"/>
  <c r="BJ126" i="10"/>
  <c r="BI91" i="3"/>
  <c r="BI115" i="3"/>
  <c r="BN25" i="3"/>
  <c r="BU15" i="10"/>
  <c r="BI137" i="6"/>
  <c r="BI146" i="6"/>
  <c r="AH37" i="12"/>
  <c r="AI10" i="12"/>
  <c r="BN76" i="3"/>
  <c r="BN77" i="3"/>
  <c r="BQ11" i="10"/>
  <c r="AH38" i="12"/>
  <c r="AI12" i="12"/>
  <c r="L84" i="10"/>
  <c r="BH104" i="3"/>
  <c r="N13" i="10"/>
  <c r="BG76" i="3"/>
  <c r="BH77" i="3"/>
  <c r="BH106" i="3"/>
  <c r="L77" i="10"/>
  <c r="BR108" i="6"/>
  <c r="BH166" i="6"/>
  <c r="BH25" i="7"/>
  <c r="BH30" i="6"/>
  <c r="BH38" i="6"/>
  <c r="BH41" i="6"/>
  <c r="BG74" i="3"/>
  <c r="BG108" i="6"/>
  <c r="BH105" i="3"/>
  <c r="BW9" i="10"/>
  <c r="BW9" i="3"/>
  <c r="BW97" i="7"/>
  <c r="BW105" i="10"/>
  <c r="BW107" i="10"/>
  <c r="BW127" i="10"/>
  <c r="BW15" i="3"/>
  <c r="BW91" i="10"/>
  <c r="BW93" i="10"/>
  <c r="BW125" i="10"/>
  <c r="BW13" i="3"/>
  <c r="BW77" i="10"/>
  <c r="BW79" i="10"/>
  <c r="BW123" i="10"/>
  <c r="BW11" i="3"/>
  <c r="BW84" i="10"/>
  <c r="BW86" i="10"/>
  <c r="BW124" i="10"/>
  <c r="BW12" i="3"/>
  <c r="BW98" i="10"/>
  <c r="BW100" i="10"/>
  <c r="BW126" i="10"/>
  <c r="BW14" i="3"/>
  <c r="X39" i="12"/>
  <c r="Y13" i="12"/>
  <c r="AI18" i="12"/>
  <c r="AH40" i="12"/>
  <c r="BG78" i="3"/>
  <c r="BH79" i="3"/>
  <c r="BH107" i="3"/>
  <c r="BN63" i="7"/>
  <c r="BN59" i="7"/>
  <c r="BN73" i="7"/>
  <c r="BN74" i="7"/>
  <c r="BN65" i="7"/>
  <c r="BZ15" i="10"/>
  <c r="BZ11" i="10"/>
  <c r="BN64" i="7"/>
  <c r="BN58" i="7"/>
  <c r="BN60" i="7"/>
  <c r="BL78" i="3"/>
  <c r="BM107" i="3"/>
  <c r="BL74" i="3"/>
  <c r="BL108" i="6"/>
  <c r="BM105" i="3"/>
  <c r="G193" i="7"/>
  <c r="M9" i="10"/>
  <c r="BW108" i="6"/>
  <c r="BX108" i="6"/>
  <c r="BX105" i="3"/>
  <c r="BX106" i="3"/>
  <c r="BX107" i="3"/>
  <c r="BX108" i="3"/>
  <c r="BL82" i="3"/>
  <c r="BL109" i="3"/>
  <c r="BM109" i="3"/>
  <c r="BY9" i="10"/>
  <c r="BY9" i="3"/>
  <c r="BY97" i="7"/>
  <c r="BY98" i="10"/>
  <c r="BY100" i="10"/>
  <c r="BY126" i="10"/>
  <c r="BY91" i="10"/>
  <c r="BY93" i="10"/>
  <c r="BY125" i="10"/>
  <c r="BY84" i="10"/>
  <c r="BY86" i="10"/>
  <c r="BY124" i="10"/>
  <c r="BY77" i="10"/>
  <c r="BY79" i="10"/>
  <c r="BY123" i="10"/>
  <c r="BY105" i="10"/>
  <c r="BY107" i="10"/>
  <c r="BY127" i="10"/>
  <c r="BN146" i="6"/>
  <c r="BN137" i="6"/>
  <c r="BL76" i="3"/>
  <c r="BM106" i="3"/>
  <c r="BP93" i="10"/>
  <c r="BP125" i="10"/>
  <c r="M125" i="10"/>
  <c r="M91" i="10"/>
  <c r="M93" i="10"/>
  <c r="BI102" i="7"/>
  <c r="BI109" i="7"/>
  <c r="Z10" i="12"/>
  <c r="Z37" i="12"/>
  <c r="Y37" i="12"/>
  <c r="N15" i="10"/>
  <c r="N10" i="10"/>
  <c r="BU16" i="10"/>
  <c r="N16" i="10"/>
  <c r="BU37" i="10"/>
  <c r="BM47" i="6"/>
  <c r="BN35" i="7"/>
  <c r="K84" i="10"/>
  <c r="K86" i="10"/>
  <c r="BF86" i="10"/>
  <c r="BF124" i="10"/>
  <c r="K124" i="10"/>
  <c r="BJ109" i="3"/>
  <c r="BO15" i="3"/>
  <c r="BP15" i="3"/>
  <c r="BP79" i="10"/>
  <c r="BP123" i="10"/>
  <c r="M123" i="10"/>
  <c r="M77" i="10"/>
  <c r="M79" i="10"/>
  <c r="BG145" i="6"/>
  <c r="Z12" i="12"/>
  <c r="Z38" i="12"/>
  <c r="Y38" i="12"/>
  <c r="AI37" i="12"/>
  <c r="AJ10" i="12"/>
  <c r="BF14" i="3"/>
  <c r="BE108" i="3"/>
  <c r="BJ14" i="3"/>
  <c r="BE80" i="3"/>
  <c r="BE81" i="3"/>
  <c r="BI64" i="8"/>
  <c r="BI67" i="8"/>
  <c r="BI54" i="8"/>
  <c r="BJ122" i="3"/>
  <c r="BI167" i="6"/>
  <c r="BI168" i="6"/>
  <c r="K98" i="10"/>
  <c r="K100" i="10"/>
  <c r="BF100" i="10"/>
  <c r="BF126" i="10"/>
  <c r="K126" i="10"/>
  <c r="BR56" i="7"/>
  <c r="BR71" i="7"/>
  <c r="BR157" i="6"/>
  <c r="BR145" i="6"/>
  <c r="BR23" i="6"/>
  <c r="BR32" i="7"/>
  <c r="BR39" i="6"/>
  <c r="BR33" i="7"/>
  <c r="BR33" i="6"/>
  <c r="BR19" i="7"/>
  <c r="BR14" i="6"/>
  <c r="BR14" i="7"/>
  <c r="BR40" i="6"/>
  <c r="BR34" i="7"/>
  <c r="BR34" i="6"/>
  <c r="BR20" i="7"/>
  <c r="BR21" i="6"/>
  <c r="BR12" i="6"/>
  <c r="BR12" i="7"/>
  <c r="BR13" i="6"/>
  <c r="BR13" i="7"/>
  <c r="BW8" i="3"/>
  <c r="BW80" i="3"/>
  <c r="BR32" i="6"/>
  <c r="BR18" i="7"/>
  <c r="BG35" i="7"/>
  <c r="BH72" i="7"/>
  <c r="BR78" i="3"/>
  <c r="BL25" i="3"/>
  <c r="BM115" i="3"/>
  <c r="BG91" i="3"/>
  <c r="BG86" i="3"/>
  <c r="BL18" i="3"/>
  <c r="BS71" i="7"/>
  <c r="BS157" i="6"/>
  <c r="BS145" i="6"/>
  <c r="BS56" i="7"/>
  <c r="BS39" i="6"/>
  <c r="BS33" i="7"/>
  <c r="BS23" i="6"/>
  <c r="BS32" i="7"/>
  <c r="BS32" i="6"/>
  <c r="BS18" i="7"/>
  <c r="BS12" i="6"/>
  <c r="BS12" i="7"/>
  <c r="BS33" i="6"/>
  <c r="BS19" i="7"/>
  <c r="BS14" i="6"/>
  <c r="BS14" i="7"/>
  <c r="BX8" i="3"/>
  <c r="BX78" i="3"/>
  <c r="BS21" i="6"/>
  <c r="BS40" i="6"/>
  <c r="BS34" i="7"/>
  <c r="BS13" i="6"/>
  <c r="BS13" i="7"/>
  <c r="BS104" i="3"/>
  <c r="BS34" i="6"/>
  <c r="BS20" i="7"/>
  <c r="BS82" i="3"/>
  <c r="BE106" i="3"/>
  <c r="BE76" i="3"/>
  <c r="BE77" i="3"/>
  <c r="BJ12" i="3"/>
  <c r="BF12" i="3"/>
  <c r="BN111" i="3"/>
  <c r="BN86" i="3"/>
  <c r="BS18" i="3"/>
  <c r="BZ40" i="10" a="1"/>
  <c r="BZ40" i="10"/>
  <c r="O40" i="10"/>
  <c r="O21" i="10"/>
  <c r="O25" i="10"/>
  <c r="BX37" i="10"/>
  <c r="BW37" i="10"/>
  <c r="BV37" i="10"/>
  <c r="BZ25" i="10"/>
  <c r="BY37" i="10"/>
  <c r="BU14" i="10"/>
  <c r="N14" i="10"/>
  <c r="L71" i="6"/>
  <c r="BL56" i="7"/>
  <c r="BL71" i="7"/>
  <c r="BL34" i="6"/>
  <c r="BL20" i="7"/>
  <c r="BM65" i="7"/>
  <c r="BL157" i="6"/>
  <c r="BL40" i="6"/>
  <c r="BL34" i="7"/>
  <c r="BM74" i="7"/>
  <c r="BL12" i="6"/>
  <c r="BL12" i="7"/>
  <c r="BM58" i="7"/>
  <c r="BL39" i="6"/>
  <c r="BL33" i="7"/>
  <c r="BM73" i="7"/>
  <c r="BL14" i="6"/>
  <c r="BL14" i="7"/>
  <c r="BM60" i="7"/>
  <c r="BL33" i="6"/>
  <c r="BL19" i="7"/>
  <c r="BM64" i="7"/>
  <c r="BL21" i="6"/>
  <c r="BL32" i="6"/>
  <c r="BL18" i="7"/>
  <c r="BM63" i="7"/>
  <c r="BL13" i="6"/>
  <c r="BL13" i="7"/>
  <c r="BM59" i="7"/>
  <c r="BL23" i="6"/>
  <c r="BL32" i="7"/>
  <c r="BI67" i="7"/>
  <c r="M10" i="10"/>
  <c r="BH111" i="3"/>
  <c r="Y40" i="12"/>
  <c r="Z18" i="12"/>
  <c r="Z40" i="12"/>
  <c r="BS80" i="3"/>
  <c r="BS81" i="3"/>
  <c r="O13" i="10"/>
  <c r="BN72" i="7"/>
  <c r="BP86" i="10"/>
  <c r="BP124" i="10"/>
  <c r="M124" i="10"/>
  <c r="M84" i="10"/>
  <c r="M86" i="10"/>
  <c r="BV9" i="10"/>
  <c r="BV9" i="3"/>
  <c r="BV97" i="7"/>
  <c r="BV84" i="10"/>
  <c r="BV77" i="10"/>
  <c r="BV91" i="10"/>
  <c r="BV105" i="10"/>
  <c r="BV98" i="10"/>
  <c r="BM35" i="7"/>
  <c r="BG166" i="6"/>
  <c r="BG30" i="6"/>
  <c r="BG38" i="6"/>
  <c r="BG41" i="6"/>
  <c r="BG25" i="7"/>
  <c r="BN37" i="6"/>
  <c r="Y39" i="12"/>
  <c r="Z13" i="12"/>
  <c r="BR74" i="3"/>
  <c r="BK86" i="10"/>
  <c r="BK124" i="10"/>
  <c r="L124" i="10"/>
  <c r="K15" i="3"/>
  <c r="BF105" i="10"/>
  <c r="BK15" i="3"/>
  <c r="BH102" i="7"/>
  <c r="BH109" i="7"/>
  <c r="BI70" i="7"/>
  <c r="BF93" i="10"/>
  <c r="BF125" i="10"/>
  <c r="K125" i="10"/>
  <c r="K91" i="10"/>
  <c r="K93" i="10"/>
  <c r="BJ13" i="3"/>
  <c r="BF13" i="3"/>
  <c r="BE78" i="3"/>
  <c r="BE79" i="3"/>
  <c r="BE107" i="3"/>
  <c r="BM91" i="3"/>
  <c r="BR25" i="3"/>
  <c r="BI150" i="6"/>
  <c r="BI139" i="6"/>
  <c r="BI138" i="6"/>
  <c r="M105" i="10"/>
  <c r="M107" i="10"/>
  <c r="BP107" i="10"/>
  <c r="BP127" i="10"/>
  <c r="M127" i="10"/>
  <c r="BS25" i="3"/>
  <c r="BN115" i="3"/>
  <c r="BN91" i="3"/>
  <c r="BX109" i="3"/>
  <c r="BM146" i="6"/>
  <c r="BM137" i="6"/>
  <c r="BS76" i="3"/>
  <c r="BS77" i="3"/>
  <c r="BH64" i="8"/>
  <c r="BH67" i="8"/>
  <c r="BH54" i="8"/>
  <c r="BI122" i="3"/>
  <c r="BH167" i="6"/>
  <c r="BH168" i="6"/>
  <c r="BE39" i="7"/>
  <c r="BE71" i="7"/>
  <c r="BE56" i="7"/>
  <c r="BE68" i="7"/>
  <c r="BE158" i="6"/>
  <c r="BE91" i="6"/>
  <c r="BE21" i="6"/>
  <c r="BE13" i="6"/>
  <c r="BE84" i="3"/>
  <c r="BE85" i="3"/>
  <c r="BE33" i="6"/>
  <c r="BE39" i="6"/>
  <c r="BE14" i="6"/>
  <c r="BE69" i="7"/>
  <c r="BE21" i="3"/>
  <c r="BE76" i="10"/>
  <c r="BE104" i="3"/>
  <c r="BE34" i="6"/>
  <c r="BE32" i="6"/>
  <c r="BE121" i="10"/>
  <c r="BE25" i="3"/>
  <c r="BG115" i="3"/>
  <c r="BE89" i="6"/>
  <c r="BE24" i="3"/>
  <c r="BE18" i="3"/>
  <c r="BG111" i="3"/>
  <c r="BF8" i="3"/>
  <c r="BF85" i="10"/>
  <c r="BE23" i="6"/>
  <c r="BE89" i="3"/>
  <c r="BE12" i="6"/>
  <c r="BJ8" i="3"/>
  <c r="BJ82" i="3"/>
  <c r="BJ83" i="3"/>
  <c r="BE11" i="6"/>
  <c r="BE40" i="6"/>
  <c r="BH138" i="6"/>
  <c r="BH150" i="6"/>
  <c r="BH139" i="6"/>
  <c r="BU11" i="10"/>
  <c r="BU9" i="10"/>
  <c r="BM86" i="3"/>
  <c r="BR18" i="3"/>
  <c r="BS78" i="3"/>
  <c r="BM104" i="3"/>
  <c r="BR76" i="3"/>
  <c r="BH75" i="3"/>
  <c r="BG108" i="3"/>
  <c r="BK93" i="10"/>
  <c r="BK125" i="10"/>
  <c r="L125" i="10"/>
  <c r="BS74" i="3"/>
  <c r="AI40" i="12"/>
  <c r="AJ18" i="12"/>
  <c r="BL80" i="3"/>
  <c r="BL108" i="3"/>
  <c r="BM108" i="3"/>
  <c r="AI38" i="12"/>
  <c r="AJ12" i="12"/>
  <c r="BE82" i="3"/>
  <c r="BE83" i="3"/>
  <c r="M98" i="10"/>
  <c r="M100" i="10"/>
  <c r="BP100" i="10"/>
  <c r="BP126" i="10"/>
  <c r="M126" i="10"/>
  <c r="BE108" i="6"/>
  <c r="BE31" i="6"/>
  <c r="BJ11" i="3"/>
  <c r="BL105" i="3"/>
  <c r="BE74" i="3"/>
  <c r="BE75" i="3"/>
  <c r="BF11" i="3"/>
  <c r="BE105" i="3"/>
  <c r="BM30" i="6"/>
  <c r="BM38" i="6"/>
  <c r="BM41" i="6"/>
  <c r="BM25" i="7"/>
  <c r="BM166" i="6"/>
  <c r="BN25" i="7"/>
  <c r="BN128" i="6"/>
  <c r="BN166" i="6"/>
  <c r="BN30" i="6"/>
  <c r="BK100" i="10"/>
  <c r="BK126" i="10"/>
  <c r="L126" i="10"/>
  <c r="BQ9" i="10"/>
  <c r="BQ9" i="3"/>
  <c r="BQ97" i="7"/>
  <c r="BQ105" i="10"/>
  <c r="BQ91" i="10"/>
  <c r="BQ98" i="10"/>
  <c r="BQ84" i="10"/>
  <c r="BQ77" i="10"/>
  <c r="BF79" i="10"/>
  <c r="BF123" i="10"/>
  <c r="K123" i="10"/>
  <c r="K77" i="10"/>
  <c r="K79" i="10"/>
  <c r="BR82" i="3"/>
  <c r="O15" i="10"/>
  <c r="BZ16" i="10"/>
  <c r="O16" i="10"/>
  <c r="L86" i="10"/>
  <c r="BX82" i="3"/>
  <c r="BZ14" i="10"/>
  <c r="O14" i="10"/>
  <c r="BS74" i="7"/>
  <c r="BS83" i="3"/>
  <c r="BS58" i="7"/>
  <c r="BE19" i="3"/>
  <c r="BE59" i="3"/>
  <c r="N11" i="10"/>
  <c r="H193" i="7"/>
  <c r="BW82" i="3"/>
  <c r="BX83" i="3"/>
  <c r="BS59" i="7"/>
  <c r="BW78" i="3"/>
  <c r="BX79" i="3"/>
  <c r="BW74" i="3"/>
  <c r="BS65" i="7"/>
  <c r="BS60" i="7"/>
  <c r="BW76" i="3"/>
  <c r="BS35" i="7"/>
  <c r="BS109" i="7"/>
  <c r="BX80" i="3"/>
  <c r="BX81" i="3"/>
  <c r="BS63" i="7"/>
  <c r="BX76" i="3"/>
  <c r="BX77" i="3"/>
  <c r="L79" i="10"/>
  <c r="BR35" i="7"/>
  <c r="BR102" i="7"/>
  <c r="BS64" i="7"/>
  <c r="BF99" i="10"/>
  <c r="K99" i="10"/>
  <c r="L93" i="10"/>
  <c r="BF82" i="3"/>
  <c r="BG83" i="3"/>
  <c r="BS73" i="7"/>
  <c r="L100" i="10"/>
  <c r="BF92" i="10"/>
  <c r="K92" i="10"/>
  <c r="BF78" i="10"/>
  <c r="BF116" i="10"/>
  <c r="K116" i="10"/>
  <c r="BF117" i="10"/>
  <c r="K117" i="10"/>
  <c r="K85" i="10"/>
  <c r="BE20" i="7"/>
  <c r="BE65" i="7"/>
  <c r="BF34" i="6"/>
  <c r="BS86" i="3"/>
  <c r="BS111" i="3"/>
  <c r="BX18" i="3"/>
  <c r="BN138" i="6"/>
  <c r="BN150" i="6"/>
  <c r="BN139" i="6"/>
  <c r="Z39" i="12"/>
  <c r="BF14" i="6"/>
  <c r="BE14" i="7"/>
  <c r="BE60" i="7"/>
  <c r="BI151" i="6"/>
  <c r="BL25" i="7"/>
  <c r="BL166" i="6"/>
  <c r="BL30" i="6"/>
  <c r="BL38" i="6"/>
  <c r="BL41" i="6"/>
  <c r="BJ106" i="3"/>
  <c r="BO12" i="3"/>
  <c r="BJ76" i="3"/>
  <c r="BJ77" i="3"/>
  <c r="BK12" i="3"/>
  <c r="BL86" i="3"/>
  <c r="BR91" i="3"/>
  <c r="BW25" i="3"/>
  <c r="BZ9" i="10"/>
  <c r="BG146" i="6"/>
  <c r="BG144" i="6"/>
  <c r="BG137" i="6"/>
  <c r="K12" i="3"/>
  <c r="BF76" i="3"/>
  <c r="AJ38" i="12"/>
  <c r="AK12" i="12"/>
  <c r="BE112" i="3"/>
  <c r="BE87" i="3"/>
  <c r="BE88" i="3"/>
  <c r="BE26" i="3"/>
  <c r="BE61" i="3"/>
  <c r="BE62" i="3"/>
  <c r="BE41" i="7"/>
  <c r="BE42" i="7"/>
  <c r="BE20" i="3"/>
  <c r="BN38" i="6"/>
  <c r="BN167" i="6"/>
  <c r="BE13" i="7"/>
  <c r="BE59" i="7"/>
  <c r="BF13" i="6"/>
  <c r="O11" i="10"/>
  <c r="O10" i="10"/>
  <c r="BE12" i="7"/>
  <c r="BE58" i="7"/>
  <c r="BF12" i="6"/>
  <c r="BF78" i="3"/>
  <c r="K13" i="3"/>
  <c r="BG64" i="8"/>
  <c r="BG67" i="8"/>
  <c r="BG54" i="8"/>
  <c r="BG167" i="6"/>
  <c r="BG168" i="6"/>
  <c r="BH122" i="3"/>
  <c r="BN67" i="7"/>
  <c r="BM167" i="6"/>
  <c r="BN122" i="3"/>
  <c r="BS75" i="3"/>
  <c r="BJ107" i="3"/>
  <c r="BO13" i="3"/>
  <c r="BJ78" i="3"/>
  <c r="BJ79" i="3"/>
  <c r="BK13" i="3"/>
  <c r="BE33" i="7"/>
  <c r="BE73" i="7"/>
  <c r="BF39" i="6"/>
  <c r="AJ40" i="12"/>
  <c r="AK18" i="12"/>
  <c r="BM128" i="6"/>
  <c r="BM83" i="3"/>
  <c r="BI17" i="3"/>
  <c r="BI23" i="3"/>
  <c r="BL91" i="3"/>
  <c r="BF108" i="6"/>
  <c r="BF74" i="3"/>
  <c r="K11" i="3"/>
  <c r="BT15" i="3"/>
  <c r="BO109" i="3"/>
  <c r="BE32" i="7"/>
  <c r="BF23" i="6"/>
  <c r="BS137" i="6"/>
  <c r="BS146" i="6"/>
  <c r="BG109" i="7"/>
  <c r="BG102" i="7"/>
  <c r="BH70" i="7"/>
  <c r="BU77" i="10"/>
  <c r="BQ79" i="10"/>
  <c r="BQ123" i="10"/>
  <c r="BQ11" i="3"/>
  <c r="BM102" i="7"/>
  <c r="BM109" i="7"/>
  <c r="BN70" i="7"/>
  <c r="BS128" i="6"/>
  <c r="BS25" i="7"/>
  <c r="BS166" i="6"/>
  <c r="BS30" i="6"/>
  <c r="BE17" i="7"/>
  <c r="BF31" i="6"/>
  <c r="BE86" i="3"/>
  <c r="BF18" i="3"/>
  <c r="BF19" i="3"/>
  <c r="BJ18" i="3"/>
  <c r="BL111" i="3"/>
  <c r="BE111" i="3"/>
  <c r="BV100" i="10"/>
  <c r="BV126" i="10"/>
  <c r="BZ98" i="10"/>
  <c r="BW56" i="7"/>
  <c r="BW71" i="7"/>
  <c r="BW14" i="6"/>
  <c r="BW14" i="7"/>
  <c r="BW40" i="6"/>
  <c r="BW34" i="7"/>
  <c r="BW32" i="6"/>
  <c r="BW18" i="7"/>
  <c r="BW12" i="6"/>
  <c r="BW12" i="7"/>
  <c r="BW13" i="6"/>
  <c r="BW13" i="7"/>
  <c r="BW33" i="6"/>
  <c r="BW19" i="7"/>
  <c r="BW21" i="6"/>
  <c r="BW23" i="6"/>
  <c r="BW32" i="7"/>
  <c r="BW39" i="6"/>
  <c r="BW33" i="7"/>
  <c r="BW157" i="6"/>
  <c r="BW145" i="6"/>
  <c r="BW34" i="6"/>
  <c r="BW20" i="7"/>
  <c r="BV107" i="10"/>
  <c r="BV127" i="10"/>
  <c r="BZ105" i="10"/>
  <c r="BZ37" i="10"/>
  <c r="BM77" i="3"/>
  <c r="BU91" i="10"/>
  <c r="BQ93" i="10"/>
  <c r="BQ125" i="10"/>
  <c r="BQ13" i="3"/>
  <c r="L15" i="3"/>
  <c r="BV93" i="10"/>
  <c r="BV125" i="10"/>
  <c r="BZ91" i="10"/>
  <c r="BL35" i="7"/>
  <c r="BM72" i="7"/>
  <c r="BJ108" i="3"/>
  <c r="BJ80" i="3"/>
  <c r="BJ81" i="3"/>
  <c r="BO14" i="3"/>
  <c r="BK14" i="3"/>
  <c r="BN47" i="6"/>
  <c r="BH151" i="6"/>
  <c r="BO37" i="6"/>
  <c r="BE11" i="7"/>
  <c r="BE88" i="6"/>
  <c r="BF89" i="6"/>
  <c r="BF11" i="6"/>
  <c r="BJ56" i="7"/>
  <c r="BJ39" i="6"/>
  <c r="BJ157" i="6"/>
  <c r="BJ34" i="6"/>
  <c r="BJ40" i="6"/>
  <c r="BJ12" i="6"/>
  <c r="BO8" i="3"/>
  <c r="BJ23" i="6"/>
  <c r="BJ13" i="6"/>
  <c r="BJ32" i="6"/>
  <c r="BJ21" i="6"/>
  <c r="BJ14" i="6"/>
  <c r="BJ71" i="7"/>
  <c r="BJ104" i="3"/>
  <c r="BJ33" i="6"/>
  <c r="BK8" i="3"/>
  <c r="BK82" i="3"/>
  <c r="BK83" i="3"/>
  <c r="BH67" i="7"/>
  <c r="M15" i="3"/>
  <c r="BS72" i="7"/>
  <c r="BJ74" i="3"/>
  <c r="BJ75" i="3"/>
  <c r="BJ108" i="6"/>
  <c r="BO11" i="3"/>
  <c r="BJ105" i="3"/>
  <c r="BK11" i="3"/>
  <c r="BF39" i="7"/>
  <c r="BF158" i="6"/>
  <c r="BF89" i="3"/>
  <c r="BF140" i="6"/>
  <c r="BF121" i="10"/>
  <c r="K121" i="10"/>
  <c r="BF84" i="3"/>
  <c r="BF85" i="3"/>
  <c r="BF21" i="3"/>
  <c r="K8" i="3"/>
  <c r="BM150" i="6"/>
  <c r="BM139" i="6"/>
  <c r="BM138" i="6"/>
  <c r="BL145" i="6"/>
  <c r="BJ17" i="3"/>
  <c r="BJ23" i="3"/>
  <c r="BU84" i="10"/>
  <c r="BQ86" i="10"/>
  <c r="BQ124" i="10"/>
  <c r="BQ12" i="3"/>
  <c r="BE40" i="7"/>
  <c r="BL104" i="3"/>
  <c r="BM75" i="3"/>
  <c r="BQ100" i="10"/>
  <c r="BQ126" i="10"/>
  <c r="BQ14" i="3"/>
  <c r="BU98" i="10"/>
  <c r="BF24" i="3"/>
  <c r="BE114" i="3"/>
  <c r="BG24" i="3"/>
  <c r="BE90" i="3"/>
  <c r="BU105" i="10"/>
  <c r="BQ107" i="10"/>
  <c r="BQ127" i="10"/>
  <c r="BQ15" i="3"/>
  <c r="BS79" i="3"/>
  <c r="BE115" i="3"/>
  <c r="BF25" i="3"/>
  <c r="BJ25" i="3"/>
  <c r="BL115" i="3"/>
  <c r="BE91" i="3"/>
  <c r="BF107" i="10"/>
  <c r="BF127" i="10"/>
  <c r="K127" i="10"/>
  <c r="BF106" i="10"/>
  <c r="K105" i="10"/>
  <c r="BK107" i="10"/>
  <c r="BK127" i="10"/>
  <c r="L127" i="10"/>
  <c r="BV79" i="10"/>
  <c r="BV123" i="10"/>
  <c r="BZ77" i="10"/>
  <c r="BX71" i="7"/>
  <c r="BX32" i="6"/>
  <c r="BX18" i="7"/>
  <c r="BX56" i="7"/>
  <c r="BX12" i="6"/>
  <c r="BX12" i="7"/>
  <c r="BX13" i="6"/>
  <c r="BX13" i="7"/>
  <c r="BX104" i="3"/>
  <c r="BX23" i="6"/>
  <c r="BX32" i="7"/>
  <c r="BX34" i="6"/>
  <c r="BX20" i="7"/>
  <c r="BX65" i="7"/>
  <c r="BX40" i="6"/>
  <c r="BX34" i="7"/>
  <c r="BX39" i="6"/>
  <c r="BX33" i="7"/>
  <c r="BX14" i="6"/>
  <c r="BX14" i="7"/>
  <c r="BX33" i="6"/>
  <c r="BX19" i="7"/>
  <c r="BX157" i="6"/>
  <c r="BX145" i="6"/>
  <c r="BX21" i="6"/>
  <c r="BR25" i="7"/>
  <c r="BR166" i="6"/>
  <c r="BR30" i="6"/>
  <c r="BN109" i="7"/>
  <c r="BN102" i="7"/>
  <c r="BX74" i="3"/>
  <c r="BM79" i="3"/>
  <c r="BE34" i="7"/>
  <c r="BE74" i="7"/>
  <c r="BF40" i="6"/>
  <c r="BE128" i="6"/>
  <c r="BE166" i="6"/>
  <c r="BE25" i="7"/>
  <c r="BE30" i="6"/>
  <c r="BF21" i="6"/>
  <c r="BR137" i="6"/>
  <c r="BR146" i="6"/>
  <c r="BF80" i="3"/>
  <c r="K14" i="3"/>
  <c r="BL106" i="3"/>
  <c r="BM81" i="3"/>
  <c r="BF33" i="6"/>
  <c r="BE19" i="7"/>
  <c r="BE64" i="7"/>
  <c r="BW18" i="3"/>
  <c r="BR86" i="3"/>
  <c r="BS91" i="3"/>
  <c r="BS115" i="3"/>
  <c r="BX25" i="3"/>
  <c r="K109" i="3"/>
  <c r="BV86" i="10"/>
  <c r="BV124" i="10"/>
  <c r="BZ84" i="10"/>
  <c r="BQ8" i="3"/>
  <c r="BM111" i="3"/>
  <c r="BE18" i="7"/>
  <c r="BE63" i="7"/>
  <c r="BF32" i="6"/>
  <c r="AK10" i="12"/>
  <c r="AJ37" i="12"/>
  <c r="BL107" i="3"/>
  <c r="N9" i="10"/>
  <c r="BE28" i="3"/>
  <c r="BE29" i="3"/>
  <c r="BR109" i="7"/>
  <c r="BM151" i="6"/>
  <c r="BF83" i="3"/>
  <c r="BX73" i="7"/>
  <c r="BX75" i="3"/>
  <c r="BS102" i="7"/>
  <c r="BO122" i="3"/>
  <c r="BF118" i="10"/>
  <c r="K118" i="10"/>
  <c r="BX64" i="7"/>
  <c r="BX59" i="7"/>
  <c r="BX60" i="7"/>
  <c r="BF119" i="10"/>
  <c r="K119" i="10"/>
  <c r="BX63" i="7"/>
  <c r="BS70" i="7"/>
  <c r="BX74" i="7"/>
  <c r="BX58" i="7"/>
  <c r="K78" i="10"/>
  <c r="BF114" i="6"/>
  <c r="BO56" i="7"/>
  <c r="BO23" i="6"/>
  <c r="BO104" i="3"/>
  <c r="BT8" i="3"/>
  <c r="BT82" i="3"/>
  <c r="BT83" i="3"/>
  <c r="BO40" i="6"/>
  <c r="BO12" i="6"/>
  <c r="BO32" i="6"/>
  <c r="BO14" i="6"/>
  <c r="BO157" i="6"/>
  <c r="BO33" i="6"/>
  <c r="BO34" i="6"/>
  <c r="BO13" i="6"/>
  <c r="BO21" i="6"/>
  <c r="BO39" i="6"/>
  <c r="BO71" i="7"/>
  <c r="BP8" i="3"/>
  <c r="K106" i="3"/>
  <c r="K76" i="3"/>
  <c r="K77" i="3"/>
  <c r="BM122" i="3"/>
  <c r="BL167" i="6"/>
  <c r="BK108" i="6"/>
  <c r="BK74" i="3"/>
  <c r="L11" i="3"/>
  <c r="BO80" i="3"/>
  <c r="BO81" i="3"/>
  <c r="BT14" i="3"/>
  <c r="BU14" i="3"/>
  <c r="BO108" i="3"/>
  <c r="BP14" i="3"/>
  <c r="BT109" i="3"/>
  <c r="BY15" i="3"/>
  <c r="BU86" i="10"/>
  <c r="BU124" i="10"/>
  <c r="N124" i="10"/>
  <c r="N84" i="10"/>
  <c r="N86" i="10"/>
  <c r="BF75" i="3"/>
  <c r="BG75" i="3"/>
  <c r="K108" i="3"/>
  <c r="K80" i="3"/>
  <c r="K81" i="3"/>
  <c r="BS67" i="7"/>
  <c r="K106" i="10"/>
  <c r="BF120" i="10"/>
  <c r="K120" i="10"/>
  <c r="BF13" i="7"/>
  <c r="BG59" i="7"/>
  <c r="BF111" i="6"/>
  <c r="K13" i="6"/>
  <c r="BH144" i="6"/>
  <c r="BG17" i="6"/>
  <c r="BH149" i="6"/>
  <c r="BH16" i="3"/>
  <c r="BM67" i="7"/>
  <c r="AL10" i="12"/>
  <c r="AK37" i="12"/>
  <c r="BF81" i="3"/>
  <c r="BG81" i="3"/>
  <c r="BJ113" i="3"/>
  <c r="BJ89" i="3"/>
  <c r="BJ34" i="7"/>
  <c r="BJ74" i="7"/>
  <c r="BK40" i="6"/>
  <c r="BL102" i="7"/>
  <c r="BL109" i="7"/>
  <c r="BM70" i="7"/>
  <c r="BG150" i="6"/>
  <c r="BG151" i="6"/>
  <c r="BG138" i="6"/>
  <c r="BR138" i="6"/>
  <c r="BR150" i="6"/>
  <c r="BR139" i="6"/>
  <c r="BX166" i="6"/>
  <c r="BX25" i="7"/>
  <c r="BX128" i="6"/>
  <c r="BX30" i="6"/>
  <c r="BJ20" i="7"/>
  <c r="BJ65" i="7"/>
  <c r="BK34" i="6"/>
  <c r="O91" i="10"/>
  <c r="BZ93" i="10"/>
  <c r="BZ125" i="10"/>
  <c r="O125" i="10"/>
  <c r="BK78" i="3"/>
  <c r="L13" i="3"/>
  <c r="BG149" i="6"/>
  <c r="BF18" i="7"/>
  <c r="BG63" i="7"/>
  <c r="K32" i="6"/>
  <c r="BF115" i="6"/>
  <c r="BX137" i="6"/>
  <c r="BX146" i="6"/>
  <c r="BJ91" i="3"/>
  <c r="BJ115" i="3"/>
  <c r="BO25" i="3"/>
  <c r="BK25" i="3"/>
  <c r="BL137" i="6"/>
  <c r="BL146" i="6"/>
  <c r="M109" i="3"/>
  <c r="BJ145" i="6"/>
  <c r="BK157" i="6"/>
  <c r="BE64" i="3"/>
  <c r="BF112" i="6"/>
  <c r="BF14" i="7"/>
  <c r="BG60" i="7"/>
  <c r="K14" i="6"/>
  <c r="BF19" i="7"/>
  <c r="BG64" i="7"/>
  <c r="K33" i="6"/>
  <c r="BF116" i="6"/>
  <c r="O77" i="10"/>
  <c r="BZ79" i="10"/>
  <c r="BZ123" i="10"/>
  <c r="O123" i="10"/>
  <c r="BF12" i="7"/>
  <c r="BG58" i="7"/>
  <c r="BF110" i="6"/>
  <c r="K12" i="6"/>
  <c r="BF77" i="3"/>
  <c r="BG77" i="3"/>
  <c r="BE21" i="7"/>
  <c r="BE62" i="7"/>
  <c r="BF79" i="3"/>
  <c r="BG79" i="3"/>
  <c r="BF33" i="7"/>
  <c r="BG73" i="7"/>
  <c r="BF123" i="6"/>
  <c r="K39" i="6"/>
  <c r="BR38" i="6"/>
  <c r="BR167" i="6"/>
  <c r="BJ12" i="7"/>
  <c r="BJ58" i="7"/>
  <c r="BK12" i="6"/>
  <c r="BV12" i="3"/>
  <c r="BQ76" i="3"/>
  <c r="BQ106" i="3"/>
  <c r="BR106" i="3"/>
  <c r="BW35" i="7"/>
  <c r="BF30" i="6"/>
  <c r="BQ71" i="7"/>
  <c r="BQ56" i="7"/>
  <c r="BQ39" i="6"/>
  <c r="BQ33" i="7"/>
  <c r="BR73" i="7"/>
  <c r="BQ12" i="6"/>
  <c r="BQ12" i="7"/>
  <c r="BR58" i="7"/>
  <c r="BQ23" i="6"/>
  <c r="BQ32" i="7"/>
  <c r="BQ33" i="6"/>
  <c r="BQ19" i="7"/>
  <c r="BR64" i="7"/>
  <c r="BQ34" i="6"/>
  <c r="BQ20" i="7"/>
  <c r="BR65" i="7"/>
  <c r="BQ14" i="6"/>
  <c r="BQ14" i="7"/>
  <c r="BR60" i="7"/>
  <c r="BQ40" i="6"/>
  <c r="BQ34" i="7"/>
  <c r="BR74" i="7"/>
  <c r="BQ21" i="6"/>
  <c r="BQ13" i="6"/>
  <c r="BQ13" i="7"/>
  <c r="BR59" i="7"/>
  <c r="BQ32" i="6"/>
  <c r="BQ18" i="7"/>
  <c r="BR63" i="7"/>
  <c r="BQ157" i="6"/>
  <c r="BV8" i="3"/>
  <c r="BQ104" i="3"/>
  <c r="BR104" i="3"/>
  <c r="BQ25" i="3"/>
  <c r="BW91" i="3"/>
  <c r="N91" i="10"/>
  <c r="N93" i="10"/>
  <c r="BU93" i="10"/>
  <c r="BU125" i="10"/>
  <c r="N125" i="10"/>
  <c r="BE165" i="6"/>
  <c r="BE168" i="6"/>
  <c r="K68" i="7"/>
  <c r="BF68" i="7"/>
  <c r="K69" i="7"/>
  <c r="BF69" i="7"/>
  <c r="K9" i="12"/>
  <c r="K84" i="3"/>
  <c r="K85" i="3"/>
  <c r="K104" i="3"/>
  <c r="K39" i="7"/>
  <c r="K91" i="6"/>
  <c r="K89" i="6"/>
  <c r="K56" i="7"/>
  <c r="BF56" i="7"/>
  <c r="K140" i="6"/>
  <c r="K158" i="6"/>
  <c r="K71" i="7"/>
  <c r="BF71" i="7"/>
  <c r="K89" i="3"/>
  <c r="BZ100" i="10"/>
  <c r="BZ126" i="10"/>
  <c r="O126" i="10"/>
  <c r="O98" i="10"/>
  <c r="BN23" i="3"/>
  <c r="BN17" i="3"/>
  <c r="BN151" i="6"/>
  <c r="K21" i="3"/>
  <c r="K76" i="10"/>
  <c r="BF76" i="10"/>
  <c r="BE38" i="6"/>
  <c r="BE64" i="8"/>
  <c r="BE67" i="8"/>
  <c r="BE54" i="8"/>
  <c r="BK80" i="3"/>
  <c r="L14" i="3"/>
  <c r="BS38" i="6"/>
  <c r="BS167" i="6"/>
  <c r="BO108" i="6"/>
  <c r="BO105" i="3"/>
  <c r="BO74" i="3"/>
  <c r="BO75" i="3"/>
  <c r="BT11" i="3"/>
  <c r="BU11" i="3"/>
  <c r="BP11" i="3"/>
  <c r="K108" i="6"/>
  <c r="K105" i="3"/>
  <c r="K74" i="3"/>
  <c r="K75" i="3"/>
  <c r="K107" i="10"/>
  <c r="L107" i="10"/>
  <c r="K25" i="3"/>
  <c r="BF91" i="3"/>
  <c r="L109" i="3"/>
  <c r="BO78" i="3"/>
  <c r="BO79" i="3"/>
  <c r="BT13" i="3"/>
  <c r="BU13" i="3"/>
  <c r="BO107" i="3"/>
  <c r="BP13" i="3"/>
  <c r="BF11" i="7"/>
  <c r="K11" i="6"/>
  <c r="K109" i="6"/>
  <c r="BF88" i="6"/>
  <c r="BG89" i="6"/>
  <c r="BG11" i="6"/>
  <c r="BQ108" i="6"/>
  <c r="BV11" i="3"/>
  <c r="BQ105" i="3"/>
  <c r="BQ74" i="3"/>
  <c r="BR105" i="3"/>
  <c r="BJ33" i="7"/>
  <c r="BJ73" i="7"/>
  <c r="BK39" i="6"/>
  <c r="BQ107" i="3"/>
  <c r="BV13" i="3"/>
  <c r="BQ78" i="3"/>
  <c r="BR107" i="3"/>
  <c r="N77" i="10"/>
  <c r="N79" i="10"/>
  <c r="BU79" i="10"/>
  <c r="BU123" i="10"/>
  <c r="N123" i="10"/>
  <c r="O84" i="10"/>
  <c r="BZ86" i="10"/>
  <c r="BZ124" i="10"/>
  <c r="O124" i="10"/>
  <c r="BE28" i="7"/>
  <c r="BE67" i="7"/>
  <c r="BU15" i="3"/>
  <c r="BV15" i="3"/>
  <c r="BQ109" i="3"/>
  <c r="BQ82" i="3"/>
  <c r="BR109" i="3"/>
  <c r="L8" i="3"/>
  <c r="L82" i="3"/>
  <c r="BK9" i="3"/>
  <c r="BK78" i="10"/>
  <c r="BK85" i="10"/>
  <c r="BK92" i="10"/>
  <c r="BK106" i="10"/>
  <c r="BK99" i="10"/>
  <c r="BI89" i="3"/>
  <c r="BE116" i="3"/>
  <c r="BE60" i="3"/>
  <c r="N105" i="10"/>
  <c r="N107" i="10"/>
  <c r="BU107" i="10"/>
  <c r="BU127" i="10"/>
  <c r="N127" i="10"/>
  <c r="BJ19" i="7"/>
  <c r="BJ64" i="7"/>
  <c r="BK33" i="6"/>
  <c r="BE15" i="7"/>
  <c r="BE57" i="7"/>
  <c r="BX72" i="7"/>
  <c r="BX111" i="3"/>
  <c r="BX86" i="3"/>
  <c r="K82" i="3"/>
  <c r="K83" i="3"/>
  <c r="BH24" i="3"/>
  <c r="BG114" i="3"/>
  <c r="BG90" i="3"/>
  <c r="BF59" i="3"/>
  <c r="BF26" i="3"/>
  <c r="BF20" i="3"/>
  <c r="K20" i="3"/>
  <c r="BF61" i="3"/>
  <c r="BF62" i="3"/>
  <c r="BF41" i="7"/>
  <c r="BF42" i="7"/>
  <c r="BF87" i="3"/>
  <c r="BF88" i="3"/>
  <c r="BN41" i="6"/>
  <c r="BS138" i="6"/>
  <c r="BS150" i="6"/>
  <c r="BS139" i="6"/>
  <c r="BL83" i="3"/>
  <c r="BX115" i="3"/>
  <c r="BX91" i="3"/>
  <c r="BF34" i="7"/>
  <c r="BG74" i="7"/>
  <c r="BF124" i="6"/>
  <c r="K40" i="6"/>
  <c r="BP37" i="6"/>
  <c r="BQ18" i="3"/>
  <c r="K24" i="3"/>
  <c r="BF90" i="3"/>
  <c r="BJ14" i="7"/>
  <c r="BJ60" i="7"/>
  <c r="BK14" i="6"/>
  <c r="O105" i="10"/>
  <c r="BZ107" i="10"/>
  <c r="BZ127" i="10"/>
  <c r="O127" i="10"/>
  <c r="BO18" i="3"/>
  <c r="BJ111" i="3"/>
  <c r="BJ86" i="3"/>
  <c r="BK18" i="3"/>
  <c r="AK38" i="12"/>
  <c r="AL12" i="12"/>
  <c r="BF20" i="7"/>
  <c r="BG65" i="7"/>
  <c r="BF117" i="6"/>
  <c r="K34" i="6"/>
  <c r="BU100" i="10"/>
  <c r="BU126" i="10"/>
  <c r="N126" i="10"/>
  <c r="N98" i="10"/>
  <c r="N100" i="10"/>
  <c r="BJ166" i="6"/>
  <c r="BK21" i="6"/>
  <c r="BK128" i="6"/>
  <c r="BJ30" i="6"/>
  <c r="BJ38" i="6"/>
  <c r="BJ128" i="6"/>
  <c r="BJ25" i="7"/>
  <c r="K18" i="3"/>
  <c r="BF86" i="3"/>
  <c r="BH17" i="3"/>
  <c r="BH23" i="3"/>
  <c r="L12" i="3"/>
  <c r="BK76" i="3"/>
  <c r="BX35" i="7"/>
  <c r="BQ80" i="3"/>
  <c r="BQ108" i="3"/>
  <c r="BV14" i="3"/>
  <c r="BR108" i="3"/>
  <c r="BJ18" i="7"/>
  <c r="BJ63" i="7"/>
  <c r="BK32" i="6"/>
  <c r="BF32" i="7"/>
  <c r="BF122" i="6"/>
  <c r="K23" i="6"/>
  <c r="BF109" i="6"/>
  <c r="BJ13" i="7"/>
  <c r="BJ59" i="7"/>
  <c r="BK13" i="6"/>
  <c r="BE35" i="7"/>
  <c r="BE72" i="7"/>
  <c r="BO106" i="3"/>
  <c r="BO76" i="3"/>
  <c r="BO77" i="3"/>
  <c r="BT12" i="3"/>
  <c r="BU12" i="3"/>
  <c r="BP12" i="3"/>
  <c r="BF40" i="7"/>
  <c r="BO82" i="3"/>
  <c r="BO83" i="3"/>
  <c r="BW25" i="7"/>
  <c r="BW166" i="6"/>
  <c r="BW30" i="6"/>
  <c r="BW38" i="6"/>
  <c r="I193" i="7"/>
  <c r="O9" i="10"/>
  <c r="BF166" i="6"/>
  <c r="BF25" i="7"/>
  <c r="BF162" i="6"/>
  <c r="BF128" i="6"/>
  <c r="K21" i="6"/>
  <c r="BG128" i="6"/>
  <c r="BW86" i="3"/>
  <c r="BJ32" i="7"/>
  <c r="BK23" i="6"/>
  <c r="BO47" i="6"/>
  <c r="BW137" i="6"/>
  <c r="BW146" i="6"/>
  <c r="BF17" i="7"/>
  <c r="K31" i="6"/>
  <c r="K17" i="7"/>
  <c r="K62" i="7"/>
  <c r="BF62" i="7"/>
  <c r="BG31" i="6"/>
  <c r="AL18" i="12"/>
  <c r="AK40" i="12"/>
  <c r="K107" i="3"/>
  <c r="K78" i="3"/>
  <c r="K79" i="3"/>
  <c r="BO23" i="3"/>
  <c r="BO17" i="3"/>
  <c r="BE92" i="3"/>
  <c r="BF28" i="3"/>
  <c r="BU8" i="3"/>
  <c r="BU92" i="10"/>
  <c r="N92" i="10"/>
  <c r="BE167" i="6"/>
  <c r="O86" i="10"/>
  <c r="BR151" i="6"/>
  <c r="O100" i="10"/>
  <c r="L83" i="3"/>
  <c r="BV78" i="3"/>
  <c r="BV107" i="3"/>
  <c r="BW107" i="3"/>
  <c r="BP80" i="3"/>
  <c r="BP81" i="3"/>
  <c r="M14" i="3"/>
  <c r="BW150" i="6"/>
  <c r="BW139" i="6"/>
  <c r="BW138" i="6"/>
  <c r="K116" i="6"/>
  <c r="K19" i="7"/>
  <c r="K64" i="7"/>
  <c r="BF64" i="7"/>
  <c r="N14" i="3"/>
  <c r="BU80" i="3"/>
  <c r="BU106" i="10"/>
  <c r="BO32" i="7"/>
  <c r="BP23" i="6"/>
  <c r="BR81" i="3"/>
  <c r="BS151" i="6"/>
  <c r="N15" i="3"/>
  <c r="BU82" i="3"/>
  <c r="BU83" i="3"/>
  <c r="BG11" i="7"/>
  <c r="BG88" i="6"/>
  <c r="BH89" i="6"/>
  <c r="BH11" i="6"/>
  <c r="K112" i="6"/>
  <c r="K14" i="7"/>
  <c r="K60" i="7"/>
  <c r="BF60" i="7"/>
  <c r="BG148" i="6"/>
  <c r="BG16" i="3"/>
  <c r="BX102" i="7"/>
  <c r="BX109" i="7"/>
  <c r="L18" i="3"/>
  <c r="BK86" i="3"/>
  <c r="BE117" i="3"/>
  <c r="BE33" i="3"/>
  <c r="BE63" i="3"/>
  <c r="BQ128" i="6"/>
  <c r="BQ25" i="7"/>
  <c r="BQ30" i="6"/>
  <c r="BQ166" i="6"/>
  <c r="BR128" i="6"/>
  <c r="K33" i="7"/>
  <c r="K73" i="7"/>
  <c r="BF73" i="7"/>
  <c r="K123" i="6"/>
  <c r="L107" i="3"/>
  <c r="L78" i="3"/>
  <c r="L79" i="3"/>
  <c r="BK122" i="6"/>
  <c r="BK32" i="7"/>
  <c r="L23" i="6"/>
  <c r="BK77" i="3"/>
  <c r="BL77" i="3"/>
  <c r="BE101" i="7"/>
  <c r="BE108" i="7"/>
  <c r="BE66" i="7"/>
  <c r="K11" i="7"/>
  <c r="K88" i="6"/>
  <c r="L89" i="6"/>
  <c r="BT122" i="3"/>
  <c r="BK79" i="3"/>
  <c r="BL79" i="3"/>
  <c r="BK34" i="7"/>
  <c r="BL74" i="7"/>
  <c r="L40" i="6"/>
  <c r="BK124" i="6"/>
  <c r="BP9" i="3"/>
  <c r="M8" i="3"/>
  <c r="BP99" i="10"/>
  <c r="BP92" i="10"/>
  <c r="BP106" i="10"/>
  <c r="BP78" i="10"/>
  <c r="BP85" i="10"/>
  <c r="BP82" i="3"/>
  <c r="BP83" i="3"/>
  <c r="BO113" i="3"/>
  <c r="BO89" i="3"/>
  <c r="BK25" i="7"/>
  <c r="BK162" i="6"/>
  <c r="BK166" i="6"/>
  <c r="L21" i="6"/>
  <c r="BL128" i="6"/>
  <c r="BF21" i="7"/>
  <c r="BK12" i="7"/>
  <c r="BL58" i="7"/>
  <c r="BK110" i="6"/>
  <c r="L12" i="6"/>
  <c r="K115" i="6"/>
  <c r="K18" i="7"/>
  <c r="K63" i="7"/>
  <c r="BF63" i="7"/>
  <c r="AM12" i="12"/>
  <c r="AL38" i="12"/>
  <c r="BV109" i="3"/>
  <c r="BV82" i="3"/>
  <c r="BZ15" i="3"/>
  <c r="BW109" i="3"/>
  <c r="K86" i="3"/>
  <c r="K111" i="3"/>
  <c r="BK14" i="7"/>
  <c r="BL60" i="7"/>
  <c r="BK112" i="6"/>
  <c r="L14" i="6"/>
  <c r="M37" i="6"/>
  <c r="BQ37" i="6"/>
  <c r="BP133" i="6"/>
  <c r="BV80" i="3"/>
  <c r="BV108" i="3"/>
  <c r="BW108" i="3"/>
  <c r="BU108" i="6"/>
  <c r="N11" i="3"/>
  <c r="BU74" i="3"/>
  <c r="BM23" i="3"/>
  <c r="BN113" i="3"/>
  <c r="BM17" i="3"/>
  <c r="BP47" i="6"/>
  <c r="BX67" i="7"/>
  <c r="BJ35" i="7"/>
  <c r="BJ72" i="7"/>
  <c r="L106" i="3"/>
  <c r="L76" i="3"/>
  <c r="L77" i="3"/>
  <c r="BF15" i="7"/>
  <c r="BG57" i="7"/>
  <c r="M12" i="3"/>
  <c r="BP76" i="3"/>
  <c r="BP77" i="3"/>
  <c r="BH89" i="3"/>
  <c r="BO86" i="3"/>
  <c r="BT18" i="3"/>
  <c r="BU18" i="3"/>
  <c r="BO111" i="3"/>
  <c r="BP18" i="3"/>
  <c r="M13" i="3"/>
  <c r="BP78" i="3"/>
  <c r="BP79" i="3"/>
  <c r="L80" i="3"/>
  <c r="L81" i="3"/>
  <c r="L108" i="3"/>
  <c r="BS122" i="3"/>
  <c r="BT76" i="3"/>
  <c r="BT77" i="3"/>
  <c r="BY12" i="3"/>
  <c r="BZ12" i="3"/>
  <c r="BT106" i="3"/>
  <c r="BI113" i="3"/>
  <c r="BK81" i="3"/>
  <c r="BL81" i="3"/>
  <c r="K40" i="7"/>
  <c r="BF92" i="3"/>
  <c r="BF64" i="3"/>
  <c r="K28" i="3"/>
  <c r="O93" i="10"/>
  <c r="O107" i="10"/>
  <c r="BF60" i="3"/>
  <c r="BF29" i="3"/>
  <c r="BY13" i="3"/>
  <c r="BZ13" i="3"/>
  <c r="BT78" i="3"/>
  <c r="BT79" i="3"/>
  <c r="BT107" i="3"/>
  <c r="BF38" i="6"/>
  <c r="BF164" i="6"/>
  <c r="BE134" i="6"/>
  <c r="BE41" i="6"/>
  <c r="BK20" i="7"/>
  <c r="BL65" i="7"/>
  <c r="BK117" i="6"/>
  <c r="L34" i="6"/>
  <c r="BO33" i="7"/>
  <c r="BO73" i="7"/>
  <c r="BP39" i="6"/>
  <c r="BO13" i="7"/>
  <c r="BO59" i="7"/>
  <c r="BP13" i="6"/>
  <c r="BE109" i="7"/>
  <c r="BE102" i="7"/>
  <c r="BE70" i="7"/>
  <c r="BJ67" i="7"/>
  <c r="L92" i="10"/>
  <c r="BK118" i="10"/>
  <c r="L118" i="10"/>
  <c r="BX38" i="6"/>
  <c r="BX167" i="6"/>
  <c r="AL37" i="12"/>
  <c r="AM10" i="12"/>
  <c r="BY109" i="3"/>
  <c r="BO20" i="7"/>
  <c r="BO65" i="7"/>
  <c r="BP34" i="6"/>
  <c r="BK13" i="7"/>
  <c r="BL59" i="7"/>
  <c r="L13" i="6"/>
  <c r="BK111" i="6"/>
  <c r="BK117" i="10"/>
  <c r="L117" i="10"/>
  <c r="L85" i="10"/>
  <c r="BU78" i="3"/>
  <c r="N13" i="3"/>
  <c r="K20" i="12"/>
  <c r="K41" i="12"/>
  <c r="K44" i="12"/>
  <c r="BQ35" i="7"/>
  <c r="BR72" i="7"/>
  <c r="BF132" i="6"/>
  <c r="K30" i="6"/>
  <c r="BE99" i="7"/>
  <c r="BE107" i="7"/>
  <c r="BE61" i="7"/>
  <c r="BL138" i="6"/>
  <c r="BL150" i="6"/>
  <c r="BL151" i="6"/>
  <c r="BO19" i="7"/>
  <c r="BO64" i="7"/>
  <c r="BP33" i="6"/>
  <c r="BF28" i="7"/>
  <c r="BG67" i="7"/>
  <c r="BJ167" i="6"/>
  <c r="BJ168" i="6"/>
  <c r="BJ64" i="8"/>
  <c r="BJ67" i="8"/>
  <c r="BJ54" i="8"/>
  <c r="BK30" i="6"/>
  <c r="BK132" i="6"/>
  <c r="K90" i="3"/>
  <c r="K114" i="3"/>
  <c r="BH90" i="3"/>
  <c r="BH114" i="3"/>
  <c r="BI24" i="3"/>
  <c r="L78" i="10"/>
  <c r="BK116" i="10"/>
  <c r="L116" i="10"/>
  <c r="BR79" i="3"/>
  <c r="K91" i="3"/>
  <c r="K115" i="3"/>
  <c r="BN89" i="3"/>
  <c r="BV25" i="3"/>
  <c r="BQ91" i="3"/>
  <c r="BQ115" i="3"/>
  <c r="BR115" i="3"/>
  <c r="BO145" i="6"/>
  <c r="BP157" i="6"/>
  <c r="K162" i="6"/>
  <c r="K160" i="6"/>
  <c r="K128" i="6"/>
  <c r="K25" i="7"/>
  <c r="BJ146" i="6"/>
  <c r="BJ137" i="6"/>
  <c r="BK145" i="6"/>
  <c r="BK38" i="6"/>
  <c r="BJ41" i="6"/>
  <c r="K32" i="7"/>
  <c r="K122" i="6"/>
  <c r="L9" i="12"/>
  <c r="L56" i="7"/>
  <c r="BK56" i="7"/>
  <c r="L71" i="7"/>
  <c r="BK71" i="7"/>
  <c r="L104" i="3"/>
  <c r="K12" i="7"/>
  <c r="K58" i="7"/>
  <c r="BF58" i="7"/>
  <c r="K110" i="6"/>
  <c r="BK91" i="3"/>
  <c r="L25" i="3"/>
  <c r="BO14" i="7"/>
  <c r="BO60" i="7"/>
  <c r="BP14" i="6"/>
  <c r="BK33" i="7"/>
  <c r="BL73" i="7"/>
  <c r="BK123" i="6"/>
  <c r="L39" i="6"/>
  <c r="BV71" i="7"/>
  <c r="BV39" i="6"/>
  <c r="BV33" i="7"/>
  <c r="BW73" i="7"/>
  <c r="BV56" i="7"/>
  <c r="BV14" i="6"/>
  <c r="BV14" i="7"/>
  <c r="BW60" i="7"/>
  <c r="BV157" i="6"/>
  <c r="BV23" i="6"/>
  <c r="BV32" i="7"/>
  <c r="BV33" i="6"/>
  <c r="BV19" i="7"/>
  <c r="BW64" i="7"/>
  <c r="BV32" i="6"/>
  <c r="BV18" i="7"/>
  <c r="BW63" i="7"/>
  <c r="BV34" i="6"/>
  <c r="BV20" i="7"/>
  <c r="BW65" i="7"/>
  <c r="BV21" i="6"/>
  <c r="BV12" i="6"/>
  <c r="BV12" i="7"/>
  <c r="BW58" i="7"/>
  <c r="BV40" i="6"/>
  <c r="BV34" i="7"/>
  <c r="BW74" i="7"/>
  <c r="BV104" i="3"/>
  <c r="BV13" i="6"/>
  <c r="BV13" i="7"/>
  <c r="BW59" i="7"/>
  <c r="BW104" i="3"/>
  <c r="BW102" i="7"/>
  <c r="BW109" i="7"/>
  <c r="BX70" i="7"/>
  <c r="BO91" i="3"/>
  <c r="BT25" i="3"/>
  <c r="BO115" i="3"/>
  <c r="BP25" i="3"/>
  <c r="BG26" i="7"/>
  <c r="BT108" i="3"/>
  <c r="BT80" i="3"/>
  <c r="BT81" i="3"/>
  <c r="BY14" i="3"/>
  <c r="BO18" i="7"/>
  <c r="BO63" i="7"/>
  <c r="BP32" i="6"/>
  <c r="BK119" i="10"/>
  <c r="L119" i="10"/>
  <c r="L99" i="10"/>
  <c r="BO25" i="7"/>
  <c r="BO128" i="6"/>
  <c r="BO30" i="6"/>
  <c r="BO38" i="6"/>
  <c r="BP21" i="6"/>
  <c r="BP128" i="6"/>
  <c r="BO166" i="6"/>
  <c r="BK97" i="7"/>
  <c r="L9" i="3"/>
  <c r="BI144" i="6"/>
  <c r="BH17" i="6"/>
  <c r="BI149" i="6"/>
  <c r="BI16" i="3"/>
  <c r="L106" i="10"/>
  <c r="BK120" i="10"/>
  <c r="L120" i="10"/>
  <c r="BQ86" i="3"/>
  <c r="BV18" i="3"/>
  <c r="BQ111" i="3"/>
  <c r="BR111" i="3"/>
  <c r="BH84" i="3"/>
  <c r="BH121" i="10"/>
  <c r="BH21" i="3"/>
  <c r="BH76" i="10"/>
  <c r="BH19" i="3"/>
  <c r="BF35" i="7"/>
  <c r="BG72" i="7"/>
  <c r="K34" i="7"/>
  <c r="K74" i="7"/>
  <c r="BF74" i="7"/>
  <c r="K124" i="6"/>
  <c r="AL40" i="12"/>
  <c r="AM18" i="12"/>
  <c r="BK115" i="6"/>
  <c r="BK18" i="7"/>
  <c r="BL63" i="7"/>
  <c r="L32" i="6"/>
  <c r="K114" i="6"/>
  <c r="BU76" i="3"/>
  <c r="N12" i="3"/>
  <c r="K13" i="7"/>
  <c r="K59" i="7"/>
  <c r="BF59" i="7"/>
  <c r="K111" i="6"/>
  <c r="L74" i="3"/>
  <c r="L75" i="3"/>
  <c r="L108" i="6"/>
  <c r="L105" i="3"/>
  <c r="BO12" i="7"/>
  <c r="BO58" i="7"/>
  <c r="BP12" i="6"/>
  <c r="BG17" i="7"/>
  <c r="BH31" i="6"/>
  <c r="BE98" i="7"/>
  <c r="BE106" i="7"/>
  <c r="BE22" i="7"/>
  <c r="BE55" i="7"/>
  <c r="BR75" i="3"/>
  <c r="BP108" i="6"/>
  <c r="M11" i="3"/>
  <c r="BP74" i="3"/>
  <c r="BP75" i="3"/>
  <c r="O79" i="10"/>
  <c r="BX150" i="6"/>
  <c r="BX139" i="6"/>
  <c r="BX138" i="6"/>
  <c r="BK75" i="3"/>
  <c r="BL75" i="3"/>
  <c r="BO34" i="7"/>
  <c r="BO74" i="7"/>
  <c r="BP40" i="6"/>
  <c r="BU9" i="3"/>
  <c r="N8" i="3"/>
  <c r="BW167" i="6"/>
  <c r="BX122" i="3"/>
  <c r="K20" i="7"/>
  <c r="K65" i="7"/>
  <c r="BF65" i="7"/>
  <c r="K117" i="6"/>
  <c r="BK19" i="7"/>
  <c r="BL64" i="7"/>
  <c r="BK116" i="6"/>
  <c r="L33" i="6"/>
  <c r="BT108" i="6"/>
  <c r="BT74" i="3"/>
  <c r="BT75" i="3"/>
  <c r="BT105" i="3"/>
  <c r="BY11" i="3"/>
  <c r="K19" i="3"/>
  <c r="BR77" i="3"/>
  <c r="BG139" i="6"/>
  <c r="BR83" i="3"/>
  <c r="BV74" i="3"/>
  <c r="BV105" i="3"/>
  <c r="BV108" i="6"/>
  <c r="BW105" i="3"/>
  <c r="BQ145" i="6"/>
  <c r="BV76" i="3"/>
  <c r="BV106" i="3"/>
  <c r="BW106" i="3"/>
  <c r="BT56" i="7"/>
  <c r="BT157" i="6"/>
  <c r="BT145" i="6"/>
  <c r="BT71" i="7"/>
  <c r="BT40" i="6"/>
  <c r="BT13" i="6"/>
  <c r="BT104" i="3"/>
  <c r="BT39" i="6"/>
  <c r="BT12" i="6"/>
  <c r="BY8" i="3"/>
  <c r="BZ8" i="3"/>
  <c r="BT14" i="6"/>
  <c r="BT23" i="6"/>
  <c r="BT32" i="6"/>
  <c r="BT33" i="6"/>
  <c r="BT21" i="6"/>
  <c r="BT34" i="6"/>
  <c r="BU118" i="10"/>
  <c r="N118" i="10"/>
  <c r="BQ77" i="3"/>
  <c r="BU77" i="3"/>
  <c r="BU99" i="10"/>
  <c r="BU78" i="10"/>
  <c r="BU85" i="10"/>
  <c r="BY82" i="3"/>
  <c r="BY83" i="3"/>
  <c r="BX151" i="6"/>
  <c r="BU79" i="3"/>
  <c r="BQ81" i="3"/>
  <c r="BU157" i="6"/>
  <c r="BZ78" i="3"/>
  <c r="O13" i="3"/>
  <c r="L112" i="6"/>
  <c r="L14" i="7"/>
  <c r="L60" i="7"/>
  <c r="BK60" i="7"/>
  <c r="BR67" i="7"/>
  <c r="N76" i="3"/>
  <c r="N106" i="3"/>
  <c r="BV145" i="6"/>
  <c r="BP33" i="7"/>
  <c r="BQ73" i="7"/>
  <c r="M39" i="6"/>
  <c r="BP123" i="6"/>
  <c r="BJ109" i="7"/>
  <c r="BJ102" i="7"/>
  <c r="BJ70" i="7"/>
  <c r="BL67" i="7"/>
  <c r="BP32" i="7"/>
  <c r="M23" i="6"/>
  <c r="BP122" i="6"/>
  <c r="L13" i="7"/>
  <c r="L59" i="7"/>
  <c r="BK59" i="7"/>
  <c r="L111" i="6"/>
  <c r="BT23" i="3"/>
  <c r="BT17" i="3"/>
  <c r="BO35" i="7"/>
  <c r="BO72" i="7"/>
  <c r="BZ76" i="3"/>
  <c r="O12" i="3"/>
  <c r="K35" i="7"/>
  <c r="K72" i="7"/>
  <c r="BF72" i="7"/>
  <c r="L20" i="7"/>
  <c r="L65" i="7"/>
  <c r="BK65" i="7"/>
  <c r="L117" i="6"/>
  <c r="BY106" i="3"/>
  <c r="BY76" i="3"/>
  <c r="BY77" i="3"/>
  <c r="BE66" i="6"/>
  <c r="BE37" i="3"/>
  <c r="BU120" i="10"/>
  <c r="N120" i="10"/>
  <c r="N106" i="10"/>
  <c r="K15" i="7"/>
  <c r="K57" i="7"/>
  <c r="BF57" i="7"/>
  <c r="BU81" i="3"/>
  <c r="BY108" i="6"/>
  <c r="BY105" i="3"/>
  <c r="BY74" i="3"/>
  <c r="BY75" i="3"/>
  <c r="BT34" i="7"/>
  <c r="BT74" i="7"/>
  <c r="BU40" i="6"/>
  <c r="L18" i="7"/>
  <c r="L63" i="7"/>
  <c r="BK63" i="7"/>
  <c r="L115" i="6"/>
  <c r="BG68" i="7"/>
  <c r="BZ9" i="3"/>
  <c r="O8" i="3"/>
  <c r="BZ78" i="10"/>
  <c r="BZ99" i="10"/>
  <c r="BZ85" i="10"/>
  <c r="BZ92" i="10"/>
  <c r="BZ106" i="10"/>
  <c r="BP91" i="3"/>
  <c r="M25" i="3"/>
  <c r="L38" i="6"/>
  <c r="BK41" i="6"/>
  <c r="BS17" i="3"/>
  <c r="BS23" i="3"/>
  <c r="M47" i="6"/>
  <c r="BQ47" i="6"/>
  <c r="N108" i="3"/>
  <c r="N80" i="3"/>
  <c r="BV111" i="3"/>
  <c r="BV86" i="3"/>
  <c r="BW111" i="3"/>
  <c r="BP20" i="7"/>
  <c r="BQ65" i="7"/>
  <c r="BP117" i="6"/>
  <c r="M34" i="6"/>
  <c r="BV77" i="3"/>
  <c r="BW77" i="3"/>
  <c r="M74" i="3"/>
  <c r="M75" i="3"/>
  <c r="M108" i="6"/>
  <c r="M105" i="3"/>
  <c r="BI110" i="3"/>
  <c r="BI84" i="3"/>
  <c r="BI85" i="3"/>
  <c r="BI121" i="10"/>
  <c r="BI19" i="3"/>
  <c r="BI21" i="3"/>
  <c r="BI76" i="10"/>
  <c r="BK137" i="6"/>
  <c r="BK158" i="6"/>
  <c r="L145" i="6"/>
  <c r="BQ79" i="3"/>
  <c r="O15" i="3"/>
  <c r="BZ82" i="3"/>
  <c r="L86" i="3"/>
  <c r="L111" i="3"/>
  <c r="BY25" i="3"/>
  <c r="BZ25" i="3"/>
  <c r="BT91" i="3"/>
  <c r="BT115" i="3"/>
  <c r="K64" i="8"/>
  <c r="K132" i="6"/>
  <c r="K164" i="6"/>
  <c r="BM89" i="3"/>
  <c r="BV83" i="3"/>
  <c r="BW83" i="3"/>
  <c r="M18" i="3"/>
  <c r="BP86" i="3"/>
  <c r="BW151" i="6"/>
  <c r="K21" i="7"/>
  <c r="BP38" i="6"/>
  <c r="BO41" i="6"/>
  <c r="BP116" i="10"/>
  <c r="M116" i="10"/>
  <c r="M78" i="10"/>
  <c r="L32" i="7"/>
  <c r="L72" i="7"/>
  <c r="BK72" i="7"/>
  <c r="L122" i="6"/>
  <c r="BV91" i="3"/>
  <c r="BV115" i="3"/>
  <c r="BW115" i="3"/>
  <c r="BP13" i="7"/>
  <c r="BQ59" i="7"/>
  <c r="BP111" i="6"/>
  <c r="M13" i="6"/>
  <c r="BY108" i="3"/>
  <c r="BY80" i="3"/>
  <c r="BY81" i="3"/>
  <c r="BL139" i="6"/>
  <c r="BT13" i="7"/>
  <c r="BT59" i="7"/>
  <c r="BU13" i="6"/>
  <c r="BX17" i="3"/>
  <c r="BX23" i="3"/>
  <c r="BQ75" i="3"/>
  <c r="L33" i="7"/>
  <c r="L73" i="7"/>
  <c r="BK73" i="7"/>
  <c r="L123" i="6"/>
  <c r="BJ138" i="6"/>
  <c r="BJ150" i="6"/>
  <c r="BJ151" i="6"/>
  <c r="BK146" i="6"/>
  <c r="AM37" i="12"/>
  <c r="AN10" i="12"/>
  <c r="AN37" i="12"/>
  <c r="BU33" i="6"/>
  <c r="BT19" i="7"/>
  <c r="BT64" i="7"/>
  <c r="L10" i="12"/>
  <c r="L37" i="12"/>
  <c r="L97" i="7"/>
  <c r="K28" i="7"/>
  <c r="K67" i="7"/>
  <c r="BF67" i="7"/>
  <c r="BI90" i="3"/>
  <c r="BI114" i="3"/>
  <c r="BJ24" i="3"/>
  <c r="BK24" i="3"/>
  <c r="BG122" i="3"/>
  <c r="BU75" i="3"/>
  <c r="BE37" i="7"/>
  <c r="BE100" i="7"/>
  <c r="BE54" i="7"/>
  <c r="N108" i="6"/>
  <c r="N74" i="3"/>
  <c r="N105" i="3"/>
  <c r="BG84" i="3"/>
  <c r="BG85" i="3"/>
  <c r="BG110" i="3"/>
  <c r="BG121" i="10"/>
  <c r="BG21" i="3"/>
  <c r="BG76" i="10"/>
  <c r="L19" i="7"/>
  <c r="L64" i="7"/>
  <c r="BK64" i="7"/>
  <c r="L116" i="6"/>
  <c r="BQ146" i="6"/>
  <c r="BQ137" i="6"/>
  <c r="BU145" i="6"/>
  <c r="AN18" i="12"/>
  <c r="AN40" i="12"/>
  <c r="AM40" i="12"/>
  <c r="BH26" i="7"/>
  <c r="BT25" i="7"/>
  <c r="BT166" i="6"/>
  <c r="BT30" i="6"/>
  <c r="BT38" i="6"/>
  <c r="BU38" i="6"/>
  <c r="BU21" i="6"/>
  <c r="BV128" i="6"/>
  <c r="BT128" i="6"/>
  <c r="BJ149" i="6"/>
  <c r="BJ16" i="3"/>
  <c r="BK16" i="3"/>
  <c r="BJ144" i="6"/>
  <c r="BI17" i="6"/>
  <c r="M107" i="3"/>
  <c r="M78" i="3"/>
  <c r="M79" i="3"/>
  <c r="AN12" i="12"/>
  <c r="AN38" i="12"/>
  <c r="AM38" i="12"/>
  <c r="BP120" i="10"/>
  <c r="M120" i="10"/>
  <c r="M106" i="10"/>
  <c r="M92" i="10"/>
  <c r="BP118" i="10"/>
  <c r="M118" i="10"/>
  <c r="BK35" i="7"/>
  <c r="BL72" i="7"/>
  <c r="M108" i="3"/>
  <c r="M80" i="3"/>
  <c r="M81" i="3"/>
  <c r="BV75" i="3"/>
  <c r="BW75" i="3"/>
  <c r="N9" i="12"/>
  <c r="N56" i="7"/>
  <c r="BU56" i="7"/>
  <c r="N71" i="7"/>
  <c r="BU71" i="7"/>
  <c r="N104" i="3"/>
  <c r="BF102" i="7"/>
  <c r="BF109" i="7"/>
  <c r="BG70" i="7"/>
  <c r="BT111" i="3"/>
  <c r="BY18" i="3"/>
  <c r="BZ18" i="3"/>
  <c r="BT86" i="3"/>
  <c r="BP119" i="10"/>
  <c r="M119" i="10"/>
  <c r="M99" i="10"/>
  <c r="BU97" i="7"/>
  <c r="N9" i="3"/>
  <c r="BH26" i="3"/>
  <c r="BH87" i="3"/>
  <c r="BH61" i="3"/>
  <c r="BH62" i="3"/>
  <c r="BH41" i="7"/>
  <c r="BH20" i="3"/>
  <c r="BH59" i="3"/>
  <c r="BH28" i="3"/>
  <c r="BP14" i="7"/>
  <c r="BQ60" i="7"/>
  <c r="BP112" i="6"/>
  <c r="M14" i="6"/>
  <c r="L110" i="6"/>
  <c r="L12" i="7"/>
  <c r="L58" i="7"/>
  <c r="BK58" i="7"/>
  <c r="M71" i="7"/>
  <c r="BP71" i="7"/>
  <c r="M9" i="12"/>
  <c r="M104" i="3"/>
  <c r="M56" i="7"/>
  <c r="BP56" i="7"/>
  <c r="M82" i="3"/>
  <c r="M83" i="3"/>
  <c r="BG21" i="7"/>
  <c r="L91" i="3"/>
  <c r="L115" i="3"/>
  <c r="BK64" i="8"/>
  <c r="L30" i="6"/>
  <c r="BK167" i="6"/>
  <c r="BK168" i="6"/>
  <c r="BK164" i="6"/>
  <c r="BL122" i="3"/>
  <c r="BQ109" i="7"/>
  <c r="BQ102" i="7"/>
  <c r="BR70" i="7"/>
  <c r="BH85" i="3"/>
  <c r="BO146" i="6"/>
  <c r="BO137" i="6"/>
  <c r="BP145" i="6"/>
  <c r="K92" i="3"/>
  <c r="BZ14" i="3"/>
  <c r="BG62" i="7"/>
  <c r="BV79" i="3"/>
  <c r="BW79" i="3"/>
  <c r="BU12" i="6"/>
  <c r="BT12" i="7"/>
  <c r="BT58" i="7"/>
  <c r="BT146" i="6"/>
  <c r="BT137" i="6"/>
  <c r="BH110" i="3"/>
  <c r="BO67" i="7"/>
  <c r="BV25" i="7"/>
  <c r="BV166" i="6"/>
  <c r="BV30" i="6"/>
  <c r="BV38" i="6"/>
  <c r="BW128" i="6"/>
  <c r="M76" i="3"/>
  <c r="M77" i="3"/>
  <c r="M106" i="3"/>
  <c r="BF99" i="7"/>
  <c r="BF107" i="7"/>
  <c r="BG61" i="7"/>
  <c r="BG15" i="7"/>
  <c r="BG55" i="7"/>
  <c r="BV35" i="7"/>
  <c r="BW72" i="7"/>
  <c r="L44" i="12"/>
  <c r="L20" i="12"/>
  <c r="L41" i="12"/>
  <c r="BU25" i="3"/>
  <c r="BT20" i="7"/>
  <c r="BT65" i="7"/>
  <c r="BU34" i="6"/>
  <c r="BF134" i="6"/>
  <c r="BK134" i="6"/>
  <c r="K38" i="6"/>
  <c r="BF41" i="6"/>
  <c r="BF163" i="6"/>
  <c r="BP117" i="10"/>
  <c r="M117" i="10"/>
  <c r="M85" i="10"/>
  <c r="BZ11" i="3"/>
  <c r="BU32" i="6"/>
  <c r="BT18" i="7"/>
  <c r="BT63" i="7"/>
  <c r="BF167" i="6"/>
  <c r="BF168" i="6"/>
  <c r="BY78" i="3"/>
  <c r="BY79" i="3"/>
  <c r="BY107" i="3"/>
  <c r="BG18" i="6"/>
  <c r="BH148" i="6"/>
  <c r="BG140" i="6"/>
  <c r="BT32" i="7"/>
  <c r="BU23" i="6"/>
  <c r="BF33" i="3"/>
  <c r="BF37" i="3"/>
  <c r="BF63" i="3"/>
  <c r="BT14" i="7"/>
  <c r="BT60" i="7"/>
  <c r="BU14" i="6"/>
  <c r="BF64" i="8"/>
  <c r="BF67" i="8"/>
  <c r="BF54" i="8"/>
  <c r="BQ83" i="3"/>
  <c r="BH17" i="7"/>
  <c r="BI31" i="6"/>
  <c r="BP25" i="7"/>
  <c r="BP162" i="6"/>
  <c r="BP166" i="6"/>
  <c r="M21" i="6"/>
  <c r="BH11" i="7"/>
  <c r="BH57" i="7"/>
  <c r="BH88" i="6"/>
  <c r="BI89" i="6"/>
  <c r="BI11" i="6"/>
  <c r="BO167" i="6"/>
  <c r="BP30" i="6"/>
  <c r="BP132" i="6"/>
  <c r="BV81" i="3"/>
  <c r="BW81" i="3"/>
  <c r="BP97" i="7"/>
  <c r="M9" i="3"/>
  <c r="BY12" i="6"/>
  <c r="BY13" i="6"/>
  <c r="BY71" i="7"/>
  <c r="BY21" i="6"/>
  <c r="BY56" i="7"/>
  <c r="BY23" i="6"/>
  <c r="BY39" i="6"/>
  <c r="BY157" i="6"/>
  <c r="BY145" i="6"/>
  <c r="BY40" i="6"/>
  <c r="BY14" i="6"/>
  <c r="BY32" i="6"/>
  <c r="BY104" i="3"/>
  <c r="BY33" i="6"/>
  <c r="BY34" i="6"/>
  <c r="M12" i="6"/>
  <c r="BP110" i="6"/>
  <c r="BP12" i="7"/>
  <c r="BQ58" i="7"/>
  <c r="BT33" i="7"/>
  <c r="BT73" i="7"/>
  <c r="BU39" i="6"/>
  <c r="BP124" i="6"/>
  <c r="BP34" i="7"/>
  <c r="BQ74" i="7"/>
  <c r="M40" i="6"/>
  <c r="BF108" i="7"/>
  <c r="BF101" i="7"/>
  <c r="N107" i="3"/>
  <c r="N78" i="3"/>
  <c r="BY122" i="3"/>
  <c r="BF106" i="7"/>
  <c r="BF22" i="7"/>
  <c r="BF98" i="7"/>
  <c r="BR37" i="6"/>
  <c r="N82" i="3"/>
  <c r="N109" i="3"/>
  <c r="K11" i="12"/>
  <c r="K59" i="3"/>
  <c r="E194" i="7"/>
  <c r="K87" i="3"/>
  <c r="K88" i="3"/>
  <c r="K26" i="3"/>
  <c r="K64" i="3"/>
  <c r="K61" i="3"/>
  <c r="K62" i="3"/>
  <c r="K41" i="7"/>
  <c r="K42" i="7"/>
  <c r="K112" i="3"/>
  <c r="BU86" i="3"/>
  <c r="N18" i="3"/>
  <c r="BP18" i="7"/>
  <c r="BQ63" i="7"/>
  <c r="BP115" i="6"/>
  <c r="M32" i="6"/>
  <c r="BP19" i="7"/>
  <c r="BQ64" i="7"/>
  <c r="BP116" i="6"/>
  <c r="M33" i="6"/>
  <c r="M133" i="6"/>
  <c r="L128" i="6"/>
  <c r="L25" i="7"/>
  <c r="L162" i="6"/>
  <c r="L34" i="7"/>
  <c r="L74" i="7"/>
  <c r="BK74" i="7"/>
  <c r="L124" i="6"/>
  <c r="BQ38" i="6"/>
  <c r="BR122" i="3"/>
  <c r="BZ83" i="3"/>
  <c r="L163" i="6"/>
  <c r="N85" i="10"/>
  <c r="BU117" i="10"/>
  <c r="N117" i="10"/>
  <c r="N78" i="10"/>
  <c r="BU116" i="10"/>
  <c r="N116" i="10"/>
  <c r="BU119" i="10"/>
  <c r="N119" i="10"/>
  <c r="N99" i="10"/>
  <c r="BQ167" i="6"/>
  <c r="BU128" i="6"/>
  <c r="BZ77" i="3"/>
  <c r="BQ41" i="6"/>
  <c r="N83" i="3"/>
  <c r="BZ79" i="3"/>
  <c r="N81" i="3"/>
  <c r="BZ86" i="3"/>
  <c r="O18" i="3"/>
  <c r="N38" i="6"/>
  <c r="L24" i="3"/>
  <c r="BK90" i="3"/>
  <c r="N79" i="3"/>
  <c r="BY14" i="7"/>
  <c r="BY60" i="7"/>
  <c r="BZ14" i="6"/>
  <c r="L67" i="7"/>
  <c r="BK67" i="7"/>
  <c r="BP158" i="6"/>
  <c r="M145" i="6"/>
  <c r="BP137" i="6"/>
  <c r="BZ120" i="10"/>
  <c r="O120" i="10"/>
  <c r="O106" i="10"/>
  <c r="M32" i="7"/>
  <c r="M122" i="6"/>
  <c r="BI26" i="7"/>
  <c r="BZ118" i="10"/>
  <c r="O118" i="10"/>
  <c r="O92" i="10"/>
  <c r="BP35" i="7"/>
  <c r="BQ72" i="7"/>
  <c r="O11" i="3"/>
  <c r="BZ108" i="6"/>
  <c r="BZ74" i="3"/>
  <c r="BZ75" i="3"/>
  <c r="BZ117" i="10"/>
  <c r="O117" i="10"/>
  <c r="O85" i="10"/>
  <c r="BY146" i="6"/>
  <c r="BY137" i="6"/>
  <c r="BK84" i="3"/>
  <c r="L16" i="3"/>
  <c r="BK121" i="10"/>
  <c r="L121" i="10"/>
  <c r="BK21" i="3"/>
  <c r="BU19" i="7"/>
  <c r="BV64" i="7"/>
  <c r="BU116" i="6"/>
  <c r="N33" i="6"/>
  <c r="O25" i="3"/>
  <c r="BZ91" i="3"/>
  <c r="BY115" i="3"/>
  <c r="BY91" i="3"/>
  <c r="M20" i="7"/>
  <c r="M117" i="6"/>
  <c r="BZ119" i="10"/>
  <c r="O119" i="10"/>
  <c r="O99" i="10"/>
  <c r="BZ39" i="6"/>
  <c r="BY33" i="7"/>
  <c r="BY73" i="7"/>
  <c r="BI17" i="7"/>
  <c r="BI62" i="7"/>
  <c r="BJ31" i="6"/>
  <c r="M14" i="7"/>
  <c r="M112" i="6"/>
  <c r="BJ110" i="3"/>
  <c r="BJ121" i="10"/>
  <c r="BJ84" i="3"/>
  <c r="BJ85" i="3"/>
  <c r="BJ21" i="3"/>
  <c r="BJ76" i="10"/>
  <c r="BJ19" i="3"/>
  <c r="BZ116" i="10"/>
  <c r="O116" i="10"/>
  <c r="O78" i="10"/>
  <c r="BO150" i="6"/>
  <c r="BO138" i="6"/>
  <c r="BP146" i="6"/>
  <c r="BH21" i="7"/>
  <c r="BH61" i="7"/>
  <c r="N20" i="12"/>
  <c r="N41" i="12"/>
  <c r="N44" i="12"/>
  <c r="O71" i="7"/>
  <c r="BZ71" i="7"/>
  <c r="O56" i="7"/>
  <c r="BZ56" i="7"/>
  <c r="O9" i="12"/>
  <c r="O104" i="3"/>
  <c r="BE40" i="3"/>
  <c r="BE39" i="3"/>
  <c r="K116" i="3"/>
  <c r="K60" i="3"/>
  <c r="K29" i="3"/>
  <c r="M34" i="7"/>
  <c r="M124" i="6"/>
  <c r="BY32" i="7"/>
  <c r="BZ23" i="6"/>
  <c r="K36" i="11"/>
  <c r="K134" i="6"/>
  <c r="K41" i="6"/>
  <c r="K163" i="6"/>
  <c r="BV167" i="6"/>
  <c r="BW122" i="3"/>
  <c r="L146" i="6"/>
  <c r="L138" i="6"/>
  <c r="BK138" i="6"/>
  <c r="BF66" i="6"/>
  <c r="BF74" i="6"/>
  <c r="BE50" i="6"/>
  <c r="BE74" i="6"/>
  <c r="BL23" i="3"/>
  <c r="BL17" i="3"/>
  <c r="BP17" i="3"/>
  <c r="M17" i="3"/>
  <c r="BP122" i="3"/>
  <c r="M122" i="3"/>
  <c r="BH92" i="3"/>
  <c r="BH64" i="3"/>
  <c r="N75" i="3"/>
  <c r="L35" i="7"/>
  <c r="L70" i="7"/>
  <c r="BK70" i="7"/>
  <c r="O82" i="3"/>
  <c r="O83" i="3"/>
  <c r="O109" i="3"/>
  <c r="BZ97" i="7"/>
  <c r="O9" i="3"/>
  <c r="M97" i="7"/>
  <c r="M10" i="12"/>
  <c r="M37" i="12"/>
  <c r="BU14" i="7"/>
  <c r="BV60" i="7"/>
  <c r="BU112" i="6"/>
  <c r="N14" i="6"/>
  <c r="BW67" i="7"/>
  <c r="BU25" i="7"/>
  <c r="BU166" i="6"/>
  <c r="N21" i="6"/>
  <c r="BU162" i="6"/>
  <c r="BJ139" i="6"/>
  <c r="BK150" i="6"/>
  <c r="M33" i="7"/>
  <c r="M123" i="6"/>
  <c r="M18" i="7"/>
  <c r="M115" i="6"/>
  <c r="BQ67" i="7"/>
  <c r="BJ17" i="6"/>
  <c r="BK144" i="6"/>
  <c r="K106" i="7"/>
  <c r="K22" i="7"/>
  <c r="K98" i="7"/>
  <c r="K55" i="7"/>
  <c r="BF55" i="7"/>
  <c r="K46" i="12"/>
  <c r="K12" i="12"/>
  <c r="K38" i="12"/>
  <c r="K14" i="12"/>
  <c r="K45" i="12"/>
  <c r="N39" i="6"/>
  <c r="BU33" i="7"/>
  <c r="BV73" i="7"/>
  <c r="BU123" i="6"/>
  <c r="BY166" i="6"/>
  <c r="BY25" i="7"/>
  <c r="BY128" i="6"/>
  <c r="BZ21" i="6"/>
  <c r="BZ128" i="6"/>
  <c r="BY30" i="6"/>
  <c r="BY38" i="6"/>
  <c r="BZ38" i="6"/>
  <c r="O38" i="6"/>
  <c r="BU20" i="7"/>
  <c r="BV65" i="7"/>
  <c r="BU117" i="6"/>
  <c r="N34" i="6"/>
  <c r="M44" i="12"/>
  <c r="M20" i="12"/>
  <c r="M41" i="12"/>
  <c r="BT167" i="6"/>
  <c r="BU30" i="6"/>
  <c r="L158" i="6"/>
  <c r="L157" i="6"/>
  <c r="L137" i="6"/>
  <c r="BF39" i="3"/>
  <c r="BF40" i="3"/>
  <c r="BZ145" i="6"/>
  <c r="BV146" i="6"/>
  <c r="BV137" i="6"/>
  <c r="BY12" i="7"/>
  <c r="BY58" i="7"/>
  <c r="BZ12" i="6"/>
  <c r="BU122" i="6"/>
  <c r="BU32" i="7"/>
  <c r="N23" i="6"/>
  <c r="BK67" i="8"/>
  <c r="BK54" i="8"/>
  <c r="BL64" i="8"/>
  <c r="BK102" i="7"/>
  <c r="BK109" i="7"/>
  <c r="BL70" i="7"/>
  <c r="K107" i="7"/>
  <c r="K99" i="7"/>
  <c r="K61" i="7"/>
  <c r="BF61" i="7"/>
  <c r="BR47" i="6"/>
  <c r="K102" i="7"/>
  <c r="K109" i="7"/>
  <c r="K70" i="7"/>
  <c r="BF70" i="7"/>
  <c r="BZ157" i="6"/>
  <c r="BR23" i="3"/>
  <c r="BR17" i="3"/>
  <c r="M12" i="7"/>
  <c r="M110" i="6"/>
  <c r="BP167" i="6"/>
  <c r="BP164" i="6"/>
  <c r="BQ122" i="3"/>
  <c r="M30" i="6"/>
  <c r="BT35" i="7"/>
  <c r="BT72" i="7"/>
  <c r="BT138" i="6"/>
  <c r="BT150" i="6"/>
  <c r="BT139" i="6"/>
  <c r="BT151" i="6"/>
  <c r="BH60" i="3"/>
  <c r="BH29" i="3"/>
  <c r="BK149" i="6"/>
  <c r="L149" i="6"/>
  <c r="BX89" i="3"/>
  <c r="BH68" i="7"/>
  <c r="O106" i="3"/>
  <c r="O76" i="3"/>
  <c r="O77" i="3"/>
  <c r="BY23" i="3"/>
  <c r="BY17" i="3"/>
  <c r="BE110" i="7"/>
  <c r="BE103" i="7"/>
  <c r="BG39" i="7"/>
  <c r="BE75" i="7"/>
  <c r="M71" i="6"/>
  <c r="N77" i="3"/>
  <c r="BS37" i="6"/>
  <c r="BR41" i="6"/>
  <c r="BI88" i="6"/>
  <c r="BJ89" i="6"/>
  <c r="BI11" i="7"/>
  <c r="BI57" i="7"/>
  <c r="BJ11" i="6"/>
  <c r="M111" i="3"/>
  <c r="M86" i="3"/>
  <c r="BS89" i="3"/>
  <c r="BG27" i="7"/>
  <c r="BG19" i="6"/>
  <c r="BV109" i="7"/>
  <c r="BV102" i="7"/>
  <c r="BW70" i="7"/>
  <c r="BG99" i="7"/>
  <c r="BG107" i="7"/>
  <c r="BU158" i="6"/>
  <c r="BU137" i="6"/>
  <c r="N145" i="6"/>
  <c r="BU124" i="6"/>
  <c r="BU34" i="7"/>
  <c r="BV74" i="7"/>
  <c r="N40" i="6"/>
  <c r="BO109" i="7"/>
  <c r="BO102" i="7"/>
  <c r="BO70" i="7"/>
  <c r="BY13" i="7"/>
  <c r="BY59" i="7"/>
  <c r="BZ13" i="6"/>
  <c r="M38" i="6"/>
  <c r="M163" i="6"/>
  <c r="BU134" i="6"/>
  <c r="BP41" i="6"/>
  <c r="BY20" i="7"/>
  <c r="BY65" i="7"/>
  <c r="BZ34" i="6"/>
  <c r="N97" i="7"/>
  <c r="N10" i="12"/>
  <c r="N37" i="12"/>
  <c r="BZ33" i="6"/>
  <c r="BY19" i="7"/>
  <c r="BY64" i="7"/>
  <c r="BI148" i="6"/>
  <c r="BH18" i="6"/>
  <c r="BH140" i="6"/>
  <c r="N12" i="6"/>
  <c r="BU12" i="7"/>
  <c r="BV58" i="7"/>
  <c r="BU110" i="6"/>
  <c r="BH62" i="7"/>
  <c r="BK122" i="3"/>
  <c r="L122" i="3"/>
  <c r="BG23" i="3"/>
  <c r="BG17" i="3"/>
  <c r="BU111" i="6"/>
  <c r="BU13" i="7"/>
  <c r="BV59" i="7"/>
  <c r="N13" i="6"/>
  <c r="BI59" i="3"/>
  <c r="BI112" i="3"/>
  <c r="BI87" i="3"/>
  <c r="BI88" i="3"/>
  <c r="BI20" i="3"/>
  <c r="BI28" i="3"/>
  <c r="BI26" i="3"/>
  <c r="BI61" i="3"/>
  <c r="BI62" i="3"/>
  <c r="BI41" i="7"/>
  <c r="BL24" i="3"/>
  <c r="BJ114" i="3"/>
  <c r="BJ90" i="3"/>
  <c r="BU115" i="6"/>
  <c r="BU18" i="7"/>
  <c r="BV63" i="7"/>
  <c r="N32" i="6"/>
  <c r="N111" i="3"/>
  <c r="N86" i="3"/>
  <c r="N25" i="3"/>
  <c r="BU91" i="3"/>
  <c r="L164" i="6"/>
  <c r="L132" i="6"/>
  <c r="BT67" i="7"/>
  <c r="M19" i="7"/>
  <c r="M116" i="6"/>
  <c r="BH15" i="7"/>
  <c r="BG22" i="7"/>
  <c r="BG54" i="7"/>
  <c r="BG106" i="7"/>
  <c r="BG98" i="7"/>
  <c r="BQ150" i="6"/>
  <c r="BQ151" i="6"/>
  <c r="BU146" i="6"/>
  <c r="BQ138" i="6"/>
  <c r="BP134" i="6"/>
  <c r="BT113" i="3"/>
  <c r="BT89" i="3"/>
  <c r="BF100" i="7"/>
  <c r="BF37" i="7"/>
  <c r="BZ32" i="6"/>
  <c r="BY18" i="7"/>
  <c r="BY63" i="7"/>
  <c r="M128" i="6"/>
  <c r="M25" i="7"/>
  <c r="M162" i="6"/>
  <c r="BY34" i="7"/>
  <c r="BY74" i="7"/>
  <c r="BZ40" i="6"/>
  <c r="BZ80" i="3"/>
  <c r="BZ81" i="3"/>
  <c r="O14" i="3"/>
  <c r="BY111" i="3"/>
  <c r="BY86" i="3"/>
  <c r="L134" i="6"/>
  <c r="L41" i="6"/>
  <c r="M91" i="3"/>
  <c r="M115" i="3"/>
  <c r="O107" i="3"/>
  <c r="O78" i="3"/>
  <c r="O79" i="3"/>
  <c r="K101" i="7"/>
  <c r="K108" i="7"/>
  <c r="K66" i="7"/>
  <c r="BF66" i="7"/>
  <c r="M13" i="7"/>
  <c r="M111" i="6"/>
  <c r="O134" i="6"/>
  <c r="BP138" i="6"/>
  <c r="M146" i="6"/>
  <c r="M138" i="6"/>
  <c r="M65" i="7"/>
  <c r="BP65" i="7"/>
  <c r="O91" i="3"/>
  <c r="O115" i="3"/>
  <c r="BI92" i="3"/>
  <c r="BI64" i="3"/>
  <c r="BZ32" i="7"/>
  <c r="BZ122" i="6"/>
  <c r="O23" i="6"/>
  <c r="BK155" i="6"/>
  <c r="L155" i="6"/>
  <c r="BK139" i="6"/>
  <c r="L150" i="6"/>
  <c r="L139" i="6"/>
  <c r="M59" i="7"/>
  <c r="BP59" i="7"/>
  <c r="BJ112" i="3"/>
  <c r="BJ87" i="3"/>
  <c r="BJ88" i="3"/>
  <c r="BJ26" i="3"/>
  <c r="BJ61" i="3"/>
  <c r="BJ62" i="3"/>
  <c r="BJ41" i="7"/>
  <c r="BJ59" i="3"/>
  <c r="BJ20" i="3"/>
  <c r="BJ28" i="3"/>
  <c r="O10" i="12"/>
  <c r="O37" i="12"/>
  <c r="O97" i="7"/>
  <c r="BZ20" i="7"/>
  <c r="O34" i="6"/>
  <c r="BZ117" i="6"/>
  <c r="BG69" i="7"/>
  <c r="BG28" i="7"/>
  <c r="BG37" i="7"/>
  <c r="BO139" i="6"/>
  <c r="BP150" i="6"/>
  <c r="BY67" i="7"/>
  <c r="BO151" i="6"/>
  <c r="BZ34" i="7"/>
  <c r="O40" i="6"/>
  <c r="BZ124" i="6"/>
  <c r="BZ13" i="7"/>
  <c r="O13" i="6"/>
  <c r="BZ111" i="6"/>
  <c r="BZ110" i="6"/>
  <c r="BZ12" i="7"/>
  <c r="O12" i="6"/>
  <c r="BR89" i="3"/>
  <c r="M63" i="7"/>
  <c r="BP63" i="7"/>
  <c r="R9" i="12"/>
  <c r="O20" i="12"/>
  <c r="O41" i="12"/>
  <c r="O44" i="12"/>
  <c r="BZ146" i="6"/>
  <c r="BV138" i="6"/>
  <c r="BV150" i="6"/>
  <c r="BV151" i="6"/>
  <c r="M64" i="7"/>
  <c r="BP64" i="7"/>
  <c r="L102" i="7"/>
  <c r="L109" i="7"/>
  <c r="BY35" i="7"/>
  <c r="BY72" i="7"/>
  <c r="M134" i="6"/>
  <c r="M41" i="6"/>
  <c r="O145" i="6"/>
  <c r="BZ137" i="6"/>
  <c r="BZ158" i="6"/>
  <c r="N19" i="7"/>
  <c r="N116" i="6"/>
  <c r="M35" i="7"/>
  <c r="M70" i="7"/>
  <c r="BP70" i="7"/>
  <c r="M72" i="7"/>
  <c r="BP72" i="7"/>
  <c r="N13" i="7"/>
  <c r="N111" i="6"/>
  <c r="BJ88" i="6"/>
  <c r="BK89" i="6"/>
  <c r="BJ11" i="7"/>
  <c r="BJ15" i="7"/>
  <c r="BK11" i="6"/>
  <c r="BK109" i="6"/>
  <c r="BI68" i="7"/>
  <c r="N33" i="7"/>
  <c r="N73" i="7"/>
  <c r="BU73" i="7"/>
  <c r="N123" i="6"/>
  <c r="K117" i="3"/>
  <c r="K33" i="3"/>
  <c r="K63" i="3"/>
  <c r="BZ115" i="6"/>
  <c r="O32" i="6"/>
  <c r="BZ18" i="7"/>
  <c r="BI15" i="7"/>
  <c r="BH33" i="3"/>
  <c r="BH63" i="3"/>
  <c r="BS47" i="6"/>
  <c r="BK17" i="3"/>
  <c r="BG19" i="3"/>
  <c r="K15" i="12"/>
  <c r="BK76" i="10"/>
  <c r="L21" i="3"/>
  <c r="L76" i="10"/>
  <c r="M157" i="6"/>
  <c r="M137" i="6"/>
  <c r="M158" i="6"/>
  <c r="BF103" i="7"/>
  <c r="BF110" i="7"/>
  <c r="BK39" i="7"/>
  <c r="BK23" i="3"/>
  <c r="BG113" i="3"/>
  <c r="BG89" i="3"/>
  <c r="BH113" i="3"/>
  <c r="N128" i="6"/>
  <c r="N25" i="7"/>
  <c r="N162" i="6"/>
  <c r="BL113" i="3"/>
  <c r="BL89" i="3"/>
  <c r="BP23" i="3"/>
  <c r="BM113" i="3"/>
  <c r="N34" i="7"/>
  <c r="N74" i="7"/>
  <c r="BU74" i="7"/>
  <c r="N124" i="6"/>
  <c r="L110" i="3"/>
  <c r="L84" i="3"/>
  <c r="L85" i="3"/>
  <c r="N115" i="3"/>
  <c r="N91" i="3"/>
  <c r="BT37" i="6"/>
  <c r="BS41" i="6"/>
  <c r="BU167" i="6"/>
  <c r="N30" i="6"/>
  <c r="N163" i="6"/>
  <c r="BU164" i="6"/>
  <c r="BV122" i="3"/>
  <c r="BF50" i="6"/>
  <c r="BE51" i="6"/>
  <c r="BE9" i="6"/>
  <c r="BE28" i="6"/>
  <c r="M60" i="7"/>
  <c r="BP60" i="7"/>
  <c r="BK85" i="3"/>
  <c r="BZ14" i="7"/>
  <c r="BZ112" i="6"/>
  <c r="O14" i="6"/>
  <c r="BV67" i="7"/>
  <c r="M74" i="7"/>
  <c r="BP74" i="7"/>
  <c r="N137" i="6"/>
  <c r="N158" i="6"/>
  <c r="N157" i="6"/>
  <c r="M58" i="7"/>
  <c r="BP58" i="7"/>
  <c r="BJ17" i="7"/>
  <c r="BJ21" i="7"/>
  <c r="BK31" i="6"/>
  <c r="BK114" i="6"/>
  <c r="BY138" i="6"/>
  <c r="BY150" i="6"/>
  <c r="BY139" i="6"/>
  <c r="N115" i="6"/>
  <c r="N18" i="7"/>
  <c r="N63" i="7"/>
  <c r="BU63" i="7"/>
  <c r="N110" i="6"/>
  <c r="N12" i="7"/>
  <c r="N58" i="7"/>
  <c r="BU58" i="7"/>
  <c r="BT102" i="7"/>
  <c r="BT109" i="7"/>
  <c r="BT70" i="7"/>
  <c r="K100" i="7"/>
  <c r="K37" i="7"/>
  <c r="K54" i="7"/>
  <c r="BF54" i="7"/>
  <c r="M164" i="6"/>
  <c r="M132" i="6"/>
  <c r="BI21" i="7"/>
  <c r="BI61" i="7"/>
  <c r="L90" i="3"/>
  <c r="L114" i="3"/>
  <c r="BU138" i="6"/>
  <c r="N146" i="6"/>
  <c r="N138" i="6"/>
  <c r="BH27" i="7"/>
  <c r="BH69" i="7"/>
  <c r="BH19" i="6"/>
  <c r="BG40" i="7"/>
  <c r="BQ17" i="3"/>
  <c r="BU17" i="3"/>
  <c r="N17" i="3"/>
  <c r="BU122" i="3"/>
  <c r="N122" i="3"/>
  <c r="BQ23" i="3"/>
  <c r="BR113" i="3"/>
  <c r="N20" i="7"/>
  <c r="N117" i="6"/>
  <c r="BK153" i="6"/>
  <c r="L153" i="6"/>
  <c r="N14" i="7"/>
  <c r="N112" i="6"/>
  <c r="BK151" i="6"/>
  <c r="N134" i="6"/>
  <c r="BQ139" i="6"/>
  <c r="BU150" i="6"/>
  <c r="BU151" i="6"/>
  <c r="BI18" i="6"/>
  <c r="BJ148" i="6"/>
  <c r="BI140" i="6"/>
  <c r="BU132" i="6"/>
  <c r="BL67" i="8"/>
  <c r="BL54" i="8"/>
  <c r="BM64" i="8"/>
  <c r="BM67" i="8"/>
  <c r="BM54" i="8"/>
  <c r="L144" i="6"/>
  <c r="BL149" i="6"/>
  <c r="BL144" i="6"/>
  <c r="BW17" i="3"/>
  <c r="BW23" i="3"/>
  <c r="BZ123" i="6"/>
  <c r="BZ33" i="7"/>
  <c r="O39" i="6"/>
  <c r="BZ134" i="6"/>
  <c r="BH22" i="7"/>
  <c r="BH54" i="7"/>
  <c r="BH106" i="7"/>
  <c r="BH98" i="7"/>
  <c r="BS113" i="3"/>
  <c r="M73" i="7"/>
  <c r="BP73" i="7"/>
  <c r="BI116" i="3"/>
  <c r="BI29" i="3"/>
  <c r="BI60" i="3"/>
  <c r="BG100" i="7"/>
  <c r="BJ26" i="7"/>
  <c r="BK17" i="6"/>
  <c r="O105" i="3"/>
  <c r="O108" i="6"/>
  <c r="O74" i="3"/>
  <c r="O75" i="3"/>
  <c r="O111" i="3"/>
  <c r="O86" i="3"/>
  <c r="O108" i="3"/>
  <c r="O80" i="3"/>
  <c r="O81" i="3"/>
  <c r="BH55" i="7"/>
  <c r="BL114" i="3"/>
  <c r="BL90" i="3"/>
  <c r="BM24" i="3"/>
  <c r="BZ116" i="6"/>
  <c r="BZ19" i="7"/>
  <c r="O33" i="6"/>
  <c r="N122" i="6"/>
  <c r="N32" i="7"/>
  <c r="BY167" i="6"/>
  <c r="BZ30" i="6"/>
  <c r="BZ132" i="6"/>
  <c r="BY89" i="3"/>
  <c r="BY113" i="3"/>
  <c r="BU35" i="7"/>
  <c r="BV72" i="7"/>
  <c r="BZ162" i="6"/>
  <c r="BZ166" i="6"/>
  <c r="O21" i="6"/>
  <c r="BZ25" i="7"/>
  <c r="BH99" i="7"/>
  <c r="BH107" i="7"/>
  <c r="BP102" i="7"/>
  <c r="BP109" i="7"/>
  <c r="BQ70" i="7"/>
  <c r="M67" i="7"/>
  <c r="BP67" i="7"/>
  <c r="BJ62" i="7"/>
  <c r="BZ35" i="7"/>
  <c r="BZ109" i="7"/>
  <c r="BU154" i="6"/>
  <c r="N154" i="6"/>
  <c r="N151" i="6"/>
  <c r="BT47" i="6"/>
  <c r="BG103" i="7"/>
  <c r="BG110" i="7"/>
  <c r="BH39" i="7"/>
  <c r="N35" i="7"/>
  <c r="N70" i="7"/>
  <c r="BU70" i="7"/>
  <c r="BY151" i="6"/>
  <c r="K50" i="6"/>
  <c r="K51" i="6"/>
  <c r="BF51" i="6"/>
  <c r="O19" i="7"/>
  <c r="O64" i="7"/>
  <c r="BZ64" i="7"/>
  <c r="O116" i="6"/>
  <c r="BI33" i="3"/>
  <c r="BI63" i="3"/>
  <c r="BI117" i="3"/>
  <c r="BV17" i="3"/>
  <c r="BZ17" i="3"/>
  <c r="O17" i="3"/>
  <c r="BV23" i="3"/>
  <c r="BW113" i="3"/>
  <c r="BZ122" i="3"/>
  <c r="O122" i="3"/>
  <c r="N72" i="7"/>
  <c r="BU72" i="7"/>
  <c r="N59" i="7"/>
  <c r="BU59" i="7"/>
  <c r="BK17" i="7"/>
  <c r="L31" i="6"/>
  <c r="BL31" i="6"/>
  <c r="BH66" i="6"/>
  <c r="BH37" i="3"/>
  <c r="M109" i="7"/>
  <c r="M102" i="7"/>
  <c r="S9" i="12"/>
  <c r="R16" i="12"/>
  <c r="R44" i="12"/>
  <c r="R11" i="12"/>
  <c r="R20" i="12"/>
  <c r="R41" i="12"/>
  <c r="BP155" i="6"/>
  <c r="M155" i="6"/>
  <c r="M150" i="6"/>
  <c r="M139" i="6"/>
  <c r="BP139" i="6"/>
  <c r="BJ18" i="6"/>
  <c r="BK148" i="6"/>
  <c r="BJ140" i="6"/>
  <c r="BJ99" i="7"/>
  <c r="BJ107" i="7"/>
  <c r="N164" i="6"/>
  <c r="N132" i="6"/>
  <c r="BJ57" i="7"/>
  <c r="BG108" i="7"/>
  <c r="BG101" i="7"/>
  <c r="BG66" i="7"/>
  <c r="BE13" i="8"/>
  <c r="BE130" i="6"/>
  <c r="BE35" i="6"/>
  <c r="BF28" i="6"/>
  <c r="O158" i="6"/>
  <c r="O137" i="6"/>
  <c r="O157" i="6"/>
  <c r="BE15" i="8"/>
  <c r="BE15" i="6"/>
  <c r="BF9" i="6"/>
  <c r="BM114" i="3"/>
  <c r="BM90" i="3"/>
  <c r="BN24" i="3"/>
  <c r="L17" i="3"/>
  <c r="L19" i="3"/>
  <c r="BK19" i="3"/>
  <c r="BU139" i="6"/>
  <c r="BU155" i="6"/>
  <c r="N155" i="6"/>
  <c r="N150" i="6"/>
  <c r="N139" i="6"/>
  <c r="BG75" i="7"/>
  <c r="O12" i="7"/>
  <c r="O58" i="7"/>
  <c r="BZ58" i="7"/>
  <c r="O110" i="6"/>
  <c r="BK154" i="6"/>
  <c r="L154" i="6"/>
  <c r="L151" i="6"/>
  <c r="O20" i="7"/>
  <c r="O65" i="7"/>
  <c r="BZ65" i="7"/>
  <c r="O117" i="6"/>
  <c r="K66" i="6"/>
  <c r="K74" i="6"/>
  <c r="K37" i="3"/>
  <c r="BY102" i="7"/>
  <c r="BY109" i="7"/>
  <c r="BY70" i="7"/>
  <c r="O13" i="7"/>
  <c r="O59" i="7"/>
  <c r="BZ59" i="7"/>
  <c r="O111" i="6"/>
  <c r="BZ164" i="6"/>
  <c r="O30" i="6"/>
  <c r="O163" i="6"/>
  <c r="BZ167" i="6"/>
  <c r="BJ68" i="7"/>
  <c r="O146" i="6"/>
  <c r="O138" i="6"/>
  <c r="BZ138" i="6"/>
  <c r="BZ151" i="6"/>
  <c r="BI22" i="7"/>
  <c r="BI54" i="7"/>
  <c r="BI106" i="7"/>
  <c r="BI98" i="7"/>
  <c r="BJ55" i="7"/>
  <c r="BH100" i="7"/>
  <c r="O33" i="7"/>
  <c r="O73" i="7"/>
  <c r="BZ73" i="7"/>
  <c r="O123" i="6"/>
  <c r="BE75" i="6"/>
  <c r="BJ116" i="3"/>
  <c r="BJ60" i="3"/>
  <c r="BJ29" i="3"/>
  <c r="O32" i="7"/>
  <c r="O72" i="7"/>
  <c r="BZ72" i="7"/>
  <c r="O122" i="6"/>
  <c r="BT41" i="6"/>
  <c r="BU37" i="6"/>
  <c r="O112" i="6"/>
  <c r="O14" i="7"/>
  <c r="O60" i="7"/>
  <c r="BZ60" i="7"/>
  <c r="BH28" i="7"/>
  <c r="BH37" i="7"/>
  <c r="BI27" i="7"/>
  <c r="BI69" i="7"/>
  <c r="BI19" i="6"/>
  <c r="BI55" i="7"/>
  <c r="BI99" i="7"/>
  <c r="BI107" i="7"/>
  <c r="BJ61" i="7"/>
  <c r="BK89" i="3"/>
  <c r="L23" i="3"/>
  <c r="BK40" i="7"/>
  <c r="O18" i="7"/>
  <c r="O63" i="7"/>
  <c r="BZ63" i="7"/>
  <c r="O115" i="6"/>
  <c r="O25" i="7"/>
  <c r="O67" i="7"/>
  <c r="BZ67" i="7"/>
  <c r="O128" i="6"/>
  <c r="O162" i="6"/>
  <c r="K110" i="7"/>
  <c r="K17" i="12"/>
  <c r="K103" i="7"/>
  <c r="K16" i="12"/>
  <c r="K47" i="12"/>
  <c r="K75" i="7"/>
  <c r="BF75" i="7"/>
  <c r="K18" i="12"/>
  <c r="K40" i="12"/>
  <c r="L39" i="7"/>
  <c r="N65" i="7"/>
  <c r="BU65" i="7"/>
  <c r="BW89" i="3"/>
  <c r="BX113" i="3"/>
  <c r="BQ89" i="3"/>
  <c r="BU23" i="3"/>
  <c r="BQ113" i="3"/>
  <c r="O34" i="7"/>
  <c r="O74" i="7"/>
  <c r="BZ74" i="7"/>
  <c r="O124" i="6"/>
  <c r="BU102" i="7"/>
  <c r="BU109" i="7"/>
  <c r="BV70" i="7"/>
  <c r="BK88" i="6"/>
  <c r="BL89" i="6"/>
  <c r="BK11" i="7"/>
  <c r="L11" i="6"/>
  <c r="BL11" i="6"/>
  <c r="N64" i="7"/>
  <c r="BU64" i="7"/>
  <c r="BJ92" i="3"/>
  <c r="BJ64" i="3"/>
  <c r="BP151" i="6"/>
  <c r="BM149" i="6"/>
  <c r="BM16" i="3"/>
  <c r="BL17" i="6"/>
  <c r="BM144" i="6"/>
  <c r="N60" i="7"/>
  <c r="BU60" i="7"/>
  <c r="M23" i="3"/>
  <c r="BP89" i="3"/>
  <c r="BJ98" i="7"/>
  <c r="BJ106" i="7"/>
  <c r="BJ22" i="7"/>
  <c r="N67" i="7"/>
  <c r="BU67" i="7"/>
  <c r="BK26" i="7"/>
  <c r="L17" i="6"/>
  <c r="BL16" i="3"/>
  <c r="BG112" i="3"/>
  <c r="BG87" i="3"/>
  <c r="BG26" i="3"/>
  <c r="BG28" i="3"/>
  <c r="BG59" i="3"/>
  <c r="BG61" i="3"/>
  <c r="BG62" i="3"/>
  <c r="BG41" i="7"/>
  <c r="BG42" i="7"/>
  <c r="BG20" i="3"/>
  <c r="BH112" i="3"/>
  <c r="BV139" i="6"/>
  <c r="BZ150" i="6"/>
  <c r="BZ102" i="7"/>
  <c r="BE17" i="8"/>
  <c r="BG116" i="3"/>
  <c r="BG60" i="3"/>
  <c r="BG29" i="3"/>
  <c r="BH116" i="3"/>
  <c r="BF13" i="8"/>
  <c r="K28" i="6"/>
  <c r="BF130" i="6"/>
  <c r="BF35" i="6"/>
  <c r="BF52" i="6"/>
  <c r="BI66" i="6"/>
  <c r="BI37" i="3"/>
  <c r="BG88" i="3"/>
  <c r="BH88" i="3"/>
  <c r="BG64" i="3"/>
  <c r="BG92" i="3"/>
  <c r="BK28" i="3"/>
  <c r="K75" i="6"/>
  <c r="L65" i="6"/>
  <c r="L40" i="7"/>
  <c r="L42" i="7"/>
  <c r="BH103" i="7"/>
  <c r="BH110" i="7"/>
  <c r="BI39" i="7"/>
  <c r="BE93" i="6"/>
  <c r="BE118" i="6"/>
  <c r="BK15" i="7"/>
  <c r="S16" i="12"/>
  <c r="T9" i="12"/>
  <c r="S44" i="12"/>
  <c r="S20" i="12"/>
  <c r="S41" i="12"/>
  <c r="S11" i="12"/>
  <c r="BH101" i="7"/>
  <c r="BH108" i="7"/>
  <c r="BH66" i="7"/>
  <c r="L160" i="6"/>
  <c r="L26" i="7"/>
  <c r="O151" i="6"/>
  <c r="BZ154" i="6"/>
  <c r="O154" i="6"/>
  <c r="BH40" i="3"/>
  <c r="BH39" i="3"/>
  <c r="BU41" i="6"/>
  <c r="BV37" i="6"/>
  <c r="N37" i="6"/>
  <c r="BU133" i="6"/>
  <c r="BK87" i="3"/>
  <c r="BK88" i="3"/>
  <c r="BK20" i="3"/>
  <c r="L20" i="3"/>
  <c r="BK61" i="3"/>
  <c r="BK62" i="3"/>
  <c r="BK41" i="7"/>
  <c r="BK42" i="7"/>
  <c r="BK59" i="3"/>
  <c r="BK26" i="3"/>
  <c r="BE52" i="6"/>
  <c r="L11" i="12"/>
  <c r="L26" i="3"/>
  <c r="L87" i="3"/>
  <c r="L88" i="3"/>
  <c r="L59" i="3"/>
  <c r="F194" i="7"/>
  <c r="L112" i="3"/>
  <c r="L61" i="3"/>
  <c r="L62" i="3"/>
  <c r="L41" i="7"/>
  <c r="BH75" i="7"/>
  <c r="O35" i="7"/>
  <c r="BH40" i="7"/>
  <c r="BH42" i="7"/>
  <c r="O164" i="6"/>
  <c r="O132" i="6"/>
  <c r="M89" i="3"/>
  <c r="M113" i="3"/>
  <c r="BZ155" i="6"/>
  <c r="O155" i="6"/>
  <c r="BZ139" i="6"/>
  <c r="O150" i="6"/>
  <c r="O139" i="6"/>
  <c r="BU47" i="6"/>
  <c r="L113" i="3"/>
  <c r="L89" i="3"/>
  <c r="BP154" i="6"/>
  <c r="M154" i="6"/>
  <c r="M151" i="6"/>
  <c r="K39" i="3"/>
  <c r="K40" i="3"/>
  <c r="R14" i="12"/>
  <c r="BL88" i="6"/>
  <c r="BM89" i="6"/>
  <c r="BL11" i="7"/>
  <c r="BL57" i="7"/>
  <c r="BM11" i="6"/>
  <c r="L11" i="7"/>
  <c r="L88" i="6"/>
  <c r="M89" i="6"/>
  <c r="L109" i="6"/>
  <c r="BL84" i="3"/>
  <c r="BL85" i="3"/>
  <c r="BL110" i="3"/>
  <c r="BL121" i="10"/>
  <c r="BL21" i="3"/>
  <c r="BL76" i="10"/>
  <c r="BL19" i="3"/>
  <c r="BI28" i="7"/>
  <c r="BI37" i="7"/>
  <c r="BG65" i="6"/>
  <c r="BF75" i="6"/>
  <c r="K48" i="12"/>
  <c r="K21" i="12"/>
  <c r="K49" i="12"/>
  <c r="BI100" i="7"/>
  <c r="BJ54" i="7"/>
  <c r="N102" i="7"/>
  <c r="N109" i="7"/>
  <c r="BJ100" i="7"/>
  <c r="BL17" i="7"/>
  <c r="BM31" i="6"/>
  <c r="L17" i="7"/>
  <c r="L114" i="6"/>
  <c r="BO24" i="3"/>
  <c r="BN90" i="3"/>
  <c r="BN114" i="3"/>
  <c r="BK21" i="7"/>
  <c r="BL62" i="7"/>
  <c r="N23" i="3"/>
  <c r="BU89" i="3"/>
  <c r="BJ63" i="3"/>
  <c r="BJ117" i="3"/>
  <c r="BJ33" i="3"/>
  <c r="BF15" i="8"/>
  <c r="BF15" i="6"/>
  <c r="K9" i="6"/>
  <c r="BN144" i="6"/>
  <c r="BN149" i="6"/>
  <c r="BM17" i="6"/>
  <c r="BE90" i="6"/>
  <c r="BF91" i="6"/>
  <c r="BE113" i="6"/>
  <c r="BE92" i="6"/>
  <c r="BE25" i="6"/>
  <c r="BV89" i="3"/>
  <c r="BV113" i="3"/>
  <c r="BZ23" i="3"/>
  <c r="BL26" i="7"/>
  <c r="BL148" i="6"/>
  <c r="L148" i="6"/>
  <c r="BK140" i="6"/>
  <c r="BM110" i="3"/>
  <c r="BM84" i="3"/>
  <c r="BM121" i="10"/>
  <c r="BM19" i="3"/>
  <c r="BM21" i="3"/>
  <c r="BM76" i="10"/>
  <c r="BJ27" i="7"/>
  <c r="BJ28" i="7"/>
  <c r="BJ37" i="7"/>
  <c r="BK18" i="6"/>
  <c r="BJ19" i="6"/>
  <c r="BJ69" i="7"/>
  <c r="BE54" i="6"/>
  <c r="N113" i="3"/>
  <c r="N89" i="3"/>
  <c r="O109" i="7"/>
  <c r="O102" i="7"/>
  <c r="L68" i="7"/>
  <c r="BK68" i="7"/>
  <c r="BQ24" i="3"/>
  <c r="BO90" i="3"/>
  <c r="BO114" i="3"/>
  <c r="L15" i="7"/>
  <c r="L57" i="7"/>
  <c r="BK57" i="7"/>
  <c r="BI40" i="7"/>
  <c r="BI42" i="7"/>
  <c r="BM88" i="6"/>
  <c r="BN89" i="6"/>
  <c r="BM11" i="7"/>
  <c r="BN11" i="6"/>
  <c r="BM148" i="6"/>
  <c r="BL18" i="6"/>
  <c r="BL140" i="6"/>
  <c r="BK107" i="7"/>
  <c r="BK99" i="7"/>
  <c r="BL61" i="7"/>
  <c r="O23" i="3"/>
  <c r="BZ89" i="3"/>
  <c r="R15" i="12"/>
  <c r="BI108" i="7"/>
  <c r="BI101" i="7"/>
  <c r="BJ66" i="7"/>
  <c r="L28" i="3"/>
  <c r="BK92" i="3"/>
  <c r="BK64" i="3"/>
  <c r="BL26" i="3"/>
  <c r="BL112" i="3"/>
  <c r="BL59" i="3"/>
  <c r="BL20" i="3"/>
  <c r="BL61" i="3"/>
  <c r="BL62" i="3"/>
  <c r="BL41" i="7"/>
  <c r="BL28" i="3"/>
  <c r="BL87" i="3"/>
  <c r="BL88" i="3"/>
  <c r="L60" i="3"/>
  <c r="L116" i="3"/>
  <c r="L21" i="7"/>
  <c r="L62" i="7"/>
  <c r="BK62" i="7"/>
  <c r="L12" i="12"/>
  <c r="L38" i="12"/>
  <c r="L46" i="12"/>
  <c r="L14" i="12"/>
  <c r="L45" i="12"/>
  <c r="BI66" i="7"/>
  <c r="BM26" i="7"/>
  <c r="BM17" i="7"/>
  <c r="BM62" i="7"/>
  <c r="BN31" i="6"/>
  <c r="BK29" i="3"/>
  <c r="BK60" i="3"/>
  <c r="BN16" i="3"/>
  <c r="BL21" i="7"/>
  <c r="S14" i="12"/>
  <c r="S45" i="12"/>
  <c r="S46" i="12"/>
  <c r="BI39" i="3"/>
  <c r="BI40" i="3"/>
  <c r="BO144" i="6"/>
  <c r="BO149" i="6"/>
  <c r="BO16" i="3"/>
  <c r="BN17" i="6"/>
  <c r="BJ103" i="7"/>
  <c r="BJ110" i="7"/>
  <c r="BL39" i="7"/>
  <c r="BK27" i="7"/>
  <c r="L18" i="6"/>
  <c r="BK19" i="6"/>
  <c r="N47" i="6"/>
  <c r="BV47" i="6"/>
  <c r="BF118" i="6"/>
  <c r="BF93" i="6"/>
  <c r="BJ101" i="7"/>
  <c r="BJ108" i="7"/>
  <c r="K15" i="8"/>
  <c r="K15" i="6"/>
  <c r="O70" i="7"/>
  <c r="BZ70" i="7"/>
  <c r="T44" i="12"/>
  <c r="T16" i="12"/>
  <c r="T11" i="12"/>
  <c r="T20" i="12"/>
  <c r="T41" i="12"/>
  <c r="U9" i="12"/>
  <c r="BF90" i="6"/>
  <c r="BG91" i="6"/>
  <c r="BF113" i="6"/>
  <c r="BF92" i="6"/>
  <c r="BF25" i="6"/>
  <c r="BF54" i="6"/>
  <c r="S47" i="12"/>
  <c r="S17" i="12"/>
  <c r="K62" i="8"/>
  <c r="K13" i="8"/>
  <c r="K35" i="6"/>
  <c r="K130" i="6"/>
  <c r="BM87" i="3"/>
  <c r="BM20" i="3"/>
  <c r="BM59" i="3"/>
  <c r="BM28" i="3"/>
  <c r="BM26" i="3"/>
  <c r="BM61" i="3"/>
  <c r="BM62" i="3"/>
  <c r="BM41" i="7"/>
  <c r="BM112" i="3"/>
  <c r="N133" i="6"/>
  <c r="N41" i="6"/>
  <c r="BJ66" i="6"/>
  <c r="BK66" i="6"/>
  <c r="BJ37" i="3"/>
  <c r="BW37" i="6"/>
  <c r="BV41" i="6"/>
  <c r="BK98" i="7"/>
  <c r="BK106" i="7"/>
  <c r="BK22" i="7"/>
  <c r="BL55" i="7"/>
  <c r="BF17" i="8"/>
  <c r="BM85" i="3"/>
  <c r="BL68" i="7"/>
  <c r="BG33" i="3"/>
  <c r="BG63" i="3"/>
  <c r="BG117" i="3"/>
  <c r="BH117" i="3"/>
  <c r="BI103" i="7"/>
  <c r="BI110" i="7"/>
  <c r="BJ75" i="7"/>
  <c r="BJ39" i="7"/>
  <c r="BI75" i="7"/>
  <c r="BL15" i="7"/>
  <c r="BP24" i="3"/>
  <c r="BP149" i="6"/>
  <c r="M149" i="6"/>
  <c r="BW47" i="6"/>
  <c r="K118" i="6"/>
  <c r="K93" i="6"/>
  <c r="K52" i="6"/>
  <c r="BN110" i="3"/>
  <c r="BN84" i="3"/>
  <c r="BN85" i="3"/>
  <c r="BN121" i="10"/>
  <c r="BN21" i="3"/>
  <c r="BN76" i="10"/>
  <c r="BN19" i="3"/>
  <c r="BP16" i="3"/>
  <c r="BL27" i="7"/>
  <c r="BL69" i="7"/>
  <c r="BL19" i="6"/>
  <c r="K28" i="12"/>
  <c r="N71" i="6"/>
  <c r="BN148" i="6"/>
  <c r="BM18" i="6"/>
  <c r="BM140" i="6"/>
  <c r="L124" i="3"/>
  <c r="K67" i="8"/>
  <c r="K54" i="8"/>
  <c r="K29" i="8"/>
  <c r="K39" i="8"/>
  <c r="K23" i="12"/>
  <c r="BK63" i="3"/>
  <c r="BK33" i="3"/>
  <c r="BK37" i="3"/>
  <c r="BN11" i="7"/>
  <c r="BN57" i="7"/>
  <c r="BN88" i="6"/>
  <c r="BO89" i="6"/>
  <c r="BO11" i="6"/>
  <c r="L27" i="7"/>
  <c r="L140" i="6"/>
  <c r="L19" i="6"/>
  <c r="BL116" i="3"/>
  <c r="BL60" i="3"/>
  <c r="BL29" i="3"/>
  <c r="BK28" i="7"/>
  <c r="BN17" i="7"/>
  <c r="BN62" i="7"/>
  <c r="BO31" i="6"/>
  <c r="BM15" i="7"/>
  <c r="BK100" i="7"/>
  <c r="BK37" i="7"/>
  <c r="BL54" i="7"/>
  <c r="BL42" i="7"/>
  <c r="BL40" i="7"/>
  <c r="BM21" i="7"/>
  <c r="BM61" i="7"/>
  <c r="L92" i="3"/>
  <c r="L64" i="3"/>
  <c r="BN26" i="7"/>
  <c r="BX37" i="6"/>
  <c r="BW41" i="6"/>
  <c r="U16" i="12"/>
  <c r="U11" i="12"/>
  <c r="V9" i="12"/>
  <c r="U20" i="12"/>
  <c r="U41" i="12"/>
  <c r="U44" i="12"/>
  <c r="BO110" i="3"/>
  <c r="BO121" i="10"/>
  <c r="BO84" i="3"/>
  <c r="BO19" i="3"/>
  <c r="BO21" i="3"/>
  <c r="BO76" i="10"/>
  <c r="BJ39" i="3"/>
  <c r="BJ40" i="3"/>
  <c r="BP144" i="6"/>
  <c r="BO17" i="6"/>
  <c r="L15" i="12"/>
  <c r="L98" i="7"/>
  <c r="L106" i="7"/>
  <c r="L22" i="7"/>
  <c r="L55" i="7"/>
  <c r="BK55" i="7"/>
  <c r="M24" i="3"/>
  <c r="BP90" i="3"/>
  <c r="T45" i="12"/>
  <c r="T14" i="12"/>
  <c r="T46" i="12"/>
  <c r="BM57" i="7"/>
  <c r="T47" i="12"/>
  <c r="T17" i="12"/>
  <c r="T48" i="12"/>
  <c r="BL106" i="7"/>
  <c r="BL98" i="7"/>
  <c r="BL22" i="7"/>
  <c r="BQ90" i="3"/>
  <c r="BQ114" i="3"/>
  <c r="BR24" i="3"/>
  <c r="BJ40" i="7"/>
  <c r="BJ42" i="7"/>
  <c r="K90" i="6"/>
  <c r="L91" i="6"/>
  <c r="K113" i="6"/>
  <c r="K92" i="6"/>
  <c r="K25" i="6"/>
  <c r="L107" i="7"/>
  <c r="L99" i="7"/>
  <c r="L61" i="7"/>
  <c r="BK61" i="7"/>
  <c r="O113" i="3"/>
  <c r="O89" i="3"/>
  <c r="BM29" i="3"/>
  <c r="BM116" i="3"/>
  <c r="BM60" i="3"/>
  <c r="K25" i="12"/>
  <c r="L29" i="3"/>
  <c r="BM92" i="3"/>
  <c r="BM64" i="3"/>
  <c r="BM68" i="7"/>
  <c r="BG37" i="3"/>
  <c r="BG66" i="6"/>
  <c r="S21" i="12"/>
  <c r="S15" i="12"/>
  <c r="BM88" i="3"/>
  <c r="BL99" i="7"/>
  <c r="BL107" i="7"/>
  <c r="BL64" i="3"/>
  <c r="BL92" i="3"/>
  <c r="K54" i="6"/>
  <c r="BO85" i="3"/>
  <c r="BP153" i="6"/>
  <c r="M153" i="6"/>
  <c r="BX47" i="6"/>
  <c r="BO59" i="3"/>
  <c r="BO28" i="3"/>
  <c r="BO20" i="3"/>
  <c r="BO87" i="3"/>
  <c r="BO26" i="3"/>
  <c r="BO61" i="3"/>
  <c r="BO62" i="3"/>
  <c r="BO41" i="7"/>
  <c r="BO112" i="3"/>
  <c r="BK103" i="7"/>
  <c r="BK110" i="7"/>
  <c r="BP39" i="7"/>
  <c r="BM63" i="3"/>
  <c r="BM33" i="3"/>
  <c r="BM117" i="3"/>
  <c r="BM106" i="7"/>
  <c r="BM98" i="7"/>
  <c r="BM22" i="7"/>
  <c r="BN55" i="7"/>
  <c r="BO17" i="7"/>
  <c r="BO21" i="7"/>
  <c r="BP31" i="6"/>
  <c r="BP114" i="6"/>
  <c r="BM27" i="7"/>
  <c r="BM19" i="6"/>
  <c r="T15" i="12"/>
  <c r="T21" i="12"/>
  <c r="T49" i="12"/>
  <c r="BO148" i="6"/>
  <c r="BN18" i="6"/>
  <c r="BN140" i="6"/>
  <c r="V16" i="12"/>
  <c r="V20" i="12"/>
  <c r="V41" i="12"/>
  <c r="V44" i="12"/>
  <c r="V11" i="12"/>
  <c r="W9" i="12"/>
  <c r="U14" i="12"/>
  <c r="U45" i="12"/>
  <c r="U46" i="12"/>
  <c r="BL63" i="3"/>
  <c r="BL33" i="3"/>
  <c r="BL117" i="3"/>
  <c r="BX41" i="6"/>
  <c r="BY37" i="6"/>
  <c r="L100" i="7"/>
  <c r="L54" i="7"/>
  <c r="BK54" i="7"/>
  <c r="BL28" i="7"/>
  <c r="BL37" i="7"/>
  <c r="BP121" i="10"/>
  <c r="M121" i="10"/>
  <c r="BP84" i="3"/>
  <c r="BP85" i="3"/>
  <c r="M16" i="3"/>
  <c r="BP21" i="3"/>
  <c r="BP19" i="3"/>
  <c r="BN26" i="3"/>
  <c r="BN28" i="3"/>
  <c r="BN20" i="3"/>
  <c r="BN87" i="3"/>
  <c r="BN88" i="3"/>
  <c r="BN112" i="3"/>
  <c r="BN61" i="3"/>
  <c r="BN62" i="3"/>
  <c r="BN41" i="7"/>
  <c r="BN59" i="3"/>
  <c r="BG50" i="6"/>
  <c r="BG74" i="6"/>
  <c r="BN68" i="7"/>
  <c r="L69" i="7"/>
  <c r="BK69" i="7"/>
  <c r="L28" i="7"/>
  <c r="BG39" i="3"/>
  <c r="BG40" i="3"/>
  <c r="BR90" i="3"/>
  <c r="BR114" i="3"/>
  <c r="BS24" i="3"/>
  <c r="BO26" i="7"/>
  <c r="BP17" i="6"/>
  <c r="BO88" i="6"/>
  <c r="BP89" i="6"/>
  <c r="BP11" i="6"/>
  <c r="BO11" i="7"/>
  <c r="BO15" i="7"/>
  <c r="BP109" i="6"/>
  <c r="BQ144" i="6"/>
  <c r="M144" i="6"/>
  <c r="BQ149" i="6"/>
  <c r="BM107" i="7"/>
  <c r="BM99" i="7"/>
  <c r="L33" i="3"/>
  <c r="L63" i="3"/>
  <c r="L117" i="3"/>
  <c r="BM55" i="7"/>
  <c r="BN15" i="7"/>
  <c r="BN21" i="7"/>
  <c r="BK101" i="7"/>
  <c r="BK108" i="7"/>
  <c r="M114" i="3"/>
  <c r="M90" i="3"/>
  <c r="U47" i="12"/>
  <c r="U17" i="12"/>
  <c r="U48" i="12"/>
  <c r="BL100" i="7"/>
  <c r="BK39" i="3"/>
  <c r="BK40" i="3"/>
  <c r="BL66" i="7"/>
  <c r="BL110" i="7"/>
  <c r="BL103" i="7"/>
  <c r="BM39" i="7"/>
  <c r="BH50" i="6"/>
  <c r="BG51" i="6"/>
  <c r="BG75" i="6"/>
  <c r="BG9" i="6"/>
  <c r="BG15" i="6"/>
  <c r="BG28" i="6"/>
  <c r="BM28" i="7"/>
  <c r="BR149" i="6"/>
  <c r="BR16" i="3"/>
  <c r="BR144" i="6"/>
  <c r="BQ17" i="6"/>
  <c r="BY47" i="6"/>
  <c r="BZ37" i="6"/>
  <c r="BY41" i="6"/>
  <c r="BP17" i="7"/>
  <c r="M31" i="6"/>
  <c r="BQ31" i="6"/>
  <c r="BO99" i="7"/>
  <c r="BO107" i="7"/>
  <c r="BO106" i="7"/>
  <c r="BO98" i="7"/>
  <c r="BO22" i="7"/>
  <c r="BP88" i="6"/>
  <c r="BQ89" i="6"/>
  <c r="M11" i="6"/>
  <c r="BP11" i="7"/>
  <c r="BQ11" i="6"/>
  <c r="BN64" i="3"/>
  <c r="BN92" i="3"/>
  <c r="BP28" i="3"/>
  <c r="BL66" i="6"/>
  <c r="BL37" i="3"/>
  <c r="BM100" i="7"/>
  <c r="BM37" i="7"/>
  <c r="BN116" i="3"/>
  <c r="BN60" i="3"/>
  <c r="BN29" i="3"/>
  <c r="BO62" i="7"/>
  <c r="BP26" i="7"/>
  <c r="M17" i="6"/>
  <c r="BP20" i="3"/>
  <c r="M20" i="3"/>
  <c r="BP61" i="3"/>
  <c r="BP62" i="3"/>
  <c r="BP41" i="7"/>
  <c r="BP42" i="7"/>
  <c r="BP26" i="3"/>
  <c r="BP87" i="3"/>
  <c r="BP88" i="3"/>
  <c r="BP59" i="3"/>
  <c r="BN99" i="7"/>
  <c r="BN107" i="7"/>
  <c r="BO61" i="7"/>
  <c r="M21" i="3"/>
  <c r="M76" i="10"/>
  <c r="BP76" i="10"/>
  <c r="U15" i="12"/>
  <c r="U21" i="12"/>
  <c r="U49" i="12"/>
  <c r="BM37" i="3"/>
  <c r="BM66" i="6"/>
  <c r="BO57" i="7"/>
  <c r="M110" i="3"/>
  <c r="M84" i="3"/>
  <c r="M85" i="3"/>
  <c r="M19" i="3"/>
  <c r="W11" i="12"/>
  <c r="X9" i="12"/>
  <c r="W16" i="12"/>
  <c r="W44" i="12"/>
  <c r="W20" i="12"/>
  <c r="W41" i="12"/>
  <c r="BN98" i="7"/>
  <c r="BN106" i="7"/>
  <c r="BN22" i="7"/>
  <c r="BN54" i="7"/>
  <c r="BO55" i="7"/>
  <c r="BS90" i="3"/>
  <c r="BS114" i="3"/>
  <c r="BT24" i="3"/>
  <c r="V45" i="12"/>
  <c r="V14" i="12"/>
  <c r="V46" i="12"/>
  <c r="BP40" i="7"/>
  <c r="BL75" i="7"/>
  <c r="BO68" i="7"/>
  <c r="V47" i="12"/>
  <c r="V17" i="12"/>
  <c r="V48" i="12"/>
  <c r="L66" i="6"/>
  <c r="L74" i="6"/>
  <c r="L37" i="3"/>
  <c r="BN61" i="7"/>
  <c r="L108" i="7"/>
  <c r="L101" i="7"/>
  <c r="L66" i="7"/>
  <c r="BK66" i="7"/>
  <c r="BL108" i="7"/>
  <c r="BL101" i="7"/>
  <c r="BN27" i="7"/>
  <c r="BN69" i="7"/>
  <c r="BN19" i="6"/>
  <c r="BM69" i="7"/>
  <c r="BP148" i="6"/>
  <c r="BO18" i="6"/>
  <c r="BO140" i="6"/>
  <c r="BO29" i="3"/>
  <c r="BO116" i="3"/>
  <c r="BO60" i="3"/>
  <c r="BO88" i="3"/>
  <c r="BQ16" i="3"/>
  <c r="BM54" i="7"/>
  <c r="L37" i="7"/>
  <c r="BO92" i="3"/>
  <c r="BO64" i="3"/>
  <c r="BM42" i="7"/>
  <c r="BM40" i="7"/>
  <c r="W47" i="12"/>
  <c r="W17" i="12"/>
  <c r="W48" i="12"/>
  <c r="M160" i="6"/>
  <c r="M26" i="7"/>
  <c r="L16" i="12"/>
  <c r="L47" i="12"/>
  <c r="L17" i="12"/>
  <c r="L103" i="7"/>
  <c r="L110" i="7"/>
  <c r="M39" i="7"/>
  <c r="L18" i="12"/>
  <c r="L40" i="12"/>
  <c r="L75" i="7"/>
  <c r="BK75" i="7"/>
  <c r="X11" i="12"/>
  <c r="X16" i="12"/>
  <c r="X20" i="12"/>
  <c r="X41" i="12"/>
  <c r="X44" i="12"/>
  <c r="Y9" i="12"/>
  <c r="L39" i="3"/>
  <c r="L40" i="3"/>
  <c r="W14" i="12"/>
  <c r="W45" i="12"/>
  <c r="W46" i="12"/>
  <c r="BQ17" i="7"/>
  <c r="BQ62" i="7"/>
  <c r="BR31" i="6"/>
  <c r="M65" i="6"/>
  <c r="M11" i="12"/>
  <c r="M87" i="3"/>
  <c r="M88" i="3"/>
  <c r="M61" i="3"/>
  <c r="M62" i="3"/>
  <c r="M41" i="7"/>
  <c r="M26" i="3"/>
  <c r="M59" i="3"/>
  <c r="G194" i="7"/>
  <c r="M112" i="3"/>
  <c r="M17" i="7"/>
  <c r="M114" i="6"/>
  <c r="BQ84" i="3"/>
  <c r="BQ85" i="3"/>
  <c r="BQ110" i="3"/>
  <c r="BQ121" i="10"/>
  <c r="BQ21" i="3"/>
  <c r="BQ76" i="10"/>
  <c r="BQ19" i="3"/>
  <c r="BN117" i="3"/>
  <c r="BN33" i="3"/>
  <c r="BN63" i="3"/>
  <c r="BP21" i="7"/>
  <c r="O37" i="6"/>
  <c r="BZ41" i="6"/>
  <c r="BZ133" i="6"/>
  <c r="BZ47" i="6"/>
  <c r="BM110" i="7"/>
  <c r="BM103" i="7"/>
  <c r="BN39" i="7"/>
  <c r="BO117" i="3"/>
  <c r="BO33" i="3"/>
  <c r="BO63" i="3"/>
  <c r="BM40" i="3"/>
  <c r="BM39" i="3"/>
  <c r="BQ26" i="7"/>
  <c r="BQ68" i="7"/>
  <c r="BL39" i="3"/>
  <c r="BL40" i="3"/>
  <c r="BO27" i="7"/>
  <c r="BO28" i="7"/>
  <c r="BO37" i="7"/>
  <c r="BP18" i="6"/>
  <c r="BO19" i="6"/>
  <c r="V15" i="12"/>
  <c r="V21" i="12"/>
  <c r="V49" i="12"/>
  <c r="BS149" i="6"/>
  <c r="BS144" i="6"/>
  <c r="BR17" i="6"/>
  <c r="BQ148" i="6"/>
  <c r="M148" i="6"/>
  <c r="BP140" i="6"/>
  <c r="BP64" i="3"/>
  <c r="M28" i="3"/>
  <c r="BP92" i="3"/>
  <c r="BR110" i="3"/>
  <c r="BR84" i="3"/>
  <c r="BR121" i="10"/>
  <c r="BR19" i="3"/>
  <c r="BR21" i="3"/>
  <c r="BR76" i="10"/>
  <c r="BT114" i="3"/>
  <c r="BT90" i="3"/>
  <c r="BV24" i="3"/>
  <c r="BU24" i="3"/>
  <c r="BM101" i="7"/>
  <c r="BM108" i="7"/>
  <c r="BO69" i="7"/>
  <c r="BN28" i="7"/>
  <c r="BQ11" i="7"/>
  <c r="BQ57" i="7"/>
  <c r="BQ88" i="6"/>
  <c r="BR89" i="6"/>
  <c r="BR11" i="6"/>
  <c r="BG35" i="6"/>
  <c r="BG130" i="6"/>
  <c r="BM66" i="7"/>
  <c r="BP15" i="7"/>
  <c r="BG113" i="6"/>
  <c r="BG90" i="6"/>
  <c r="BH91" i="6"/>
  <c r="BG25" i="6"/>
  <c r="BN100" i="7"/>
  <c r="BO54" i="7"/>
  <c r="M11" i="7"/>
  <c r="M88" i="6"/>
  <c r="N89" i="6"/>
  <c r="M109" i="6"/>
  <c r="BH65" i="6"/>
  <c r="BH74" i="6"/>
  <c r="BI50" i="6"/>
  <c r="BH51" i="6"/>
  <c r="BH9" i="6"/>
  <c r="BH15" i="6"/>
  <c r="BH28" i="6"/>
  <c r="BP29" i="3"/>
  <c r="BP60" i="3"/>
  <c r="BO100" i="7"/>
  <c r="BM75" i="7"/>
  <c r="BR85" i="3"/>
  <c r="BR26" i="3"/>
  <c r="BR20" i="3"/>
  <c r="BR28" i="3"/>
  <c r="BR112" i="3"/>
  <c r="BR61" i="3"/>
  <c r="BR62" i="3"/>
  <c r="BR41" i="7"/>
  <c r="BR87" i="3"/>
  <c r="BR59" i="3"/>
  <c r="W15" i="12"/>
  <c r="W21" i="12"/>
  <c r="W49" i="12"/>
  <c r="BO110" i="7"/>
  <c r="BO103" i="7"/>
  <c r="BQ39" i="7"/>
  <c r="BP98" i="7"/>
  <c r="BP106" i="7"/>
  <c r="BP22" i="7"/>
  <c r="Y20" i="12"/>
  <c r="Y41" i="12"/>
  <c r="Z9" i="12"/>
  <c r="Y11" i="12"/>
  <c r="Y16" i="12"/>
  <c r="Y44" i="12"/>
  <c r="BO66" i="6"/>
  <c r="BP66" i="6"/>
  <c r="BO37" i="3"/>
  <c r="BP63" i="3"/>
  <c r="BP33" i="3"/>
  <c r="BP37" i="3"/>
  <c r="BG118" i="6"/>
  <c r="BG93" i="6"/>
  <c r="M92" i="3"/>
  <c r="M64" i="3"/>
  <c r="BH130" i="6"/>
  <c r="BH35" i="6"/>
  <c r="BH92" i="6"/>
  <c r="BR11" i="7"/>
  <c r="BR57" i="7"/>
  <c r="BR88" i="6"/>
  <c r="BS89" i="6"/>
  <c r="BS11" i="6"/>
  <c r="M21" i="7"/>
  <c r="M62" i="7"/>
  <c r="BP62" i="7"/>
  <c r="X47" i="12"/>
  <c r="X17" i="12"/>
  <c r="X48" i="12"/>
  <c r="BH90" i="6"/>
  <c r="BI91" i="6"/>
  <c r="BH113" i="6"/>
  <c r="BH25" i="6"/>
  <c r="BN42" i="7"/>
  <c r="BN40" i="7"/>
  <c r="X14" i="12"/>
  <c r="X45" i="12"/>
  <c r="X46" i="12"/>
  <c r="BI65" i="6"/>
  <c r="BI74" i="6"/>
  <c r="BJ50" i="6"/>
  <c r="BI51" i="6"/>
  <c r="BI9" i="6"/>
  <c r="BI15" i="6"/>
  <c r="BI28" i="6"/>
  <c r="BQ15" i="7"/>
  <c r="BQ55" i="7"/>
  <c r="BR148" i="6"/>
  <c r="BQ18" i="6"/>
  <c r="BQ140" i="6"/>
  <c r="M29" i="3"/>
  <c r="M60" i="3"/>
  <c r="M116" i="3"/>
  <c r="BG52" i="6"/>
  <c r="BG54" i="6"/>
  <c r="BN108" i="7"/>
  <c r="BN101" i="7"/>
  <c r="BO66" i="7"/>
  <c r="O47" i="6"/>
  <c r="M40" i="7"/>
  <c r="M42" i="7"/>
  <c r="BH75" i="6"/>
  <c r="BR26" i="7"/>
  <c r="BT149" i="6"/>
  <c r="BT16" i="3"/>
  <c r="BT144" i="6"/>
  <c r="BS17" i="6"/>
  <c r="M12" i="12"/>
  <c r="M38" i="12"/>
  <c r="M46" i="12"/>
  <c r="M45" i="12"/>
  <c r="M14" i="12"/>
  <c r="BS16" i="3"/>
  <c r="BN66" i="7"/>
  <c r="O133" i="6"/>
  <c r="O41" i="6"/>
  <c r="L48" i="12"/>
  <c r="L21" i="12"/>
  <c r="L49" i="12"/>
  <c r="M15" i="7"/>
  <c r="M57" i="7"/>
  <c r="BP57" i="7"/>
  <c r="BP99" i="7"/>
  <c r="BP107" i="7"/>
  <c r="BR17" i="7"/>
  <c r="BR62" i="7"/>
  <c r="BS31" i="6"/>
  <c r="BN37" i="7"/>
  <c r="BU90" i="3"/>
  <c r="N24" i="3"/>
  <c r="BP27" i="7"/>
  <c r="M18" i="6"/>
  <c r="BP19" i="6"/>
  <c r="BQ21" i="7"/>
  <c r="M68" i="7"/>
  <c r="BP68" i="7"/>
  <c r="BW24" i="3"/>
  <c r="BV114" i="3"/>
  <c r="BV90" i="3"/>
  <c r="BO108" i="7"/>
  <c r="BO101" i="7"/>
  <c r="BN66" i="6"/>
  <c r="BN37" i="3"/>
  <c r="BG92" i="6"/>
  <c r="BQ61" i="3"/>
  <c r="BQ62" i="3"/>
  <c r="BQ41" i="7"/>
  <c r="BQ28" i="3"/>
  <c r="BQ20" i="3"/>
  <c r="BQ112" i="3"/>
  <c r="BQ26" i="3"/>
  <c r="BQ87" i="3"/>
  <c r="BQ88" i="3"/>
  <c r="BQ59" i="3"/>
  <c r="BR68" i="7"/>
  <c r="BU149" i="6"/>
  <c r="N149" i="6"/>
  <c r="BO39" i="3"/>
  <c r="BO40" i="3"/>
  <c r="BQ99" i="7"/>
  <c r="BQ107" i="7"/>
  <c r="Y17" i="12"/>
  <c r="Y48" i="12"/>
  <c r="Y47" i="12"/>
  <c r="Y45" i="12"/>
  <c r="Y14" i="12"/>
  <c r="Y46" i="12"/>
  <c r="M27" i="7"/>
  <c r="M140" i="6"/>
  <c r="M19" i="6"/>
  <c r="Z20" i="12"/>
  <c r="Z41" i="12"/>
  <c r="AA9" i="12"/>
  <c r="Z44" i="12"/>
  <c r="Z16" i="12"/>
  <c r="Z11" i="12"/>
  <c r="BQ116" i="3"/>
  <c r="BQ29" i="3"/>
  <c r="BQ60" i="3"/>
  <c r="BP28" i="7"/>
  <c r="BP37" i="7"/>
  <c r="BS110" i="3"/>
  <c r="BS84" i="3"/>
  <c r="BS85" i="3"/>
  <c r="BS121" i="10"/>
  <c r="BS19" i="3"/>
  <c r="BS21" i="3"/>
  <c r="BS76" i="10"/>
  <c r="BU16" i="3"/>
  <c r="M117" i="3"/>
  <c r="M33" i="3"/>
  <c r="M63" i="3"/>
  <c r="N90" i="3"/>
  <c r="N114" i="3"/>
  <c r="M15" i="12"/>
  <c r="BQ27" i="7"/>
  <c r="BQ69" i="7"/>
  <c r="BQ19" i="6"/>
  <c r="BP100" i="7"/>
  <c r="BQ64" i="3"/>
  <c r="BQ92" i="3"/>
  <c r="BN103" i="7"/>
  <c r="BN110" i="7"/>
  <c r="BO39" i="7"/>
  <c r="BO75" i="7"/>
  <c r="BN75" i="7"/>
  <c r="BS148" i="6"/>
  <c r="BR18" i="6"/>
  <c r="BR140" i="6"/>
  <c r="M99" i="7"/>
  <c r="M107" i="7"/>
  <c r="M61" i="7"/>
  <c r="BP61" i="7"/>
  <c r="BS11" i="7"/>
  <c r="BS88" i="6"/>
  <c r="BT89" i="6"/>
  <c r="BT11" i="6"/>
  <c r="BS17" i="7"/>
  <c r="BT31" i="6"/>
  <c r="BS26" i="7"/>
  <c r="BQ106" i="7"/>
  <c r="BQ98" i="7"/>
  <c r="BQ22" i="7"/>
  <c r="BQ54" i="7"/>
  <c r="BQ42" i="7"/>
  <c r="BQ40" i="7"/>
  <c r="BR21" i="7"/>
  <c r="BU153" i="6"/>
  <c r="N153" i="6"/>
  <c r="BU144" i="6"/>
  <c r="BT17" i="6"/>
  <c r="BI35" i="6"/>
  <c r="BI92" i="6"/>
  <c r="BI130" i="6"/>
  <c r="BN39" i="3"/>
  <c r="BN40" i="3"/>
  <c r="BQ61" i="7"/>
  <c r="BT110" i="3"/>
  <c r="BT84" i="3"/>
  <c r="BT85" i="3"/>
  <c r="BT121" i="10"/>
  <c r="BT21" i="3"/>
  <c r="BT76" i="10"/>
  <c r="BT19" i="3"/>
  <c r="BI113" i="6"/>
  <c r="BI90" i="6"/>
  <c r="BJ91" i="6"/>
  <c r="BI25" i="6"/>
  <c r="BR15" i="7"/>
  <c r="BJ65" i="6"/>
  <c r="BH118" i="6"/>
  <c r="BH93" i="6"/>
  <c r="BK50" i="6"/>
  <c r="BJ51" i="6"/>
  <c r="BJ9" i="6"/>
  <c r="BJ28" i="6"/>
  <c r="BH52" i="6"/>
  <c r="BH54" i="6"/>
  <c r="BI75" i="6"/>
  <c r="BR88" i="3"/>
  <c r="BW90" i="3"/>
  <c r="BW114" i="3"/>
  <c r="BX24" i="3"/>
  <c r="M106" i="7"/>
  <c r="M22" i="7"/>
  <c r="M98" i="7"/>
  <c r="M55" i="7"/>
  <c r="BP55" i="7"/>
  <c r="O71" i="6"/>
  <c r="X21" i="12"/>
  <c r="X49" i="12"/>
  <c r="X15" i="12"/>
  <c r="BP40" i="3"/>
  <c r="BP39" i="3"/>
  <c r="BR92" i="3"/>
  <c r="BR64" i="3"/>
  <c r="BR116" i="3"/>
  <c r="BR29" i="3"/>
  <c r="BR60" i="3"/>
  <c r="M100" i="7"/>
  <c r="M54" i="7"/>
  <c r="BP54" i="7"/>
  <c r="BX90" i="3"/>
  <c r="BX114" i="3"/>
  <c r="BY24" i="3"/>
  <c r="BZ24" i="3"/>
  <c r="BT28" i="3"/>
  <c r="BT87" i="3"/>
  <c r="BT26" i="3"/>
  <c r="BT61" i="3"/>
  <c r="BT62" i="3"/>
  <c r="BT41" i="7"/>
  <c r="BT20" i="3"/>
  <c r="BT112" i="3"/>
  <c r="BT59" i="3"/>
  <c r="BT68" i="7"/>
  <c r="BQ33" i="3"/>
  <c r="BQ117" i="3"/>
  <c r="BQ63" i="3"/>
  <c r="BU31" i="6"/>
  <c r="BT17" i="7"/>
  <c r="BT21" i="7"/>
  <c r="BP103" i="7"/>
  <c r="BP110" i="7"/>
  <c r="BU39" i="7"/>
  <c r="Z14" i="12"/>
  <c r="Z45" i="12"/>
  <c r="Z46" i="12"/>
  <c r="BS21" i="7"/>
  <c r="Z47" i="12"/>
  <c r="Z17" i="12"/>
  <c r="Z48" i="12"/>
  <c r="BU11" i="6"/>
  <c r="BU109" i="6"/>
  <c r="BT88" i="6"/>
  <c r="BU89" i="6"/>
  <c r="BT11" i="7"/>
  <c r="BT15" i="7"/>
  <c r="BQ28" i="7"/>
  <c r="AA20" i="12"/>
  <c r="AA41" i="12"/>
  <c r="AA16" i="12"/>
  <c r="AC9" i="12"/>
  <c r="AA44" i="12"/>
  <c r="AA11" i="12"/>
  <c r="BR117" i="3"/>
  <c r="BR33" i="3"/>
  <c r="BR63" i="3"/>
  <c r="BS68" i="7"/>
  <c r="BS15" i="7"/>
  <c r="BS55" i="7"/>
  <c r="BJ130" i="6"/>
  <c r="BK28" i="6"/>
  <c r="BJ35" i="6"/>
  <c r="BK9" i="6"/>
  <c r="BJ15" i="6"/>
  <c r="BI93" i="6"/>
  <c r="BI118" i="6"/>
  <c r="M69" i="7"/>
  <c r="BP69" i="7"/>
  <c r="M28" i="7"/>
  <c r="BU17" i="6"/>
  <c r="BT26" i="7"/>
  <c r="L50" i="6"/>
  <c r="L51" i="6"/>
  <c r="BL50" i="6"/>
  <c r="BK51" i="6"/>
  <c r="BV149" i="6"/>
  <c r="N144" i="6"/>
  <c r="BV144" i="6"/>
  <c r="M66" i="6"/>
  <c r="M74" i="6"/>
  <c r="M37" i="3"/>
  <c r="Y21" i="12"/>
  <c r="Y49" i="12"/>
  <c r="Y15" i="12"/>
  <c r="BS62" i="7"/>
  <c r="BR27" i="7"/>
  <c r="BR69" i="7"/>
  <c r="BR19" i="6"/>
  <c r="BU84" i="3"/>
  <c r="BU85" i="3"/>
  <c r="N16" i="3"/>
  <c r="BU121" i="10"/>
  <c r="N121" i="10"/>
  <c r="BU21" i="3"/>
  <c r="BU19" i="3"/>
  <c r="BI52" i="6"/>
  <c r="BR107" i="7"/>
  <c r="BR99" i="7"/>
  <c r="BT148" i="6"/>
  <c r="BS18" i="6"/>
  <c r="BS140" i="6"/>
  <c r="BJ74" i="6"/>
  <c r="BJ75" i="6"/>
  <c r="BK65" i="6"/>
  <c r="BK74" i="6"/>
  <c r="BS26" i="3"/>
  <c r="BS87" i="3"/>
  <c r="BS88" i="3"/>
  <c r="BS28" i="3"/>
  <c r="BS20" i="3"/>
  <c r="BS59" i="3"/>
  <c r="BS61" i="3"/>
  <c r="BS62" i="3"/>
  <c r="BS41" i="7"/>
  <c r="BS112" i="3"/>
  <c r="BS57" i="7"/>
  <c r="BR61" i="7"/>
  <c r="BR106" i="7"/>
  <c r="BR98" i="7"/>
  <c r="BR22" i="7"/>
  <c r="BR54" i="7"/>
  <c r="BR55" i="7"/>
  <c r="BO42" i="7"/>
  <c r="BO40" i="7"/>
  <c r="BI54" i="6"/>
  <c r="BQ100" i="7"/>
  <c r="BP108" i="7"/>
  <c r="BP101" i="7"/>
  <c r="BK75" i="6"/>
  <c r="BQ37" i="3"/>
  <c r="BQ66" i="6"/>
  <c r="BQ101" i="7"/>
  <c r="BQ108" i="7"/>
  <c r="BK15" i="6"/>
  <c r="L9" i="6"/>
  <c r="BR28" i="7"/>
  <c r="BR37" i="7"/>
  <c r="BJ90" i="6"/>
  <c r="BK91" i="6"/>
  <c r="BJ92" i="6"/>
  <c r="BJ113" i="6"/>
  <c r="BJ25" i="6"/>
  <c r="BS92" i="3"/>
  <c r="BS64" i="3"/>
  <c r="BU28" i="3"/>
  <c r="BS60" i="3"/>
  <c r="BS29" i="3"/>
  <c r="BS116" i="3"/>
  <c r="BW149" i="6"/>
  <c r="BW16" i="3"/>
  <c r="BV17" i="6"/>
  <c r="BW144" i="6"/>
  <c r="BT62" i="7"/>
  <c r="M108" i="7"/>
  <c r="M101" i="7"/>
  <c r="M66" i="7"/>
  <c r="BP66" i="7"/>
  <c r="BT107" i="7"/>
  <c r="BT99" i="7"/>
  <c r="BU17" i="7"/>
  <c r="N31" i="6"/>
  <c r="BV31" i="6"/>
  <c r="BK35" i="6"/>
  <c r="BK52" i="6"/>
  <c r="L28" i="6"/>
  <c r="BK130" i="6"/>
  <c r="BQ66" i="7"/>
  <c r="BT57" i="7"/>
  <c r="BT116" i="3"/>
  <c r="BT60" i="3"/>
  <c r="BT29" i="3"/>
  <c r="BS98" i="7"/>
  <c r="BS22" i="7"/>
  <c r="BS106" i="7"/>
  <c r="BT55" i="7"/>
  <c r="BS107" i="7"/>
  <c r="BS99" i="7"/>
  <c r="BT61" i="7"/>
  <c r="BT88" i="3"/>
  <c r="BT64" i="3"/>
  <c r="BT92" i="3"/>
  <c r="BQ37" i="7"/>
  <c r="BS27" i="7"/>
  <c r="BS19" i="6"/>
  <c r="BV16" i="3"/>
  <c r="BZ90" i="3"/>
  <c r="O24" i="3"/>
  <c r="BU148" i="6"/>
  <c r="BT18" i="6"/>
  <c r="BT140" i="6"/>
  <c r="BL65" i="6"/>
  <c r="BL74" i="6"/>
  <c r="BR66" i="6"/>
  <c r="BR37" i="3"/>
  <c r="Z15" i="12"/>
  <c r="Z21" i="12"/>
  <c r="Z49" i="12"/>
  <c r="BY114" i="3"/>
  <c r="BY90" i="3"/>
  <c r="BS61" i="7"/>
  <c r="BM50" i="6"/>
  <c r="BL51" i="6"/>
  <c r="BL9" i="6"/>
  <c r="BL15" i="6"/>
  <c r="BL28" i="6"/>
  <c r="BU40" i="7"/>
  <c r="L75" i="6"/>
  <c r="AA46" i="12"/>
  <c r="AA45" i="12"/>
  <c r="AA14" i="12"/>
  <c r="AC20" i="12"/>
  <c r="AC41" i="12"/>
  <c r="AC11" i="12"/>
  <c r="AC16" i="12"/>
  <c r="AC44" i="12"/>
  <c r="AC43" i="12"/>
  <c r="AC8" i="12"/>
  <c r="AD9" i="12"/>
  <c r="BJ118" i="6"/>
  <c r="BJ93" i="6"/>
  <c r="M40" i="3"/>
  <c r="M39" i="3"/>
  <c r="BU11" i="7"/>
  <c r="N11" i="6"/>
  <c r="BU88" i="6"/>
  <c r="BV89" i="6"/>
  <c r="BV11" i="6"/>
  <c r="N65" i="6"/>
  <c r="BU61" i="3"/>
  <c r="BU62" i="3"/>
  <c r="BU41" i="7"/>
  <c r="BU42" i="7"/>
  <c r="BU20" i="3"/>
  <c r="N20" i="3"/>
  <c r="BU59" i="3"/>
  <c r="BU26" i="3"/>
  <c r="BU87" i="3"/>
  <c r="BU88" i="3"/>
  <c r="BU26" i="7"/>
  <c r="N17" i="6"/>
  <c r="AA17" i="12"/>
  <c r="AA48" i="12"/>
  <c r="AA47" i="12"/>
  <c r="M37" i="7"/>
  <c r="N110" i="3"/>
  <c r="N84" i="3"/>
  <c r="N85" i="3"/>
  <c r="N19" i="3"/>
  <c r="BT106" i="7"/>
  <c r="BT98" i="7"/>
  <c r="BT22" i="7"/>
  <c r="BR100" i="7"/>
  <c r="N21" i="3"/>
  <c r="N76" i="10"/>
  <c r="BU76" i="10"/>
  <c r="BJ52" i="6"/>
  <c r="BU114" i="6"/>
  <c r="BL75" i="6"/>
  <c r="M110" i="7"/>
  <c r="M17" i="12"/>
  <c r="M16" i="12"/>
  <c r="M47" i="12"/>
  <c r="M103" i="7"/>
  <c r="N39" i="7"/>
  <c r="M18" i="12"/>
  <c r="M40" i="12"/>
  <c r="M75" i="7"/>
  <c r="BP75" i="7"/>
  <c r="BQ39" i="3"/>
  <c r="BQ40" i="3"/>
  <c r="AD20" i="12"/>
  <c r="AD41" i="12"/>
  <c r="AD44" i="12"/>
  <c r="AD16" i="12"/>
  <c r="AD11" i="12"/>
  <c r="AE9" i="12"/>
  <c r="BR39" i="3"/>
  <c r="BR40" i="3"/>
  <c r="BS100" i="7"/>
  <c r="BT54" i="7"/>
  <c r="BX149" i="6"/>
  <c r="BX16" i="3"/>
  <c r="BX144" i="6"/>
  <c r="BW17" i="6"/>
  <c r="BV26" i="7"/>
  <c r="BV68" i="7"/>
  <c r="N26" i="7"/>
  <c r="N160" i="6"/>
  <c r="AC17" i="12"/>
  <c r="AC48" i="12"/>
  <c r="AC47" i="12"/>
  <c r="BT63" i="3"/>
  <c r="BT33" i="3"/>
  <c r="BT117" i="3"/>
  <c r="BS117" i="3"/>
  <c r="BS63" i="3"/>
  <c r="BS33" i="3"/>
  <c r="BU29" i="3"/>
  <c r="BU60" i="3"/>
  <c r="AA21" i="12"/>
  <c r="AA49" i="12"/>
  <c r="AA15" i="12"/>
  <c r="BV148" i="6"/>
  <c r="N148" i="6"/>
  <c r="BU140" i="6"/>
  <c r="N28" i="3"/>
  <c r="BU64" i="3"/>
  <c r="BU92" i="3"/>
  <c r="BV84" i="3"/>
  <c r="BV85" i="3"/>
  <c r="BV121" i="10"/>
  <c r="BV110" i="3"/>
  <c r="BV19" i="3"/>
  <c r="BV21" i="3"/>
  <c r="BV76" i="10"/>
  <c r="BJ54" i="6"/>
  <c r="BK118" i="6"/>
  <c r="BK93" i="6"/>
  <c r="BV17" i="7"/>
  <c r="BW31" i="6"/>
  <c r="BV88" i="6"/>
  <c r="BW89" i="6"/>
  <c r="BV11" i="7"/>
  <c r="BW11" i="6"/>
  <c r="BS28" i="7"/>
  <c r="BS66" i="7"/>
  <c r="N17" i="7"/>
  <c r="N114" i="6"/>
  <c r="BL35" i="6"/>
  <c r="BL52" i="6"/>
  <c r="BL130" i="6"/>
  <c r="BQ110" i="7"/>
  <c r="BQ103" i="7"/>
  <c r="BR75" i="7"/>
  <c r="BR39" i="7"/>
  <c r="BQ75" i="7"/>
  <c r="BR101" i="7"/>
  <c r="BR108" i="7"/>
  <c r="N88" i="6"/>
  <c r="O89" i="6"/>
  <c r="N11" i="7"/>
  <c r="N109" i="6"/>
  <c r="BS69" i="7"/>
  <c r="BT100" i="7"/>
  <c r="BU15" i="7"/>
  <c r="BN50" i="6"/>
  <c r="BM51" i="6"/>
  <c r="BM9" i="6"/>
  <c r="BM15" i="6"/>
  <c r="BM28" i="6"/>
  <c r="BK90" i="6"/>
  <c r="BL91" i="6"/>
  <c r="BK113" i="6"/>
  <c r="BK92" i="6"/>
  <c r="BK25" i="6"/>
  <c r="BK54" i="6"/>
  <c r="BW110" i="3"/>
  <c r="BW84" i="3"/>
  <c r="BW121" i="10"/>
  <c r="BW19" i="3"/>
  <c r="BW21" i="3"/>
  <c r="BW76" i="10"/>
  <c r="AC45" i="12"/>
  <c r="AC14" i="12"/>
  <c r="AC46" i="12"/>
  <c r="BT27" i="7"/>
  <c r="BT28" i="7"/>
  <c r="BT37" i="7"/>
  <c r="BU18" i="6"/>
  <c r="BT19" i="6"/>
  <c r="O114" i="3"/>
  <c r="O90" i="3"/>
  <c r="L13" i="8"/>
  <c r="L35" i="6"/>
  <c r="L130" i="6"/>
  <c r="BS54" i="7"/>
  <c r="BR110" i="7"/>
  <c r="BR103" i="7"/>
  <c r="BS39" i="7"/>
  <c r="BU21" i="7"/>
  <c r="BL90" i="6"/>
  <c r="BM91" i="6"/>
  <c r="BL92" i="6"/>
  <c r="BL113" i="6"/>
  <c r="BL25" i="6"/>
  <c r="BM65" i="6"/>
  <c r="BM74" i="6"/>
  <c r="BM75" i="6"/>
  <c r="L15" i="8"/>
  <c r="L15" i="6"/>
  <c r="BR66" i="7"/>
  <c r="N11" i="12"/>
  <c r="N26" i="3"/>
  <c r="N112" i="3"/>
  <c r="N87" i="3"/>
  <c r="N88" i="3"/>
  <c r="N61" i="3"/>
  <c r="N62" i="3"/>
  <c r="N41" i="7"/>
  <c r="N59" i="3"/>
  <c r="H194" i="7"/>
  <c r="BT69" i="7"/>
  <c r="BS37" i="7"/>
  <c r="BS110" i="7"/>
  <c r="BW85" i="3"/>
  <c r="L92" i="6"/>
  <c r="L90" i="6"/>
  <c r="M91" i="6"/>
  <c r="L113" i="6"/>
  <c r="L25" i="6"/>
  <c r="BT110" i="7"/>
  <c r="BT103" i="7"/>
  <c r="BV39" i="7"/>
  <c r="BW11" i="7"/>
  <c r="BW88" i="6"/>
  <c r="BX89" i="6"/>
  <c r="BX11" i="6"/>
  <c r="BW148" i="6"/>
  <c r="BV18" i="6"/>
  <c r="BV140" i="6"/>
  <c r="L25" i="12"/>
  <c r="BY144" i="6"/>
  <c r="BY149" i="6"/>
  <c r="BY16" i="3"/>
  <c r="BZ16" i="3"/>
  <c r="BX17" i="6"/>
  <c r="BU27" i="7"/>
  <c r="N18" i="6"/>
  <c r="BU19" i="6"/>
  <c r="BV15" i="7"/>
  <c r="BV55" i="7"/>
  <c r="BX84" i="3"/>
  <c r="BX85" i="3"/>
  <c r="BX110" i="3"/>
  <c r="BX121" i="10"/>
  <c r="BX19" i="3"/>
  <c r="BX21" i="3"/>
  <c r="BX76" i="10"/>
  <c r="BT101" i="7"/>
  <c r="BT108" i="7"/>
  <c r="BL54" i="6"/>
  <c r="BU33" i="3"/>
  <c r="BU37" i="3"/>
  <c r="BU63" i="3"/>
  <c r="AC15" i="12"/>
  <c r="AC21" i="12"/>
  <c r="N15" i="7"/>
  <c r="N57" i="7"/>
  <c r="BU57" i="7"/>
  <c r="BW17" i="7"/>
  <c r="BW62" i="7"/>
  <c r="BX31" i="6"/>
  <c r="BS66" i="6"/>
  <c r="BS37" i="3"/>
  <c r="BV21" i="7"/>
  <c r="BV61" i="7"/>
  <c r="BV62" i="7"/>
  <c r="BW20" i="3"/>
  <c r="BW61" i="3"/>
  <c r="BW62" i="3"/>
  <c r="BW41" i="7"/>
  <c r="BW28" i="3"/>
  <c r="BW112" i="3"/>
  <c r="BW87" i="3"/>
  <c r="BW59" i="3"/>
  <c r="BW26" i="3"/>
  <c r="AE20" i="12"/>
  <c r="AE41" i="12"/>
  <c r="AE11" i="12"/>
  <c r="AE44" i="12"/>
  <c r="AF9" i="12"/>
  <c r="AE16" i="12"/>
  <c r="BU107" i="7"/>
  <c r="BU99" i="7"/>
  <c r="AD14" i="12"/>
  <c r="AD45" i="12"/>
  <c r="AD46" i="12"/>
  <c r="AD47" i="12"/>
  <c r="AD17" i="12"/>
  <c r="AD48" i="12"/>
  <c r="BS42" i="7"/>
  <c r="BS40" i="7"/>
  <c r="BR42" i="7"/>
  <c r="BR40" i="7"/>
  <c r="BT66" i="6"/>
  <c r="BU66" i="6"/>
  <c r="BT37" i="3"/>
  <c r="BV20" i="3"/>
  <c r="BV61" i="3"/>
  <c r="BV62" i="3"/>
  <c r="BV41" i="7"/>
  <c r="BV112" i="3"/>
  <c r="BV28" i="3"/>
  <c r="BV87" i="3"/>
  <c r="BV88" i="3"/>
  <c r="BV59" i="3"/>
  <c r="BV26" i="3"/>
  <c r="BM130" i="6"/>
  <c r="BM35" i="6"/>
  <c r="BM92" i="6"/>
  <c r="BL118" i="6"/>
  <c r="BL93" i="6"/>
  <c r="BM90" i="6"/>
  <c r="BN91" i="6"/>
  <c r="BM113" i="6"/>
  <c r="BM25" i="6"/>
  <c r="N40" i="7"/>
  <c r="N42" i="7"/>
  <c r="BN65" i="6"/>
  <c r="BN74" i="6"/>
  <c r="N68" i="7"/>
  <c r="BU68" i="7"/>
  <c r="N60" i="3"/>
  <c r="N116" i="3"/>
  <c r="N29" i="3"/>
  <c r="L93" i="6"/>
  <c r="L118" i="6"/>
  <c r="L52" i="6"/>
  <c r="BO50" i="6"/>
  <c r="BN51" i="6"/>
  <c r="BN9" i="6"/>
  <c r="BN15" i="6"/>
  <c r="BN28" i="6"/>
  <c r="N21" i="7"/>
  <c r="N62" i="7"/>
  <c r="BU62" i="7"/>
  <c r="N92" i="3"/>
  <c r="N64" i="3"/>
  <c r="N14" i="12"/>
  <c r="N12" i="12"/>
  <c r="N38" i="12"/>
  <c r="N45" i="12"/>
  <c r="N46" i="12"/>
  <c r="L28" i="12"/>
  <c r="BV57" i="7"/>
  <c r="BS108" i="7"/>
  <c r="BS101" i="7"/>
  <c r="BT66" i="7"/>
  <c r="BU106" i="7"/>
  <c r="BU98" i="7"/>
  <c r="BU22" i="7"/>
  <c r="BW26" i="7"/>
  <c r="BW68" i="7"/>
  <c r="M48" i="12"/>
  <c r="M21" i="12"/>
  <c r="M49" i="12"/>
  <c r="BT39" i="7"/>
  <c r="BT42" i="7"/>
  <c r="BS75" i="7"/>
  <c r="BT75" i="7"/>
  <c r="BS103" i="7"/>
  <c r="BU100" i="7"/>
  <c r="BP50" i="6"/>
  <c r="BO51" i="6"/>
  <c r="BO9" i="6"/>
  <c r="BO28" i="6"/>
  <c r="N27" i="7"/>
  <c r="N140" i="6"/>
  <c r="N19" i="6"/>
  <c r="BZ84" i="3"/>
  <c r="O16" i="3"/>
  <c r="BZ121" i="10"/>
  <c r="O121" i="10"/>
  <c r="BZ19" i="3"/>
  <c r="BZ21" i="3"/>
  <c r="BU28" i="7"/>
  <c r="BU37" i="7"/>
  <c r="BV60" i="3"/>
  <c r="BV116" i="3"/>
  <c r="BV29" i="3"/>
  <c r="AE17" i="12"/>
  <c r="AE48" i="12"/>
  <c r="AE47" i="12"/>
  <c r="N106" i="7"/>
  <c r="N22" i="7"/>
  <c r="N98" i="7"/>
  <c r="N55" i="7"/>
  <c r="BU55" i="7"/>
  <c r="BX26" i="7"/>
  <c r="AF44" i="12"/>
  <c r="AG9" i="12"/>
  <c r="AF20" i="12"/>
  <c r="AF41" i="12"/>
  <c r="AF11" i="12"/>
  <c r="AF16" i="12"/>
  <c r="AC49" i="12"/>
  <c r="N33" i="3"/>
  <c r="N63" i="3"/>
  <c r="N117" i="3"/>
  <c r="BY110" i="3"/>
  <c r="BY84" i="3"/>
  <c r="BY85" i="3"/>
  <c r="BY121" i="10"/>
  <c r="BY21" i="3"/>
  <c r="BY76" i="10"/>
  <c r="BY19" i="3"/>
  <c r="BV64" i="3"/>
  <c r="BV92" i="3"/>
  <c r="AE46" i="12"/>
  <c r="AE45" i="12"/>
  <c r="AE14" i="12"/>
  <c r="BZ144" i="6"/>
  <c r="O144" i="6"/>
  <c r="BY17" i="6"/>
  <c r="BW60" i="3"/>
  <c r="BW29" i="3"/>
  <c r="BW116" i="3"/>
  <c r="BT39" i="3"/>
  <c r="BT40" i="3"/>
  <c r="BW88" i="3"/>
  <c r="BN75" i="6"/>
  <c r="BU40" i="3"/>
  <c r="BU39" i="3"/>
  <c r="BM52" i="6"/>
  <c r="BM54" i="6"/>
  <c r="BW92" i="3"/>
  <c r="BW64" i="3"/>
  <c r="BV27" i="7"/>
  <c r="BV19" i="6"/>
  <c r="BX148" i="6"/>
  <c r="BW18" i="6"/>
  <c r="BW140" i="6"/>
  <c r="N15" i="12"/>
  <c r="BX88" i="6"/>
  <c r="BY89" i="6"/>
  <c r="BX11" i="7"/>
  <c r="BX57" i="7"/>
  <c r="BY11" i="6"/>
  <c r="BX61" i="3"/>
  <c r="BX62" i="3"/>
  <c r="BX41" i="7"/>
  <c r="BX112" i="3"/>
  <c r="BX28" i="3"/>
  <c r="BX20" i="3"/>
  <c r="BX26" i="3"/>
  <c r="BX59" i="3"/>
  <c r="BX87" i="3"/>
  <c r="BX88" i="3"/>
  <c r="BV99" i="7"/>
  <c r="BV107" i="7"/>
  <c r="BW15" i="7"/>
  <c r="BS40" i="3"/>
  <c r="BS39" i="3"/>
  <c r="BV42" i="7"/>
  <c r="BV40" i="7"/>
  <c r="BX68" i="7"/>
  <c r="N99" i="7"/>
  <c r="N107" i="7"/>
  <c r="N61" i="7"/>
  <c r="BU61" i="7"/>
  <c r="BZ149" i="6"/>
  <c r="O149" i="6"/>
  <c r="BN130" i="6"/>
  <c r="BN35" i="6"/>
  <c r="BN92" i="6"/>
  <c r="BW57" i="7"/>
  <c r="BN113" i="6"/>
  <c r="BN90" i="6"/>
  <c r="BO91" i="6"/>
  <c r="BN25" i="6"/>
  <c r="AD15" i="12"/>
  <c r="AD21" i="12"/>
  <c r="BX17" i="7"/>
  <c r="BY31" i="6"/>
  <c r="BV22" i="7"/>
  <c r="BV54" i="7"/>
  <c r="BV98" i="7"/>
  <c r="BV106" i="7"/>
  <c r="L54" i="6"/>
  <c r="BO65" i="6"/>
  <c r="BM118" i="6"/>
  <c r="BM93" i="6"/>
  <c r="BW21" i="7"/>
  <c r="BW61" i="7"/>
  <c r="BT40" i="7"/>
  <c r="BX21" i="7"/>
  <c r="BW106" i="7"/>
  <c r="BW22" i="7"/>
  <c r="BW54" i="7"/>
  <c r="BW98" i="7"/>
  <c r="BV28" i="7"/>
  <c r="N100" i="7"/>
  <c r="N54" i="7"/>
  <c r="BU54" i="7"/>
  <c r="AD49" i="12"/>
  <c r="AA24" i="12"/>
  <c r="Z24" i="12"/>
  <c r="Y24" i="12"/>
  <c r="X24" i="12"/>
  <c r="W24" i="12"/>
  <c r="V24" i="12"/>
  <c r="U24" i="12"/>
  <c r="T24" i="12"/>
  <c r="S24" i="12"/>
  <c r="R24" i="12"/>
  <c r="BU110" i="7"/>
  <c r="BU103" i="7"/>
  <c r="BZ39" i="7"/>
  <c r="BY61" i="3"/>
  <c r="BY62" i="3"/>
  <c r="BY41" i="7"/>
  <c r="BY59" i="3"/>
  <c r="BY112" i="3"/>
  <c r="BY28" i="3"/>
  <c r="BY87" i="3"/>
  <c r="BY88" i="3"/>
  <c r="BY20" i="3"/>
  <c r="BY26" i="3"/>
  <c r="BV117" i="3"/>
  <c r="BV63" i="3"/>
  <c r="BV33" i="3"/>
  <c r="BX60" i="3"/>
  <c r="BX29" i="3"/>
  <c r="BX116" i="3"/>
  <c r="BU108" i="7"/>
  <c r="BU101" i="7"/>
  <c r="BV66" i="7"/>
  <c r="BN118" i="6"/>
  <c r="BN93" i="6"/>
  <c r="BX92" i="3"/>
  <c r="BX64" i="3"/>
  <c r="BV69" i="7"/>
  <c r="BX62" i="7"/>
  <c r="N66" i="6"/>
  <c r="N74" i="6"/>
  <c r="N37" i="3"/>
  <c r="O21" i="3"/>
  <c r="O76" i="10"/>
  <c r="BZ76" i="10"/>
  <c r="BW107" i="7"/>
  <c r="BW99" i="7"/>
  <c r="BZ87" i="3"/>
  <c r="BZ59" i="3"/>
  <c r="BZ20" i="3"/>
  <c r="O20" i="3"/>
  <c r="BZ26" i="3"/>
  <c r="BZ61" i="3"/>
  <c r="BZ62" i="3"/>
  <c r="BZ41" i="7"/>
  <c r="BW33" i="3"/>
  <c r="BW63" i="3"/>
  <c r="BW117" i="3"/>
  <c r="BY88" i="6"/>
  <c r="BZ89" i="6"/>
  <c r="BY11" i="7"/>
  <c r="BY15" i="7"/>
  <c r="BZ11" i="6"/>
  <c r="BZ109" i="6"/>
  <c r="AF17" i="12"/>
  <c r="AF48" i="12"/>
  <c r="AF47" i="12"/>
  <c r="O110" i="3"/>
  <c r="O84" i="3"/>
  <c r="O85" i="3"/>
  <c r="O19" i="3"/>
  <c r="BO74" i="6"/>
  <c r="BO75" i="6"/>
  <c r="BP65" i="6"/>
  <c r="BP74" i="6"/>
  <c r="AF14" i="12"/>
  <c r="AF45" i="12"/>
  <c r="AF46" i="12"/>
  <c r="BZ85" i="3"/>
  <c r="BN52" i="6"/>
  <c r="BN54" i="6"/>
  <c r="BX15" i="7"/>
  <c r="BY26" i="7"/>
  <c r="BZ17" i="6"/>
  <c r="AG44" i="12"/>
  <c r="AH9" i="12"/>
  <c r="AG11" i="12"/>
  <c r="AG20" i="12"/>
  <c r="AG41" i="12"/>
  <c r="AG16" i="12"/>
  <c r="BW55" i="7"/>
  <c r="N69" i="7"/>
  <c r="BU69" i="7"/>
  <c r="N28" i="7"/>
  <c r="BZ153" i="6"/>
  <c r="O153" i="6"/>
  <c r="BO130" i="6"/>
  <c r="BP28" i="6"/>
  <c r="BO35" i="6"/>
  <c r="BO52" i="6"/>
  <c r="AE21" i="12"/>
  <c r="AE15" i="12"/>
  <c r="BP9" i="6"/>
  <c r="BO15" i="6"/>
  <c r="BV100" i="7"/>
  <c r="BV37" i="7"/>
  <c r="BV75" i="7"/>
  <c r="BW27" i="7"/>
  <c r="BW19" i="6"/>
  <c r="BY17" i="7"/>
  <c r="BY21" i="7"/>
  <c r="BZ31" i="6"/>
  <c r="BZ114" i="6"/>
  <c r="BX18" i="6"/>
  <c r="BY148" i="6"/>
  <c r="BX140" i="6"/>
  <c r="BQ50" i="6"/>
  <c r="M50" i="6"/>
  <c r="M51" i="6"/>
  <c r="BP51" i="6"/>
  <c r="BX99" i="7"/>
  <c r="BX107" i="7"/>
  <c r="BY61" i="7"/>
  <c r="BZ148" i="6"/>
  <c r="BY18" i="6"/>
  <c r="BY140" i="6"/>
  <c r="N101" i="7"/>
  <c r="N108" i="7"/>
  <c r="N66" i="7"/>
  <c r="BU66" i="7"/>
  <c r="O11" i="12"/>
  <c r="O59" i="3"/>
  <c r="I194" i="7"/>
  <c r="O87" i="3"/>
  <c r="O88" i="3"/>
  <c r="O26" i="3"/>
  <c r="O112" i="3"/>
  <c r="O61" i="3"/>
  <c r="O62" i="3"/>
  <c r="O41" i="7"/>
  <c r="BY92" i="3"/>
  <c r="BY64" i="3"/>
  <c r="BZ28" i="3"/>
  <c r="BX27" i="7"/>
  <c r="BX19" i="6"/>
  <c r="N39" i="3"/>
  <c r="N40" i="3"/>
  <c r="O65" i="6"/>
  <c r="BZ17" i="7"/>
  <c r="BZ21" i="7"/>
  <c r="O31" i="6"/>
  <c r="AG17" i="12"/>
  <c r="AG48" i="12"/>
  <c r="AG47" i="12"/>
  <c r="BZ42" i="7"/>
  <c r="BZ40" i="7"/>
  <c r="BY99" i="7"/>
  <c r="BY107" i="7"/>
  <c r="AG46" i="12"/>
  <c r="AG45" i="12"/>
  <c r="AG14" i="12"/>
  <c r="O11" i="6"/>
  <c r="BZ11" i="7"/>
  <c r="BZ15" i="7"/>
  <c r="BZ88" i="6"/>
  <c r="AH11" i="12"/>
  <c r="AH44" i="12"/>
  <c r="AI9" i="12"/>
  <c r="AH20" i="12"/>
  <c r="AH41" i="12"/>
  <c r="AH16" i="12"/>
  <c r="BW28" i="7"/>
  <c r="BW37" i="7"/>
  <c r="BW75" i="7"/>
  <c r="BY106" i="7"/>
  <c r="BY98" i="7"/>
  <c r="BY22" i="7"/>
  <c r="O17" i="6"/>
  <c r="BZ26" i="7"/>
  <c r="AC24" i="12"/>
  <c r="BV110" i="7"/>
  <c r="BV103" i="7"/>
  <c r="BW39" i="7"/>
  <c r="BO90" i="6"/>
  <c r="BP91" i="6"/>
  <c r="BO92" i="6"/>
  <c r="BO113" i="6"/>
  <c r="BO25" i="6"/>
  <c r="BO54" i="6"/>
  <c r="BW66" i="6"/>
  <c r="BW37" i="3"/>
  <c r="N37" i="7"/>
  <c r="BP15" i="6"/>
  <c r="M9" i="6"/>
  <c r="BY57" i="7"/>
  <c r="BX63" i="3"/>
  <c r="BX33" i="3"/>
  <c r="BX117" i="3"/>
  <c r="BY68" i="7"/>
  <c r="BX98" i="7"/>
  <c r="BX22" i="7"/>
  <c r="BX54" i="7"/>
  <c r="BX106" i="7"/>
  <c r="BY55" i="7"/>
  <c r="BZ60" i="3"/>
  <c r="BV108" i="7"/>
  <c r="BV101" i="7"/>
  <c r="BV66" i="6"/>
  <c r="BV37" i="3"/>
  <c r="BW69" i="7"/>
  <c r="BX55" i="7"/>
  <c r="AE49" i="12"/>
  <c r="AD24" i="12"/>
  <c r="BZ88" i="3"/>
  <c r="BQ65" i="6"/>
  <c r="BQ74" i="6"/>
  <c r="BO93" i="6"/>
  <c r="BO118" i="6"/>
  <c r="BX61" i="7"/>
  <c r="BW100" i="7"/>
  <c r="M75" i="6"/>
  <c r="M28" i="6"/>
  <c r="BP35" i="6"/>
  <c r="BP130" i="6"/>
  <c r="AF15" i="12"/>
  <c r="AF21" i="12"/>
  <c r="BY60" i="3"/>
  <c r="BY29" i="3"/>
  <c r="BY116" i="3"/>
  <c r="BR50" i="6"/>
  <c r="BQ51" i="6"/>
  <c r="BQ9" i="6"/>
  <c r="BQ15" i="6"/>
  <c r="BQ28" i="6"/>
  <c r="BP75" i="6"/>
  <c r="BY62" i="7"/>
  <c r="BW66" i="7"/>
  <c r="BR65" i="6"/>
  <c r="BR74" i="6"/>
  <c r="N17" i="12"/>
  <c r="N16" i="12"/>
  <c r="N47" i="12"/>
  <c r="N103" i="7"/>
  <c r="N110" i="7"/>
  <c r="O39" i="7"/>
  <c r="N18" i="12"/>
  <c r="N40" i="12"/>
  <c r="N75" i="7"/>
  <c r="BU75" i="7"/>
  <c r="AI44" i="12"/>
  <c r="AJ9" i="12"/>
  <c r="AI20" i="12"/>
  <c r="AI41" i="12"/>
  <c r="AI16" i="12"/>
  <c r="AI11" i="12"/>
  <c r="BY117" i="3"/>
  <c r="BY33" i="3"/>
  <c r="BY63" i="3"/>
  <c r="AH46" i="12"/>
  <c r="AH14" i="12"/>
  <c r="AH45" i="12"/>
  <c r="AF49" i="12"/>
  <c r="AE24" i="12"/>
  <c r="BZ64" i="3"/>
  <c r="BZ92" i="3"/>
  <c r="O28" i="3"/>
  <c r="O29" i="3"/>
  <c r="BZ98" i="7"/>
  <c r="BZ106" i="7"/>
  <c r="BZ22" i="7"/>
  <c r="BP118" i="6"/>
  <c r="BP93" i="6"/>
  <c r="BW42" i="7"/>
  <c r="BW40" i="7"/>
  <c r="O88" i="6"/>
  <c r="O11" i="7"/>
  <c r="O109" i="6"/>
  <c r="M13" i="8"/>
  <c r="M130" i="6"/>
  <c r="M35" i="6"/>
  <c r="BZ29" i="3"/>
  <c r="AG21" i="12"/>
  <c r="AG15" i="12"/>
  <c r="O45" i="12"/>
  <c r="O12" i="12"/>
  <c r="O38" i="12"/>
  <c r="O14" i="12"/>
  <c r="O46" i="12"/>
  <c r="R46" i="12"/>
  <c r="R45" i="12"/>
  <c r="O160" i="6"/>
  <c r="O26" i="7"/>
  <c r="BX66" i="6"/>
  <c r="BX37" i="3"/>
  <c r="O17" i="7"/>
  <c r="O114" i="6"/>
  <c r="BQ35" i="6"/>
  <c r="BQ52" i="6"/>
  <c r="BQ130" i="6"/>
  <c r="BP52" i="6"/>
  <c r="M15" i="8"/>
  <c r="M15" i="6"/>
  <c r="BW108" i="7"/>
  <c r="BW101" i="7"/>
  <c r="BZ107" i="7"/>
  <c r="BZ99" i="7"/>
  <c r="O148" i="6"/>
  <c r="BZ140" i="6"/>
  <c r="AH17" i="12"/>
  <c r="AH48" i="12"/>
  <c r="AH47" i="12"/>
  <c r="BS50" i="6"/>
  <c r="BR51" i="6"/>
  <c r="BR9" i="6"/>
  <c r="BR15" i="6"/>
  <c r="BR28" i="6"/>
  <c r="BW40" i="3"/>
  <c r="BW39" i="3"/>
  <c r="BV40" i="3"/>
  <c r="BV39" i="3"/>
  <c r="BX28" i="7"/>
  <c r="BX66" i="7"/>
  <c r="O60" i="3"/>
  <c r="O116" i="3"/>
  <c r="BX37" i="7"/>
  <c r="BX100" i="7"/>
  <c r="BY54" i="7"/>
  <c r="BW103" i="7"/>
  <c r="BW110" i="7"/>
  <c r="BX39" i="7"/>
  <c r="BY100" i="7"/>
  <c r="BQ75" i="6"/>
  <c r="BY27" i="7"/>
  <c r="BY28" i="7"/>
  <c r="BZ18" i="6"/>
  <c r="BY19" i="6"/>
  <c r="BQ90" i="6"/>
  <c r="BR91" i="6"/>
  <c r="BQ113" i="6"/>
  <c r="BQ25" i="6"/>
  <c r="BP90" i="6"/>
  <c r="BQ91" i="6"/>
  <c r="BP92" i="6"/>
  <c r="BP113" i="6"/>
  <c r="BP25" i="6"/>
  <c r="BX69" i="7"/>
  <c r="BY69" i="7"/>
  <c r="BP54" i="6"/>
  <c r="BR75" i="6"/>
  <c r="AH15" i="12"/>
  <c r="AH21" i="12"/>
  <c r="M90" i="6"/>
  <c r="N91" i="6"/>
  <c r="M113" i="6"/>
  <c r="M92" i="6"/>
  <c r="M25" i="6"/>
  <c r="M118" i="6"/>
  <c r="M93" i="6"/>
  <c r="M52" i="6"/>
  <c r="O117" i="3"/>
  <c r="O63" i="3"/>
  <c r="O33" i="3"/>
  <c r="BY66" i="6"/>
  <c r="BZ66" i="6"/>
  <c r="BY37" i="3"/>
  <c r="BX108" i="7"/>
  <c r="BX101" i="7"/>
  <c r="BY66" i="7"/>
  <c r="BQ93" i="6"/>
  <c r="BQ118" i="6"/>
  <c r="AI46" i="12"/>
  <c r="AI14" i="12"/>
  <c r="AI45" i="12"/>
  <c r="BQ54" i="6"/>
  <c r="AI47" i="12"/>
  <c r="AI17" i="12"/>
  <c r="AI48" i="12"/>
  <c r="BQ92" i="6"/>
  <c r="O21" i="7"/>
  <c r="O62" i="7"/>
  <c r="BZ62" i="7"/>
  <c r="AJ11" i="12"/>
  <c r="AK9" i="12"/>
  <c r="AJ20" i="12"/>
  <c r="AJ41" i="12"/>
  <c r="AJ44" i="12"/>
  <c r="AJ16" i="12"/>
  <c r="BR35" i="6"/>
  <c r="BR130" i="6"/>
  <c r="BZ27" i="7"/>
  <c r="BZ28" i="7"/>
  <c r="O18" i="6"/>
  <c r="BZ19" i="6"/>
  <c r="BR113" i="6"/>
  <c r="BR92" i="6"/>
  <c r="BR90" i="6"/>
  <c r="BS91" i="6"/>
  <c r="BR25" i="6"/>
  <c r="O68" i="7"/>
  <c r="BZ68" i="7"/>
  <c r="BZ100" i="7"/>
  <c r="BY101" i="7"/>
  <c r="BY108" i="7"/>
  <c r="BS65" i="6"/>
  <c r="BS74" i="6"/>
  <c r="BT50" i="6"/>
  <c r="BS51" i="6"/>
  <c r="BS9" i="6"/>
  <c r="BS15" i="6"/>
  <c r="BS28" i="6"/>
  <c r="O40" i="7"/>
  <c r="O42" i="7"/>
  <c r="O92" i="3"/>
  <c r="O64" i="3"/>
  <c r="BY37" i="7"/>
  <c r="BX40" i="7"/>
  <c r="BX42" i="7"/>
  <c r="O15" i="12"/>
  <c r="AG49" i="12"/>
  <c r="AF24" i="12"/>
  <c r="BX110" i="7"/>
  <c r="BX103" i="7"/>
  <c r="BY39" i="7"/>
  <c r="BZ63" i="3"/>
  <c r="BZ33" i="3"/>
  <c r="BZ37" i="3"/>
  <c r="M25" i="12"/>
  <c r="M28" i="12"/>
  <c r="O15" i="7"/>
  <c r="O57" i="7"/>
  <c r="BZ57" i="7"/>
  <c r="BX39" i="3"/>
  <c r="BX40" i="3"/>
  <c r="BX75" i="7"/>
  <c r="N48" i="12"/>
  <c r="N21" i="12"/>
  <c r="N49" i="12"/>
  <c r="AH49" i="12"/>
  <c r="AG24" i="12"/>
  <c r="AI15" i="12"/>
  <c r="AI21" i="12"/>
  <c r="BY110" i="7"/>
  <c r="BY103" i="7"/>
  <c r="BZ101" i="7"/>
  <c r="BZ108" i="7"/>
  <c r="BR93" i="6"/>
  <c r="BR118" i="6"/>
  <c r="O98" i="7"/>
  <c r="O106" i="7"/>
  <c r="O22" i="7"/>
  <c r="O55" i="7"/>
  <c r="BZ55" i="7"/>
  <c r="BS35" i="6"/>
  <c r="BS130" i="6"/>
  <c r="O66" i="6"/>
  <c r="O74" i="6"/>
  <c r="O37" i="3"/>
  <c r="AJ17" i="12"/>
  <c r="AJ48" i="12"/>
  <c r="AJ47" i="12"/>
  <c r="BS52" i="6"/>
  <c r="BT65" i="6"/>
  <c r="BU50" i="6"/>
  <c r="BT51" i="6"/>
  <c r="BT9" i="6"/>
  <c r="BT28" i="6"/>
  <c r="AK44" i="12"/>
  <c r="AK16" i="12"/>
  <c r="AK20" i="12"/>
  <c r="AK41" i="12"/>
  <c r="AL9" i="12"/>
  <c r="AK11" i="12"/>
  <c r="BZ39" i="3"/>
  <c r="BZ40" i="3"/>
  <c r="BR52" i="6"/>
  <c r="BR54" i="6"/>
  <c r="AJ46" i="12"/>
  <c r="AJ14" i="12"/>
  <c r="AJ45" i="12"/>
  <c r="M54" i="6"/>
  <c r="BY75" i="7"/>
  <c r="O99" i="7"/>
  <c r="O107" i="7"/>
  <c r="O61" i="7"/>
  <c r="BZ61" i="7"/>
  <c r="BY42" i="7"/>
  <c r="BY40" i="7"/>
  <c r="O27" i="7"/>
  <c r="O140" i="6"/>
  <c r="O19" i="6"/>
  <c r="BY40" i="3"/>
  <c r="BY39" i="3"/>
  <c r="BS113" i="6"/>
  <c r="BS90" i="6"/>
  <c r="BT91" i="6"/>
  <c r="BS25" i="6"/>
  <c r="BS75" i="6"/>
  <c r="BZ37" i="7"/>
  <c r="O40" i="3"/>
  <c r="O39" i="3"/>
  <c r="BS118" i="6"/>
  <c r="BS93" i="6"/>
  <c r="AJ21" i="12"/>
  <c r="AJ15" i="12"/>
  <c r="O100" i="7"/>
  <c r="O54" i="7"/>
  <c r="BZ54" i="7"/>
  <c r="BZ103" i="7"/>
  <c r="BZ110" i="7"/>
  <c r="BS92" i="6"/>
  <c r="BV50" i="6"/>
  <c r="N50" i="6"/>
  <c r="N51" i="6"/>
  <c r="BU51" i="6"/>
  <c r="BT74" i="6"/>
  <c r="BT75" i="6"/>
  <c r="BU65" i="6"/>
  <c r="BU74" i="6"/>
  <c r="BU75" i="6"/>
  <c r="BS54" i="6"/>
  <c r="AK14" i="12"/>
  <c r="AK46" i="12"/>
  <c r="AK45" i="12"/>
  <c r="AL44" i="12"/>
  <c r="AL11" i="12"/>
  <c r="AM9" i="12"/>
  <c r="AL20" i="12"/>
  <c r="AL41" i="12"/>
  <c r="AL16" i="12"/>
  <c r="AK17" i="12"/>
  <c r="AK48" i="12"/>
  <c r="AK47" i="12"/>
  <c r="BT130" i="6"/>
  <c r="BT35" i="6"/>
  <c r="BT52" i="6"/>
  <c r="BU28" i="6"/>
  <c r="AI49" i="12"/>
  <c r="AH24" i="12"/>
  <c r="BU9" i="6"/>
  <c r="BT15" i="6"/>
  <c r="O69" i="7"/>
  <c r="BZ69" i="7"/>
  <c r="O28" i="7"/>
  <c r="AK21" i="12"/>
  <c r="AK15" i="12"/>
  <c r="O101" i="7"/>
  <c r="O108" i="7"/>
  <c r="O66" i="7"/>
  <c r="BZ66" i="7"/>
  <c r="BV65" i="6"/>
  <c r="BV74" i="6"/>
  <c r="BT113" i="6"/>
  <c r="BT90" i="6"/>
  <c r="BU91" i="6"/>
  <c r="BT92" i="6"/>
  <c r="BT25" i="6"/>
  <c r="BT54" i="6"/>
  <c r="N75" i="6"/>
  <c r="N9" i="6"/>
  <c r="BU15" i="6"/>
  <c r="BU35" i="6"/>
  <c r="BU52" i="6"/>
  <c r="N28" i="6"/>
  <c r="BU130" i="6"/>
  <c r="O37" i="7"/>
  <c r="AL47" i="12"/>
  <c r="AL17" i="12"/>
  <c r="AL48" i="12"/>
  <c r="BW50" i="6"/>
  <c r="BV51" i="6"/>
  <c r="BV9" i="6"/>
  <c r="BV15" i="6"/>
  <c r="BV28" i="6"/>
  <c r="BT93" i="6"/>
  <c r="BT118" i="6"/>
  <c r="AJ49" i="12"/>
  <c r="AI24" i="12"/>
  <c r="AM11" i="12"/>
  <c r="AM20" i="12"/>
  <c r="AM41" i="12"/>
  <c r="AM16" i="12"/>
  <c r="AM44" i="12"/>
  <c r="AN9" i="12"/>
  <c r="AL46" i="12"/>
  <c r="AL14" i="12"/>
  <c r="AL45" i="12"/>
  <c r="BV75" i="6"/>
  <c r="O16" i="12"/>
  <c r="O103" i="7"/>
  <c r="O17" i="12"/>
  <c r="O110" i="7"/>
  <c r="O18" i="12"/>
  <c r="O40" i="12"/>
  <c r="O75" i="7"/>
  <c r="BZ75" i="7"/>
  <c r="BU93" i="6"/>
  <c r="BU118" i="6"/>
  <c r="N15" i="8"/>
  <c r="N15" i="6"/>
  <c r="BV90" i="6"/>
  <c r="BW91" i="6"/>
  <c r="BV113" i="6"/>
  <c r="BV92" i="6"/>
  <c r="BV25" i="6"/>
  <c r="BX50" i="6"/>
  <c r="BW51" i="6"/>
  <c r="BW9" i="6"/>
  <c r="BW15" i="6"/>
  <c r="BW28" i="6"/>
  <c r="N130" i="6"/>
  <c r="N35" i="6"/>
  <c r="N13" i="8"/>
  <c r="AL21" i="12"/>
  <c r="AL15" i="12"/>
  <c r="BU113" i="6"/>
  <c r="BU90" i="6"/>
  <c r="BV91" i="6"/>
  <c r="BU92" i="6"/>
  <c r="BU25" i="6"/>
  <c r="BU54" i="6"/>
  <c r="AN16" i="12"/>
  <c r="AN20" i="12"/>
  <c r="AN41" i="12"/>
  <c r="AN11" i="12"/>
  <c r="AN44" i="12"/>
  <c r="BV35" i="6"/>
  <c r="BV130" i="6"/>
  <c r="BV52" i="6"/>
  <c r="BW65" i="6"/>
  <c r="BW74" i="6"/>
  <c r="AK49" i="12"/>
  <c r="AJ24" i="12"/>
  <c r="AM17" i="12"/>
  <c r="AM48" i="12"/>
  <c r="AM47" i="12"/>
  <c r="AM14" i="12"/>
  <c r="AM45" i="12"/>
  <c r="AM46" i="12"/>
  <c r="BV54" i="6"/>
  <c r="N93" i="6"/>
  <c r="N118" i="6"/>
  <c r="N52" i="6"/>
  <c r="BW90" i="6"/>
  <c r="BX91" i="6"/>
  <c r="BW113" i="6"/>
  <c r="BW25" i="6"/>
  <c r="BY50" i="6"/>
  <c r="BX51" i="6"/>
  <c r="BX9" i="6"/>
  <c r="BX15" i="6"/>
  <c r="BX28" i="6"/>
  <c r="BW75" i="6"/>
  <c r="N92" i="6"/>
  <c r="N90" i="6"/>
  <c r="O91" i="6"/>
  <c r="N113" i="6"/>
  <c r="N25" i="6"/>
  <c r="N28" i="12"/>
  <c r="AM21" i="12"/>
  <c r="AM15" i="12"/>
  <c r="BX65" i="6"/>
  <c r="BX74" i="6"/>
  <c r="BX75" i="6"/>
  <c r="O48" i="12"/>
  <c r="O21" i="12"/>
  <c r="O49" i="12"/>
  <c r="AL49" i="12"/>
  <c r="AK24" i="12"/>
  <c r="BW35" i="6"/>
  <c r="BW52" i="6"/>
  <c r="BW130" i="6"/>
  <c r="BV118" i="6"/>
  <c r="BV93" i="6"/>
  <c r="N25" i="12"/>
  <c r="AN45" i="12"/>
  <c r="AN14" i="12"/>
  <c r="AN46" i="12"/>
  <c r="AN47" i="12"/>
  <c r="AN17" i="12"/>
  <c r="AN48" i="12"/>
  <c r="O47" i="12"/>
  <c r="R47" i="12"/>
  <c r="R17" i="12"/>
  <c r="N54" i="6"/>
  <c r="AM49" i="12"/>
  <c r="AL24" i="12"/>
  <c r="R48" i="12"/>
  <c r="R21" i="12"/>
  <c r="S48" i="12"/>
  <c r="AN15" i="12"/>
  <c r="AN21" i="12"/>
  <c r="BX130" i="6"/>
  <c r="BX35" i="6"/>
  <c r="BX92" i="6"/>
  <c r="BX113" i="6"/>
  <c r="BX90" i="6"/>
  <c r="BY91" i="6"/>
  <c r="BX25" i="6"/>
  <c r="BY65" i="6"/>
  <c r="BX52" i="6"/>
  <c r="BZ50" i="6"/>
  <c r="BY51" i="6"/>
  <c r="BY9" i="6"/>
  <c r="BY28" i="6"/>
  <c r="BW54" i="6"/>
  <c r="BW93" i="6"/>
  <c r="BW118" i="6"/>
  <c r="BW92" i="6"/>
  <c r="BX54" i="6"/>
  <c r="BY130" i="6"/>
  <c r="BZ28" i="6"/>
  <c r="BY35" i="6"/>
  <c r="BY52" i="6"/>
  <c r="BY15" i="6"/>
  <c r="BZ9" i="6"/>
  <c r="O50" i="6"/>
  <c r="O51" i="6"/>
  <c r="BZ51" i="6"/>
  <c r="BY74" i="6"/>
  <c r="BY75" i="6"/>
  <c r="BZ65" i="6"/>
  <c r="BZ74" i="6"/>
  <c r="BZ75" i="6"/>
  <c r="BX93" i="6"/>
  <c r="BX118" i="6"/>
  <c r="AN49" i="12"/>
  <c r="AM24" i="12"/>
  <c r="R49" i="12"/>
  <c r="S49" i="12"/>
  <c r="O24" i="12"/>
  <c r="O100" i="8"/>
  <c r="O18" i="8"/>
  <c r="N24" i="12"/>
  <c r="O75" i="6"/>
  <c r="O9" i="6"/>
  <c r="BZ15" i="6"/>
  <c r="BY92" i="6"/>
  <c r="BY90" i="6"/>
  <c r="BZ91" i="6"/>
  <c r="BY113" i="6"/>
  <c r="BY25" i="6"/>
  <c r="BY54" i="6"/>
  <c r="BY93" i="6"/>
  <c r="BY118" i="6"/>
  <c r="O28" i="6"/>
  <c r="BZ35" i="6"/>
  <c r="BZ130" i="6"/>
  <c r="BZ118" i="6"/>
  <c r="BZ93" i="6"/>
  <c r="BZ92" i="6"/>
  <c r="BZ113" i="6"/>
  <c r="BZ90" i="6"/>
  <c r="BZ25" i="6"/>
  <c r="O15" i="8"/>
  <c r="O15" i="6"/>
  <c r="O13" i="8"/>
  <c r="O130" i="6"/>
  <c r="O35" i="6"/>
  <c r="BZ52" i="6"/>
  <c r="N27" i="12"/>
  <c r="N31" i="12"/>
  <c r="N34" i="12"/>
  <c r="N101" i="8"/>
  <c r="N18" i="8"/>
  <c r="M24" i="12"/>
  <c r="N100" i="8"/>
  <c r="O24" i="8"/>
  <c r="O97" i="8"/>
  <c r="O22" i="8"/>
  <c r="O95" i="8"/>
  <c r="M100" i="8"/>
  <c r="M18" i="8"/>
  <c r="L24" i="12"/>
  <c r="M27" i="12"/>
  <c r="M31" i="12"/>
  <c r="M34" i="12"/>
  <c r="M101" i="8"/>
  <c r="N24" i="8"/>
  <c r="N97" i="8"/>
  <c r="N22" i="8"/>
  <c r="N95" i="8"/>
  <c r="N23" i="8"/>
  <c r="N96" i="8"/>
  <c r="N21" i="8"/>
  <c r="O118" i="6"/>
  <c r="O93" i="6"/>
  <c r="O52" i="6"/>
  <c r="O28" i="12"/>
  <c r="O21" i="8"/>
  <c r="O113" i="6"/>
  <c r="O90" i="6"/>
  <c r="O92" i="6"/>
  <c r="O25" i="6"/>
  <c r="O23" i="8"/>
  <c r="O96" i="8"/>
  <c r="O25" i="12"/>
  <c r="O27" i="12"/>
  <c r="BZ54" i="6"/>
  <c r="O31" i="12"/>
  <c r="O34" i="12"/>
  <c r="O101" i="8"/>
  <c r="O54" i="6"/>
  <c r="M22" i="8"/>
  <c r="M95" i="8"/>
  <c r="M24" i="8"/>
  <c r="M97" i="8"/>
  <c r="M23" i="8"/>
  <c r="M96" i="8"/>
  <c r="M21" i="8"/>
  <c r="O25" i="8"/>
  <c r="O98" i="8"/>
  <c r="O94" i="8"/>
  <c r="N25" i="8"/>
  <c r="N98" i="8"/>
  <c r="N94" i="8"/>
  <c r="L27" i="12"/>
  <c r="L31" i="12"/>
  <c r="L34" i="12"/>
  <c r="L101" i="8"/>
  <c r="L18" i="8"/>
  <c r="L100" i="8"/>
  <c r="K24" i="12"/>
  <c r="J24" i="12"/>
  <c r="I24" i="12"/>
  <c r="H24" i="12"/>
  <c r="G24" i="12"/>
  <c r="K100" i="8"/>
  <c r="K18" i="8"/>
  <c r="K27" i="12"/>
  <c r="K31" i="12"/>
  <c r="K34" i="12"/>
  <c r="L22" i="8"/>
  <c r="L95" i="8"/>
  <c r="L24" i="8"/>
  <c r="L97" i="8"/>
  <c r="L23" i="8"/>
  <c r="L96" i="8"/>
  <c r="L21" i="8"/>
  <c r="N26" i="8"/>
  <c r="N99" i="8"/>
  <c r="O26" i="8"/>
  <c r="O99" i="8"/>
  <c r="M25" i="8"/>
  <c r="M98" i="8"/>
  <c r="M94" i="8"/>
  <c r="M26" i="8"/>
  <c r="M99" i="8"/>
  <c r="L25" i="8"/>
  <c r="L98" i="8"/>
  <c r="L94" i="8"/>
  <c r="K101" i="8"/>
  <c r="O4" i="16"/>
  <c r="O4" i="12"/>
  <c r="AA4" i="12"/>
  <c r="AN4" i="12"/>
  <c r="O4" i="6"/>
  <c r="O4" i="10"/>
  <c r="O4" i="7"/>
  <c r="O4" i="8"/>
  <c r="O4" i="3"/>
  <c r="F9" i="5"/>
  <c r="P9" i="5"/>
  <c r="K22" i="8"/>
  <c r="K95" i="8"/>
  <c r="K24" i="8"/>
  <c r="K97" i="8"/>
  <c r="K23" i="8"/>
  <c r="K96" i="8"/>
  <c r="K21" i="8"/>
  <c r="K25" i="8"/>
  <c r="K98" i="8"/>
  <c r="K94" i="8"/>
  <c r="BY3" i="3"/>
  <c r="O99" i="3"/>
  <c r="O55" i="3"/>
  <c r="O89" i="8"/>
  <c r="BJ89" i="8"/>
  <c r="BN3" i="8"/>
  <c r="BN50" i="8"/>
  <c r="O50" i="8"/>
  <c r="O92" i="7"/>
  <c r="BY3" i="7"/>
  <c r="BY50" i="7"/>
  <c r="BY92" i="7"/>
  <c r="O50" i="7"/>
  <c r="O72" i="10"/>
  <c r="BY72" i="10"/>
  <c r="BY3" i="10"/>
  <c r="O103" i="6"/>
  <c r="O60" i="6"/>
  <c r="O99" i="16"/>
  <c r="O55" i="16"/>
  <c r="BY3" i="16"/>
  <c r="BY55" i="16"/>
  <c r="BY99" i="16"/>
  <c r="L26" i="8"/>
  <c r="L99" i="8"/>
  <c r="K26" i="8"/>
  <c r="K99" i="8"/>
  <c r="BY3" i="6"/>
  <c r="BY60" i="6"/>
  <c r="BY103" i="6"/>
  <c r="BY55" i="3"/>
  <c r="BY9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Mihir Patel</author>
  </authors>
  <commentList>
    <comment ref="C11" authorId="0" shapeId="0" xr:uid="{69E15387-6F8E-47BC-AF89-5F19CC168373}">
      <text>
        <r>
          <rPr>
            <b/>
            <sz val="9"/>
            <color indexed="81"/>
            <rFont val="Tahoma"/>
            <family val="2"/>
          </rPr>
          <t>Mihir Patel:</t>
        </r>
        <r>
          <rPr>
            <sz val="9"/>
            <color indexed="81"/>
            <rFont val="Tahoma"/>
            <family val="2"/>
          </rPr>
          <t xml:space="preserve">
Operating Revenue is the </t>
        </r>
        <r>
          <rPr>
            <b/>
            <sz val="9"/>
            <color indexed="81"/>
            <rFont val="Tahoma"/>
            <family val="2"/>
          </rPr>
          <t>sum</t>
        </r>
        <r>
          <rPr>
            <sz val="9"/>
            <color indexed="81"/>
            <rFont val="Tahoma"/>
            <family val="2"/>
          </rPr>
          <t xml:space="preserve"> of Revenue from LTL Services and Revenue from Other Value Added Services.</t>
        </r>
      </text>
    </comment>
    <comment ref="C13" authorId="0" shapeId="0" xr:uid="{EA66279A-D024-4DD9-B161-1683B376B4D7}">
      <text>
        <r>
          <rPr>
            <b/>
            <sz val="9"/>
            <color indexed="81"/>
            <rFont val="Tahoma"/>
            <family val="2"/>
          </rPr>
          <t>Mihir Patel:</t>
        </r>
        <r>
          <rPr>
            <sz val="9"/>
            <color indexed="81"/>
            <rFont val="Tahoma"/>
            <family val="2"/>
          </rPr>
          <t xml:space="preserve">
Number of Shipments * Revenue Per Shipment
</t>
        </r>
        <r>
          <rPr>
            <b/>
            <sz val="9"/>
            <color indexed="81"/>
            <rFont val="Tahoma"/>
            <family val="2"/>
          </rPr>
          <t xml:space="preserve">OR
</t>
        </r>
        <r>
          <rPr>
            <sz val="9"/>
            <color indexed="81"/>
            <rFont val="Tahoma"/>
            <family val="2"/>
          </rPr>
          <t xml:space="preserve">LTL Tonnage * LTL Revenue per Hundredweight * 20 </t>
        </r>
        <r>
          <rPr>
            <b/>
            <sz val="9"/>
            <color indexed="81"/>
            <rFont val="Tahoma"/>
            <family val="2"/>
          </rPr>
          <t>(Since, 1 Tonnage = 20 Hundredweight or CWT)</t>
        </r>
      </text>
    </comment>
    <comment ref="C27" authorId="0" shapeId="0" xr:uid="{1CDD7EBA-E9D4-4E8E-A1E9-7E17FE91198B}">
      <text>
        <r>
          <rPr>
            <b/>
            <sz val="9"/>
            <color indexed="81"/>
            <rFont val="Tahoma"/>
            <family val="2"/>
          </rPr>
          <t>Mihir Patel:</t>
        </r>
        <r>
          <rPr>
            <sz val="9"/>
            <color indexed="81"/>
            <rFont val="Tahoma"/>
            <family val="2"/>
          </rPr>
          <t xml:space="preserve">
This part of Revenue Build is still a work in progress. I'm trying to figure out what to do with the fuel surcharges
</t>
        </r>
      </text>
    </comment>
    <comment ref="C29" authorId="0" shapeId="0" xr:uid="{59AEA1AC-7AAE-44CE-9A2D-E25E48C9AB18}">
      <text>
        <r>
          <rPr>
            <b/>
            <sz val="9"/>
            <color indexed="81"/>
            <rFont val="Tahoma"/>
            <family val="2"/>
          </rPr>
          <t>Mihir Patel:</t>
        </r>
        <r>
          <rPr>
            <sz val="9"/>
            <color indexed="81"/>
            <rFont val="Tahoma"/>
            <family val="2"/>
          </rPr>
          <t xml:space="preserve">
See note in row 27</t>
        </r>
      </text>
    </comment>
    <comment ref="C31" authorId="0" shapeId="0" xr:uid="{B14ED761-1B82-44CF-800E-B4BF2C6AD20B}">
      <text>
        <r>
          <rPr>
            <b/>
            <sz val="9"/>
            <color indexed="81"/>
            <rFont val="Tahoma"/>
            <family val="2"/>
          </rPr>
          <t>Mihir Patel:</t>
        </r>
        <r>
          <rPr>
            <sz val="9"/>
            <color indexed="81"/>
            <rFont val="Tahoma"/>
            <family val="2"/>
          </rPr>
          <t xml:space="preserve">
See note in row 27</t>
        </r>
      </text>
    </comment>
    <comment ref="C44" authorId="0" shapeId="0" xr:uid="{E6F04FC5-4284-454D-832D-163496860C70}">
      <text>
        <r>
          <rPr>
            <b/>
            <sz val="9"/>
            <color indexed="81"/>
            <rFont val="Tahoma"/>
            <family val="2"/>
          </rPr>
          <t>Mihir Patel:</t>
        </r>
        <r>
          <rPr>
            <sz val="9"/>
            <color indexed="81"/>
            <rFont val="Tahoma"/>
            <family val="2"/>
          </rPr>
          <t xml:space="preserve">
Ratio Goes down if tonnage goes down &amp;  shipments goes up (visa versa).</t>
        </r>
      </text>
    </comment>
    <comment ref="R44" authorId="0" shapeId="0" xr:uid="{51D424AA-CFD0-4D2B-88DF-4E6F1A0F3B6E}">
      <text>
        <r>
          <rPr>
            <b/>
            <sz val="9"/>
            <color indexed="81"/>
            <rFont val="Tahoma"/>
            <family val="2"/>
          </rPr>
          <t>Mihir Patel:</t>
        </r>
        <r>
          <rPr>
            <sz val="9"/>
            <color indexed="81"/>
            <rFont val="Tahoma"/>
            <family val="2"/>
          </rPr>
          <t xml:space="preserve">
Ratio Goes down if tonnage goes down &amp;  shipments goes up (visa versa).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Mihir Patel</author>
  </authors>
  <commentList>
    <comment ref="BE44" authorId="0" shapeId="0" xr:uid="{89F75D3F-479E-4890-9375-9CA993399515}">
      <text>
        <r>
          <rPr>
            <b/>
            <sz val="9"/>
            <color indexed="81"/>
            <rFont val="Tahoma"/>
            <family val="2"/>
          </rPr>
          <t>Mihir Patel:</t>
        </r>
        <r>
          <rPr>
            <sz val="9"/>
            <color indexed="81"/>
            <rFont val="Tahoma"/>
            <family val="2"/>
          </rPr>
          <t xml:space="preserve">
Setting it equal to the most recent amount </t>
        </r>
      </text>
    </comment>
    <comment ref="BG44" authorId="0" shapeId="0" xr:uid="{2B23DB60-1FFC-40AF-91C6-8C5F4564C067}">
      <text>
        <r>
          <rPr>
            <b/>
            <sz val="9"/>
            <color indexed="81"/>
            <rFont val="Tahoma"/>
            <family val="2"/>
          </rPr>
          <t>Mihir Patel:</t>
        </r>
        <r>
          <rPr>
            <sz val="9"/>
            <color indexed="81"/>
            <rFont val="Tahoma"/>
            <family val="2"/>
          </rPr>
          <t xml:space="preserve">
Setting it equal to the most recent amount </t>
        </r>
      </text>
    </comment>
    <comment ref="BH44" authorId="0" shapeId="0" xr:uid="{578AB2F3-07C4-449B-BC12-6CAD9514B0D2}">
      <text>
        <r>
          <rPr>
            <b/>
            <sz val="9"/>
            <color indexed="81"/>
            <rFont val="Tahoma"/>
            <family val="2"/>
          </rPr>
          <t>Mihir Patel:</t>
        </r>
        <r>
          <rPr>
            <sz val="9"/>
            <color indexed="81"/>
            <rFont val="Tahoma"/>
            <family val="2"/>
          </rPr>
          <t xml:space="preserve">
Setting it equal to the most recent amount </t>
        </r>
      </text>
    </comment>
    <comment ref="BI44" authorId="0" shapeId="0" xr:uid="{6A467A8F-A881-4776-B461-008B3F9D4D51}">
      <text>
        <r>
          <rPr>
            <b/>
            <sz val="9"/>
            <color indexed="81"/>
            <rFont val="Tahoma"/>
            <family val="2"/>
          </rPr>
          <t>Mihir Patel:</t>
        </r>
        <r>
          <rPr>
            <sz val="9"/>
            <color indexed="81"/>
            <rFont val="Tahoma"/>
            <family val="2"/>
          </rPr>
          <t xml:space="preserve">
Setting it equal to the most recent amount </t>
        </r>
      </text>
    </comment>
    <comment ref="BG45" authorId="0" shapeId="0" xr:uid="{11E8DCEE-03AF-4C6E-A489-541326C10C49}">
      <text>
        <r>
          <rPr>
            <b/>
            <sz val="9"/>
            <color indexed="81"/>
            <rFont val="Tahoma"/>
            <family val="2"/>
          </rPr>
          <t>Mihir Patel:</t>
        </r>
        <r>
          <rPr>
            <sz val="9"/>
            <color indexed="81"/>
            <rFont val="Tahoma"/>
            <family val="2"/>
          </rPr>
          <t xml:space="preserve">
Setting it equal to the most recent amount </t>
        </r>
      </text>
    </comment>
    <comment ref="BH45" authorId="0" shapeId="0" xr:uid="{B5F19222-ED33-4FD3-A424-5F76B1EAE443}">
      <text>
        <r>
          <rPr>
            <b/>
            <sz val="9"/>
            <color indexed="81"/>
            <rFont val="Tahoma"/>
            <family val="2"/>
          </rPr>
          <t>Mihir Patel:</t>
        </r>
        <r>
          <rPr>
            <sz val="9"/>
            <color indexed="81"/>
            <rFont val="Tahoma"/>
            <family val="2"/>
          </rPr>
          <t xml:space="preserve">
Setting it equal to the most recent amount </t>
        </r>
      </text>
    </comment>
    <comment ref="BI45" authorId="0" shapeId="0" xr:uid="{73B06519-CCF1-40A4-9076-C382BC03E4BF}">
      <text>
        <r>
          <rPr>
            <b/>
            <sz val="9"/>
            <color indexed="81"/>
            <rFont val="Tahoma"/>
            <family val="2"/>
          </rPr>
          <t>Mihir Patel:</t>
        </r>
        <r>
          <rPr>
            <sz val="9"/>
            <color indexed="81"/>
            <rFont val="Tahoma"/>
            <family val="2"/>
          </rPr>
          <t xml:space="preserve">
Setting it equal to the most recent amount </t>
        </r>
      </text>
    </comment>
    <comment ref="C65" authorId="0" shapeId="0" xr:uid="{0C8C7FB0-4535-4B13-AA85-C81967E2C3D1}">
      <text>
        <r>
          <rPr>
            <b/>
            <sz val="9"/>
            <color indexed="81"/>
            <rFont val="Tahoma"/>
            <family val="2"/>
          </rPr>
          <t>Mihir Patel:</t>
        </r>
        <r>
          <rPr>
            <sz val="9"/>
            <color indexed="81"/>
            <rFont val="Tahoma"/>
            <family val="2"/>
          </rPr>
          <t xml:space="preserve">
EBIT Tax Rate = (Income Taxes + Marginal Tax Rate * (Interest Expense - Interest Income - Other Income) / Operating Income </t>
        </r>
        <r>
          <rPr>
            <b/>
            <sz val="9"/>
            <color indexed="81"/>
            <rFont val="Tahoma"/>
            <family val="2"/>
          </rPr>
          <t xml:space="preserve">Note: Other Income and Interest Income are Entered as Negative on the Income Statement </t>
        </r>
      </text>
    </comment>
    <comment ref="W65" authorId="0" shapeId="0" xr:uid="{6B422FED-0F96-47D7-BE35-773FB0D76C08}">
      <text>
        <r>
          <rPr>
            <b/>
            <sz val="9"/>
            <color indexed="81"/>
            <rFont val="Tahoma"/>
            <family val="2"/>
          </rPr>
          <t>Mihir Patel:</t>
        </r>
        <r>
          <rPr>
            <sz val="9"/>
            <color indexed="81"/>
            <rFont val="Tahoma"/>
            <family val="2"/>
          </rPr>
          <t xml:space="preserve">
EBIT Tax Rate = (Income Taxes + Marginal Tax Rate * (Interest Expense - Interest Income - Other Income) / Operating Income </t>
        </r>
        <r>
          <rPr>
            <b/>
            <sz val="9"/>
            <color indexed="81"/>
            <rFont val="Tahoma"/>
            <family val="2"/>
          </rPr>
          <t xml:space="preserve">Note: Other Income and Interest Income are Entered as Negative on the Income Statement </t>
        </r>
      </text>
    </comment>
    <comment ref="C66" authorId="0" shapeId="0" xr:uid="{B1040DBA-F6D7-4622-8A25-0A8092FB555F}">
      <text>
        <r>
          <rPr>
            <b/>
            <sz val="9"/>
            <color indexed="81"/>
            <rFont val="Tahoma"/>
            <family val="2"/>
          </rPr>
          <t>Mihir Patel:</t>
        </r>
        <r>
          <rPr>
            <sz val="9"/>
            <color indexed="81"/>
            <rFont val="Tahoma"/>
            <family val="2"/>
          </rPr>
          <t xml:space="preserve">
2023 10K Page 66 Note 10</t>
        </r>
      </text>
    </comment>
    <comment ref="W66" authorId="0" shapeId="0" xr:uid="{3BBB2455-3992-4C37-A8DB-1B058F4CFEAB}">
      <text>
        <r>
          <rPr>
            <b/>
            <sz val="9"/>
            <color indexed="81"/>
            <rFont val="Tahoma"/>
            <family val="2"/>
          </rPr>
          <t>Mihir Patel:</t>
        </r>
        <r>
          <rPr>
            <sz val="9"/>
            <color indexed="81"/>
            <rFont val="Tahoma"/>
            <family val="2"/>
          </rPr>
          <t xml:space="preserve">
2023 10K Page 66 Note 10</t>
        </r>
      </text>
    </comment>
    <comment ref="C68" authorId="0" shapeId="0" xr:uid="{0FB983EC-1F12-415A-B432-40CAFBEC9864}">
      <text>
        <r>
          <rPr>
            <b/>
            <sz val="9"/>
            <color indexed="81"/>
            <rFont val="Tahoma"/>
            <family val="2"/>
          </rPr>
          <t>Mihir Patel:</t>
        </r>
        <r>
          <rPr>
            <sz val="9"/>
            <color indexed="81"/>
            <rFont val="Tahoma"/>
            <family val="2"/>
          </rPr>
          <t xml:space="preserve">
Marginal Tax Rate = (Statutory Tax + State Tax) / Income Before Taxes</t>
        </r>
      </text>
    </comment>
    <comment ref="W68" authorId="0" shapeId="0" xr:uid="{B5F2D531-0AE2-4527-B958-F5A66CD06BF8}">
      <text>
        <r>
          <rPr>
            <b/>
            <sz val="9"/>
            <color indexed="81"/>
            <rFont val="Tahoma"/>
            <family val="2"/>
          </rPr>
          <t>Mihir Patel:</t>
        </r>
        <r>
          <rPr>
            <sz val="9"/>
            <color indexed="81"/>
            <rFont val="Tahoma"/>
            <family val="2"/>
          </rPr>
          <t xml:space="preserve">
Marginal Tax Rate = (Statutory Tax + State Tax) / Income Before Taxes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Mihir Patel</author>
  </authors>
  <commentList>
    <comment ref="C9" authorId="0" shapeId="0" xr:uid="{416152A1-40FA-4E71-A7E1-8448380C7142}">
      <text>
        <r>
          <rPr>
            <b/>
            <sz val="9"/>
            <color indexed="81"/>
            <rFont val="Tahoma"/>
            <family val="2"/>
          </rPr>
          <t>Mihir Patel: Column BE</t>
        </r>
        <r>
          <rPr>
            <sz val="9"/>
            <color indexed="81"/>
            <rFont val="Tahoma"/>
            <family val="2"/>
          </rPr>
          <t xml:space="preserve">
The formulas in this row might cause circular reference error to get rid of it enable iterative calculations in excel. 
</t>
        </r>
        <r>
          <rPr>
            <b/>
            <sz val="9"/>
            <color indexed="81"/>
            <rFont val="Tahoma"/>
            <family val="2"/>
          </rPr>
          <t>File &gt; Options &gt; Forumlas &gt; enable iterative calculation.</t>
        </r>
      </text>
    </comment>
    <comment ref="BE11" authorId="0" shapeId="0" xr:uid="{B5250F32-458B-4190-A90B-F6E71DE1E9E8}">
      <text>
        <r>
          <rPr>
            <b/>
            <sz val="9"/>
            <color indexed="81"/>
            <rFont val="Tahoma"/>
            <family val="2"/>
          </rPr>
          <t>Mihir Patel:</t>
        </r>
        <r>
          <rPr>
            <sz val="9"/>
            <color indexed="81"/>
            <rFont val="Tahoma"/>
            <family val="2"/>
          </rPr>
          <t xml:space="preserve">
Based on Average A/R. Row 109 
Formula = ((Average AR * Sales) / (365/4)) * 2 - AR last period. </t>
        </r>
      </text>
    </comment>
    <comment ref="C28" authorId="0" shapeId="0" xr:uid="{3564C187-4F23-4EBB-8D62-38A36AF109BF}">
      <text>
        <r>
          <rPr>
            <b/>
            <sz val="9"/>
            <color indexed="81"/>
            <rFont val="Tahoma"/>
            <family val="2"/>
          </rPr>
          <t>Mihir Patel: Column BE</t>
        </r>
        <r>
          <rPr>
            <sz val="9"/>
            <color indexed="81"/>
            <rFont val="Tahoma"/>
            <family val="2"/>
          </rPr>
          <t xml:space="preserve">
The formulas in this row might cause circular reference error to get rid of it enable iterative calculations in excel. 
</t>
        </r>
        <r>
          <rPr>
            <b/>
            <sz val="9"/>
            <color indexed="81"/>
            <rFont val="Tahoma"/>
            <family val="2"/>
          </rPr>
          <t>File &gt; Options &gt; Forumlas &gt; enable iterative calculation.</t>
        </r>
      </text>
    </comment>
    <comment ref="BE31" authorId="0" shapeId="0" xr:uid="{983ECA65-A196-467F-9051-20A72BDBA3AE}">
      <text>
        <r>
          <rPr>
            <b/>
            <sz val="9"/>
            <color indexed="81"/>
            <rFont val="Tahoma"/>
            <family val="2"/>
          </rPr>
          <t>Mihir Patel:</t>
        </r>
        <r>
          <rPr>
            <sz val="9"/>
            <color indexed="81"/>
            <rFont val="Tahoma"/>
            <family val="2"/>
          </rPr>
          <t xml:space="preserve">
Based on Average A/P. Row 114 
Formula = ((Average AP * COGS) / (365/4)) * 2 - AP last period. </t>
        </r>
      </text>
    </comment>
    <comment ref="C70" authorId="0" shapeId="0" xr:uid="{761E76B8-48F1-415B-B296-5EDCF6BE0C2B}">
      <text>
        <r>
          <rPr>
            <b/>
            <sz val="9"/>
            <color indexed="81"/>
            <rFont val="Tahoma"/>
            <family val="2"/>
          </rPr>
          <t>Mihir Patel:</t>
        </r>
        <r>
          <rPr>
            <sz val="9"/>
            <color indexed="81"/>
            <rFont val="Tahoma"/>
            <family val="2"/>
          </rPr>
          <t xml:space="preserve">
Reminder: Amount to be Entered as Negative Value. </t>
        </r>
      </text>
    </comment>
    <comment ref="C72" authorId="0" shapeId="0" xr:uid="{B88A5D9C-21D7-475B-BA2E-0BD932A6366B}">
      <text>
        <r>
          <rPr>
            <b/>
            <sz val="9"/>
            <color indexed="81"/>
            <rFont val="Tahoma"/>
            <family val="2"/>
          </rPr>
          <t>Mihir Patel:</t>
        </r>
        <r>
          <rPr>
            <sz val="9"/>
            <color indexed="81"/>
            <rFont val="Tahoma"/>
            <family val="2"/>
          </rPr>
          <t xml:space="preserve">
This Year Treasury Stock + Deferred Compensation Trust </t>
        </r>
        <r>
          <rPr>
            <b/>
            <sz val="9"/>
            <color indexed="81"/>
            <rFont val="Tahoma"/>
            <family val="2"/>
          </rPr>
          <t>Minus</t>
        </r>
        <r>
          <rPr>
            <sz val="9"/>
            <color indexed="81"/>
            <rFont val="Tahoma"/>
            <family val="2"/>
          </rPr>
          <t xml:space="preserve"> Last Year Year Treasury Stock + Deferred Compensation Trust </t>
        </r>
      </text>
    </comment>
    <comment ref="BB115" authorId="0" shapeId="0" xr:uid="{B29FE75B-B5D0-4F91-91B1-677B9D1E08F0}">
      <text>
        <r>
          <rPr>
            <b/>
            <sz val="9"/>
            <color indexed="81"/>
            <rFont val="Tahoma"/>
            <family val="2"/>
          </rPr>
          <t>Mihir Patel:</t>
        </r>
        <r>
          <rPr>
            <sz val="9"/>
            <color indexed="81"/>
            <rFont val="Tahoma"/>
            <family val="2"/>
          </rPr>
          <t xml:space="preserve">
Head count going up</t>
        </r>
      </text>
    </comment>
    <comment ref="BG121" authorId="0" shapeId="0" xr:uid="{2D875A16-F48D-4CD5-9A36-617079F34045}">
      <text>
        <r>
          <rPr>
            <b/>
            <sz val="9"/>
            <color indexed="81"/>
            <rFont val="Tahoma"/>
            <family val="2"/>
          </rPr>
          <t>Mihir Patel:</t>
        </r>
        <r>
          <rPr>
            <sz val="9"/>
            <color indexed="81"/>
            <rFont val="Tahoma"/>
            <family val="2"/>
          </rPr>
          <t xml:space="preserve">
2023 10K Page 60 Note 5</t>
        </r>
      </text>
    </comment>
    <comment ref="BE144" authorId="0" shapeId="0" xr:uid="{22B881A0-21B6-4D04-9B7F-3149C26F91D6}">
      <text>
        <r>
          <rPr>
            <b/>
            <sz val="9"/>
            <color indexed="81"/>
            <rFont val="Tahoma"/>
            <family val="2"/>
          </rPr>
          <t>Mihir Patel:</t>
        </r>
        <r>
          <rPr>
            <sz val="9"/>
            <color indexed="81"/>
            <rFont val="Tahoma"/>
            <family val="2"/>
          </rPr>
          <t xml:space="preserve">
Value of Gross PPE this Quarter would be what it was last quarter + CAPEX - Disposal of asset at cost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Mihir Patel</author>
  </authors>
  <commentList>
    <comment ref="C39" authorId="0" shapeId="0" xr:uid="{94BD622A-35C9-471B-9E9B-4D2FE35E376C}">
      <text>
        <r>
          <rPr>
            <b/>
            <sz val="9"/>
            <color indexed="81"/>
            <rFont val="Tahoma"/>
            <family val="2"/>
          </rPr>
          <t>Mihir Patel:</t>
        </r>
        <r>
          <rPr>
            <sz val="9"/>
            <color indexed="81"/>
            <rFont val="Tahoma"/>
            <family val="2"/>
          </rPr>
          <t xml:space="preserve">
Check this Assumption: 
Dividing IC by 4 for quarterly IC Turns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Mihir Patel</author>
  </authors>
  <commentList>
    <comment ref="C11" authorId="0" shapeId="0" xr:uid="{99468E19-F43F-44F4-8CAB-07C81971DAC5}">
      <text>
        <r>
          <rPr>
            <b/>
            <sz val="9"/>
            <color indexed="81"/>
            <rFont val="Tahoma"/>
            <family val="2"/>
          </rPr>
          <t>Mihir Patel:</t>
        </r>
        <r>
          <rPr>
            <sz val="9"/>
            <color indexed="81"/>
            <rFont val="Tahoma"/>
            <family val="2"/>
          </rPr>
          <t xml:space="preserve">
Shares Outstanding as of Balance Sheet Date
or Filing Date</t>
        </r>
      </text>
    </comment>
    <comment ref="N32" authorId="0" shapeId="0" xr:uid="{4B1B938A-BA7F-44DD-8D46-DAA3315688F1}">
      <text>
        <r>
          <rPr>
            <b/>
            <sz val="9"/>
            <color indexed="81"/>
            <rFont val="Tahoma"/>
            <family val="2"/>
          </rPr>
          <t>Mihir Patel:</t>
        </r>
        <r>
          <rPr>
            <sz val="9"/>
            <color indexed="81"/>
            <rFont val="Tahoma"/>
            <family val="2"/>
          </rPr>
          <t xml:space="preserve">
Inflation Traget of 2% by 2027. Maybe! Maybe!
</t>
        </r>
      </text>
    </comment>
    <comment ref="C33" authorId="0" shapeId="0" xr:uid="{9C058DDF-007A-4FD9-9AF1-627277D1391D}">
      <text>
        <r>
          <rPr>
            <b/>
            <sz val="9"/>
            <color indexed="81"/>
            <rFont val="Tahoma"/>
            <family val="2"/>
          </rPr>
          <t>Mihir Patel:</t>
        </r>
        <r>
          <rPr>
            <sz val="9"/>
            <color indexed="81"/>
            <rFont val="Tahoma"/>
            <family val="2"/>
          </rPr>
          <t xml:space="preserve">
I Prefer 5-Year Weekly Beta as it is more stable and is not susceptible to short term volatility
Different Values of Market Beta can be used using the drop-down menu</t>
        </r>
      </text>
    </comment>
    <comment ref="C35" authorId="0" shapeId="0" xr:uid="{2C47195B-9BA1-4FD2-B3DC-E2E78EE567E4}">
      <text>
        <r>
          <rPr>
            <b/>
            <sz val="9"/>
            <color indexed="81"/>
            <rFont val="Tahoma"/>
            <family val="2"/>
          </rPr>
          <t xml:space="preserve">Mihir Patel:
</t>
        </r>
        <r>
          <rPr>
            <sz val="9"/>
            <color indexed="81"/>
            <rFont val="Tahoma"/>
            <family val="2"/>
          </rPr>
          <t>Source:
https://fred.stlouisfed.org/series/TB3MS</t>
        </r>
      </text>
    </comment>
    <comment ref="K35" authorId="0" shapeId="0" xr:uid="{ED5AE8F8-1D77-4D1C-B461-1B8B02BF9C8B}">
      <text>
        <r>
          <rPr>
            <b/>
            <sz val="9"/>
            <color indexed="81"/>
            <rFont val="Tahoma"/>
            <family val="2"/>
          </rPr>
          <t xml:space="preserve">Mihir Patel:
</t>
        </r>
        <r>
          <rPr>
            <sz val="9"/>
            <color indexed="81"/>
            <rFont val="Tahoma"/>
            <family val="2"/>
          </rPr>
          <t>Source:
https://fred.stlouisfed.org/series/TB3MS</t>
        </r>
      </text>
    </comment>
    <comment ref="C36" authorId="0" shapeId="0" xr:uid="{D8DA1B53-2073-469E-A3F6-E339F1AFD106}">
      <text>
        <r>
          <rPr>
            <b/>
            <sz val="9"/>
            <color indexed="81"/>
            <rFont val="Tahoma"/>
            <family val="2"/>
          </rPr>
          <t>Mihir Patel:</t>
        </r>
        <r>
          <rPr>
            <sz val="9"/>
            <color indexed="81"/>
            <rFont val="Tahoma"/>
            <family val="2"/>
          </rPr>
          <t xml:space="preserve">
This Should be the WACC of Non-Operating Asset
</t>
        </r>
      </text>
    </comment>
    <comment ref="AB63" authorId="0" shapeId="0" xr:uid="{806B62D1-D155-4431-AD28-B3AD2CC91681}">
      <text>
        <r>
          <rPr>
            <b/>
            <sz val="9"/>
            <color indexed="81"/>
            <rFont val="Tahoma"/>
            <family val="2"/>
          </rPr>
          <t>Mihir Patel:</t>
        </r>
        <r>
          <rPr>
            <sz val="9"/>
            <color indexed="81"/>
            <rFont val="Tahoma"/>
            <family val="2"/>
          </rPr>
          <t xml:space="preserve">
Credit Agreement with Banks (Outstanding Amount)
</t>
        </r>
      </text>
    </comment>
    <comment ref="AC63" authorId="0" shapeId="0" xr:uid="{EC77024C-0F13-4730-A325-294F85444094}">
      <text>
        <r>
          <rPr>
            <b/>
            <sz val="9"/>
            <color indexed="81"/>
            <rFont val="Tahoma"/>
            <family val="2"/>
          </rPr>
          <t>Mihir Patel:</t>
        </r>
        <r>
          <rPr>
            <sz val="9"/>
            <color indexed="81"/>
            <rFont val="Tahoma"/>
            <family val="2"/>
          </rPr>
          <t xml:space="preserve">
Credit Agreement with Banks (Outstanding Amount)
</t>
        </r>
      </text>
    </comment>
    <comment ref="AD63" authorId="0" shapeId="0" xr:uid="{87D8EED4-9AF3-4A39-8D15-3E4B29CE4602}">
      <text>
        <r>
          <rPr>
            <b/>
            <sz val="9"/>
            <color indexed="81"/>
            <rFont val="Tahoma"/>
            <family val="2"/>
          </rPr>
          <t>Mihir Patel:</t>
        </r>
        <r>
          <rPr>
            <sz val="9"/>
            <color indexed="81"/>
            <rFont val="Tahoma"/>
            <family val="2"/>
          </rPr>
          <t xml:space="preserve">
Credit Agreement with Banks (Outstanding Amount)
</t>
        </r>
      </text>
    </comment>
    <comment ref="AE63" authorId="0" shapeId="0" xr:uid="{AFDEF32B-50BF-4532-8BA5-11B9F4E44E4B}">
      <text>
        <r>
          <rPr>
            <b/>
            <sz val="9"/>
            <color indexed="81"/>
            <rFont val="Tahoma"/>
            <family val="2"/>
          </rPr>
          <t>Mihir Patel:</t>
        </r>
        <r>
          <rPr>
            <sz val="9"/>
            <color indexed="81"/>
            <rFont val="Tahoma"/>
            <family val="2"/>
          </rPr>
          <t xml:space="preserve">
Credit Agreement with Banks (Outstanding Amount)
</t>
        </r>
      </text>
    </comment>
    <comment ref="AF63" authorId="0" shapeId="0" xr:uid="{8D25A4D8-A24C-491D-B191-9D862E0B3D8F}">
      <text>
        <r>
          <rPr>
            <b/>
            <sz val="9"/>
            <color indexed="81"/>
            <rFont val="Tahoma"/>
            <family val="2"/>
          </rPr>
          <t>Mihir Patel:</t>
        </r>
        <r>
          <rPr>
            <sz val="9"/>
            <color indexed="81"/>
            <rFont val="Tahoma"/>
            <family val="2"/>
          </rPr>
          <t xml:space="preserve">
Credit Agreement with Banks (Outstanding Amount)
</t>
        </r>
      </text>
    </comment>
    <comment ref="AG63" authorId="0" shapeId="0" xr:uid="{85EA24FE-EFEC-461D-9E30-0B8DCE66AAA3}">
      <text>
        <r>
          <rPr>
            <b/>
            <sz val="9"/>
            <color indexed="81"/>
            <rFont val="Tahoma"/>
            <family val="2"/>
          </rPr>
          <t>Mihir Patel:</t>
        </r>
        <r>
          <rPr>
            <sz val="9"/>
            <color indexed="81"/>
            <rFont val="Tahoma"/>
            <family val="2"/>
          </rPr>
          <t xml:space="preserve">
Credit Agreement with Banks (Outstanding Amount)
</t>
        </r>
      </text>
    </comment>
    <comment ref="AH63" authorId="0" shapeId="0" xr:uid="{749F9A05-E28C-4D0D-914D-F166A1186CE9}">
      <text>
        <r>
          <rPr>
            <b/>
            <sz val="9"/>
            <color indexed="81"/>
            <rFont val="Tahoma"/>
            <family val="2"/>
          </rPr>
          <t>Mihir Patel:</t>
        </r>
        <r>
          <rPr>
            <sz val="9"/>
            <color indexed="81"/>
            <rFont val="Tahoma"/>
            <family val="2"/>
          </rPr>
          <t xml:space="preserve">
Credit Agreement with Banks (Outstanding Amount)
</t>
        </r>
      </text>
    </comment>
    <comment ref="AI63" authorId="0" shapeId="0" xr:uid="{B7DE9574-73D0-4594-8739-07DBDB609159}">
      <text>
        <r>
          <rPr>
            <b/>
            <sz val="9"/>
            <color indexed="81"/>
            <rFont val="Tahoma"/>
            <family val="2"/>
          </rPr>
          <t>Mihir Patel:</t>
        </r>
        <r>
          <rPr>
            <sz val="9"/>
            <color indexed="81"/>
            <rFont val="Tahoma"/>
            <family val="2"/>
          </rPr>
          <t xml:space="preserve">
Credit Agreement with Banks (Outstanding Amount)
</t>
        </r>
      </text>
    </comment>
    <comment ref="AJ63" authorId="0" shapeId="0" xr:uid="{38D4362E-B07C-414C-BD56-19068EDFBD2D}">
      <text>
        <r>
          <rPr>
            <b/>
            <sz val="9"/>
            <color indexed="81"/>
            <rFont val="Tahoma"/>
            <family val="2"/>
          </rPr>
          <t>Mihir Patel:</t>
        </r>
        <r>
          <rPr>
            <sz val="9"/>
            <color indexed="81"/>
            <rFont val="Tahoma"/>
            <family val="2"/>
          </rPr>
          <t xml:space="preserve">
Credit Agreement with Banks (Outstanding Amount)
</t>
        </r>
      </text>
    </comment>
    <comment ref="BB63" authorId="0" shapeId="0" xr:uid="{E012C4C7-0DAA-4A67-BDFA-FA75C1E11984}">
      <text>
        <r>
          <rPr>
            <b/>
            <sz val="9"/>
            <color indexed="81"/>
            <rFont val="Tahoma"/>
            <family val="2"/>
          </rPr>
          <t>Mihir Patel:</t>
        </r>
        <r>
          <rPr>
            <sz val="9"/>
            <color indexed="81"/>
            <rFont val="Tahoma"/>
            <family val="2"/>
          </rPr>
          <t xml:space="preserve">
Revolving Credit Facility</t>
        </r>
      </text>
    </comment>
    <comment ref="C100" authorId="0" shapeId="0" xr:uid="{52A51B3E-9400-4881-82AD-6450498F9BA8}">
      <text>
        <r>
          <rPr>
            <b/>
            <sz val="9"/>
            <color indexed="81"/>
            <rFont val="Tahoma"/>
            <family val="2"/>
          </rPr>
          <t>Mihir Patel:</t>
        </r>
        <r>
          <rPr>
            <sz val="9"/>
            <color indexed="81"/>
            <rFont val="Tahoma"/>
            <family val="2"/>
          </rPr>
          <t xml:space="preserve">
Assuming transaction happens EOY / Quarter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Mihir Patel</author>
  </authors>
  <commentList>
    <comment ref="C21" authorId="0" shapeId="0" xr:uid="{53F61C3C-F78D-4EEF-B235-3C1387BF5D94}">
      <text>
        <r>
          <rPr>
            <b/>
            <sz val="9"/>
            <color indexed="81"/>
            <rFont val="Tahoma"/>
            <family val="2"/>
          </rPr>
          <t>Mihir Patel:</t>
        </r>
        <r>
          <rPr>
            <sz val="9"/>
            <color indexed="81"/>
            <rFont val="Tahoma"/>
            <family val="2"/>
          </rPr>
          <t xml:space="preserve">
FCF = NOPAT - Change in Invested Capital</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Mihir Patel</author>
  </authors>
  <commentList>
    <comment ref="BE44" authorId="0" shapeId="0" xr:uid="{744BF463-A790-46E8-ABA8-AE206F403C5B}">
      <text>
        <r>
          <rPr>
            <b/>
            <sz val="9"/>
            <color indexed="81"/>
            <rFont val="Tahoma"/>
            <family val="2"/>
          </rPr>
          <t>Mihir Patel:</t>
        </r>
        <r>
          <rPr>
            <sz val="9"/>
            <color indexed="81"/>
            <rFont val="Tahoma"/>
            <family val="2"/>
          </rPr>
          <t xml:space="preserve">
Setting it equal to the most recent amount </t>
        </r>
      </text>
    </comment>
    <comment ref="BG44" authorId="0" shapeId="0" xr:uid="{A8FCEE2C-116D-42B9-AA44-683ED040F518}">
      <text>
        <r>
          <rPr>
            <b/>
            <sz val="9"/>
            <color indexed="81"/>
            <rFont val="Tahoma"/>
            <family val="2"/>
          </rPr>
          <t>Mihir Patel:</t>
        </r>
        <r>
          <rPr>
            <sz val="9"/>
            <color indexed="81"/>
            <rFont val="Tahoma"/>
            <family val="2"/>
          </rPr>
          <t xml:space="preserve">
Setting it equal to the most recent amount </t>
        </r>
      </text>
    </comment>
    <comment ref="BH44" authorId="0" shapeId="0" xr:uid="{9434F24B-A927-4340-B799-D7BB625C590A}">
      <text>
        <r>
          <rPr>
            <b/>
            <sz val="9"/>
            <color indexed="81"/>
            <rFont val="Tahoma"/>
            <family val="2"/>
          </rPr>
          <t>Mihir Patel:</t>
        </r>
        <r>
          <rPr>
            <sz val="9"/>
            <color indexed="81"/>
            <rFont val="Tahoma"/>
            <family val="2"/>
          </rPr>
          <t xml:space="preserve">
Setting it equal to the most recent amount </t>
        </r>
      </text>
    </comment>
    <comment ref="BI44" authorId="0" shapeId="0" xr:uid="{9A5EAF3E-3A23-4B3F-9B37-C1756760C3A0}">
      <text>
        <r>
          <rPr>
            <b/>
            <sz val="9"/>
            <color indexed="81"/>
            <rFont val="Tahoma"/>
            <family val="2"/>
          </rPr>
          <t>Mihir Patel:</t>
        </r>
        <r>
          <rPr>
            <sz val="9"/>
            <color indexed="81"/>
            <rFont val="Tahoma"/>
            <family val="2"/>
          </rPr>
          <t xml:space="preserve">
Setting it equal to the most recent amount </t>
        </r>
      </text>
    </comment>
    <comment ref="BG45" authorId="0" shapeId="0" xr:uid="{93CE6BDB-0A9E-4389-9877-B190623B91ED}">
      <text>
        <r>
          <rPr>
            <b/>
            <sz val="9"/>
            <color indexed="81"/>
            <rFont val="Tahoma"/>
            <family val="2"/>
          </rPr>
          <t>Mihir Patel:</t>
        </r>
        <r>
          <rPr>
            <sz val="9"/>
            <color indexed="81"/>
            <rFont val="Tahoma"/>
            <family val="2"/>
          </rPr>
          <t xml:space="preserve">
Setting it equal to the most recent amount </t>
        </r>
      </text>
    </comment>
    <comment ref="BH45" authorId="0" shapeId="0" xr:uid="{97F57237-9525-4B9D-BC21-8CEC7ECDBADA}">
      <text>
        <r>
          <rPr>
            <b/>
            <sz val="9"/>
            <color indexed="81"/>
            <rFont val="Tahoma"/>
            <family val="2"/>
          </rPr>
          <t>Mihir Patel:</t>
        </r>
        <r>
          <rPr>
            <sz val="9"/>
            <color indexed="81"/>
            <rFont val="Tahoma"/>
            <family val="2"/>
          </rPr>
          <t xml:space="preserve">
Setting it equal to the most recent amount </t>
        </r>
      </text>
    </comment>
    <comment ref="BI45" authorId="0" shapeId="0" xr:uid="{9ED851EE-2217-4F15-AD62-55659BE1F568}">
      <text>
        <r>
          <rPr>
            <b/>
            <sz val="9"/>
            <color indexed="81"/>
            <rFont val="Tahoma"/>
            <family val="2"/>
          </rPr>
          <t>Mihir Patel:</t>
        </r>
        <r>
          <rPr>
            <sz val="9"/>
            <color indexed="81"/>
            <rFont val="Tahoma"/>
            <family val="2"/>
          </rPr>
          <t xml:space="preserve">
Setting it equal to the most recent amount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<sst xmlns="http://schemas.openxmlformats.org/spreadsheetml/2006/main" count="1029" uniqueCount="594">
  <si>
    <t>Date</t>
  </si>
  <si>
    <t>Close/Last</t>
  </si>
  <si>
    <t>Volume</t>
  </si>
  <si>
    <t>Open</t>
  </si>
  <si>
    <t>High</t>
  </si>
  <si>
    <t>Low</t>
  </si>
  <si>
    <t>https://www.nasdaq.com/market-activity/stocks/saia/historical?page=1&amp;rows_per_page=10&amp;timeline=y10</t>
  </si>
  <si>
    <t>Source:</t>
  </si>
  <si>
    <t>Q1
Mar-31-2017</t>
  </si>
  <si>
    <t>Q2
Jun-30-2017</t>
  </si>
  <si>
    <t>Q3
Sep-30-2017</t>
  </si>
  <si>
    <t>Restated
Q4
Dec-31-2017</t>
  </si>
  <si>
    <t>Q1
Mar-31-2018</t>
  </si>
  <si>
    <t>Q2
Jun-30-2018</t>
  </si>
  <si>
    <t>Q3
Sep-30-2018</t>
  </si>
  <si>
    <t>Q4
Dec-31-2018</t>
  </si>
  <si>
    <t>Q1
Mar-31-2019</t>
  </si>
  <si>
    <t>Q2
Jun-30-2019</t>
  </si>
  <si>
    <t>Q3
Sep-30-2019</t>
  </si>
  <si>
    <t>Q4
Dec-31-2019</t>
  </si>
  <si>
    <t>Q1
Mar-31-2020</t>
  </si>
  <si>
    <t>Q2
Jun-30-2020</t>
  </si>
  <si>
    <t>Q3
Sep-30-2020</t>
  </si>
  <si>
    <t>Q4
Dec-31-2020</t>
  </si>
  <si>
    <t>Q1
Mar-31-2021</t>
  </si>
  <si>
    <t>Q2
Jun-30-2021</t>
  </si>
  <si>
    <t>Q3
Sep-30-2021</t>
  </si>
  <si>
    <t>Q4
Dec-31-2021</t>
  </si>
  <si>
    <t>Q1
Mar-31-2022</t>
  </si>
  <si>
    <t>Q2
Jun-30-2022</t>
  </si>
  <si>
    <t>Q3
Sep-30-2022</t>
  </si>
  <si>
    <t>Q4
Dec-31-2022</t>
  </si>
  <si>
    <t>Q1
Mar-31-2023</t>
  </si>
  <si>
    <t>Q2
Jun-30-2023</t>
  </si>
  <si>
    <t>Q3
Sep-30-2023</t>
  </si>
  <si>
    <t>Q4
Dec-31-2023</t>
  </si>
  <si>
    <t>Q1
Mar-31-2024</t>
  </si>
  <si>
    <t>Q2
Jun-30-2024</t>
  </si>
  <si>
    <t>Q3
Sep-30-2024</t>
  </si>
  <si>
    <t>Shares Outstanding on Filing Date</t>
  </si>
  <si>
    <t>Shares Outstanding on Balance Sheet Date</t>
  </si>
  <si>
    <t xml:space="preserve">Shares Outstanding </t>
  </si>
  <si>
    <t>Dates</t>
  </si>
  <si>
    <t>Risk Free Rate (Treasury Constant Maturity - 10 Year)</t>
  </si>
  <si>
    <t>Risk Free Rate (Treasury Constant Maturity - 5 Year)</t>
  </si>
  <si>
    <t>Source: Fred</t>
  </si>
  <si>
    <t>https://fred.stlouisfed.org/series/DGS10</t>
  </si>
  <si>
    <t xml:space="preserve">This Worksheet Contains Raw Data for Stock Price, Shares Outstanding and Risk Free Rate. (I'll probably keep this hidden in the final draft) </t>
  </si>
  <si>
    <t>Source: My Python Code using SEC API |</t>
  </si>
  <si>
    <t>Hide</t>
  </si>
  <si>
    <t>SAIA, Inc.</t>
  </si>
  <si>
    <t>SAIA</t>
  </si>
  <si>
    <t>COMPANY NAME:</t>
  </si>
  <si>
    <t>TICKER</t>
  </si>
  <si>
    <t>FY ENDS IN:</t>
  </si>
  <si>
    <t>$ IN:</t>
  </si>
  <si>
    <t>$000,000</t>
  </si>
  <si>
    <t>SHARE VALUE:</t>
  </si>
  <si>
    <t>SHARE VALUE DATE:</t>
  </si>
  <si>
    <t>Return</t>
  </si>
  <si>
    <t>CREATED BY:</t>
  </si>
  <si>
    <t>Mihir Patel</t>
  </si>
  <si>
    <t>pate1392@umn.edu</t>
  </si>
  <si>
    <t>Email:</t>
  </si>
  <si>
    <t>Phone:</t>
  </si>
  <si>
    <t>IR WEBPAGE:</t>
  </si>
  <si>
    <t>SAIA IR Page Link</t>
  </si>
  <si>
    <t>Revenue</t>
  </si>
  <si>
    <t>% Change</t>
  </si>
  <si>
    <t>Salaries, Wages and employees’ benefits</t>
  </si>
  <si>
    <t>Purchased transportation</t>
  </si>
  <si>
    <t>Fuel, operating expenses and supplies</t>
  </si>
  <si>
    <t>Operating taxes and licenses</t>
  </si>
  <si>
    <t>Claims and insurance</t>
  </si>
  <si>
    <t xml:space="preserve">Depreciation and Amortization </t>
  </si>
  <si>
    <t>Capitalized Leases</t>
  </si>
  <si>
    <t>Other Operating Expenses</t>
  </si>
  <si>
    <t>Operating Income</t>
  </si>
  <si>
    <t>EBIT Margin %</t>
  </si>
  <si>
    <t xml:space="preserve">Operating Ratio % </t>
  </si>
  <si>
    <t>Interest Expense</t>
  </si>
  <si>
    <t>Interest Income</t>
  </si>
  <si>
    <t>Other, net (Income)</t>
  </si>
  <si>
    <t>Income Before Taxes</t>
  </si>
  <si>
    <t>Income Taxes</t>
  </si>
  <si>
    <t>Net Income</t>
  </si>
  <si>
    <t>Preferred Dividends</t>
  </si>
  <si>
    <t>Income to Non-Controlling Interest</t>
  </si>
  <si>
    <t>Net Income to Common</t>
  </si>
  <si>
    <t>Extraordinary Items (After-tax)</t>
  </si>
  <si>
    <t>Discontinued Operations (After-tax)</t>
  </si>
  <si>
    <t>All-In Net Income to Common</t>
  </si>
  <si>
    <t>EPS - Basic</t>
  </si>
  <si>
    <t>EPS - Diluted</t>
  </si>
  <si>
    <t>Marginal Tax Rate %</t>
  </si>
  <si>
    <t>Average Basic Shares</t>
  </si>
  <si>
    <t>EBT Margin %</t>
  </si>
  <si>
    <t>NOPAT</t>
  </si>
  <si>
    <t>Net Income Margin %</t>
  </si>
  <si>
    <t>Average Tax Rate</t>
  </si>
  <si>
    <t>EBIT Tax Rate</t>
  </si>
  <si>
    <t>Provision at Federal Statutory Rate</t>
  </si>
  <si>
    <t>State Income Tax</t>
  </si>
  <si>
    <t>Marginal Tax Rate</t>
  </si>
  <si>
    <t>As a Percentage of Sales</t>
  </si>
  <si>
    <t>Y/Y ∆ bps</t>
  </si>
  <si>
    <t>NA</t>
  </si>
  <si>
    <t>Average Diluted Shaers</t>
  </si>
  <si>
    <t>Assets:</t>
  </si>
  <si>
    <t>Marketable Securities</t>
  </si>
  <si>
    <t>Cash and cash equivalents</t>
  </si>
  <si>
    <t>Accounts receivable, net</t>
  </si>
  <si>
    <t>Prepaid expenses</t>
  </si>
  <si>
    <t>Income tax receivable</t>
  </si>
  <si>
    <t>Other current assets</t>
  </si>
  <si>
    <t>Total Current Assets</t>
  </si>
  <si>
    <t>Property and Equipment</t>
  </si>
  <si>
    <t>Less: Accumulated Depreciation</t>
  </si>
  <si>
    <t>Net Property and Equipment</t>
  </si>
  <si>
    <t>Operating Lease Right-of-Use Assets</t>
  </si>
  <si>
    <t>Goodwill and Identifiable Intangibles, net</t>
  </si>
  <si>
    <t>Other Noncurrent Assets</t>
  </si>
  <si>
    <t>Total Assets</t>
  </si>
  <si>
    <t>Liabilities:</t>
  </si>
  <si>
    <t>Short-Term Debt</t>
  </si>
  <si>
    <t>Current portion of long-term debt</t>
  </si>
  <si>
    <t>Current portion of operating lease liability</t>
  </si>
  <si>
    <t>Accounts payable</t>
  </si>
  <si>
    <t>Wages, vacation and employees’ benefits</t>
  </si>
  <si>
    <t>Claims and insurance accruals</t>
  </si>
  <si>
    <t>Other current liabilities</t>
  </si>
  <si>
    <t>Total Current Liabilities</t>
  </si>
  <si>
    <t>Long-term debt, less current portion</t>
  </si>
  <si>
    <t>Operating lease liability, less current portion</t>
  </si>
  <si>
    <t>Deferred income taxes</t>
  </si>
  <si>
    <t>Claims, insurance and other</t>
  </si>
  <si>
    <t>Total Long-Term Liabilities</t>
  </si>
  <si>
    <t>Stockholders’ Equity:</t>
  </si>
  <si>
    <t>Preferred Stock</t>
  </si>
  <si>
    <t>Non-Controlling Interest</t>
  </si>
  <si>
    <t>Common Stock</t>
  </si>
  <si>
    <t>Additional Paid-in-capital</t>
  </si>
  <si>
    <t>Treasury Stock</t>
  </si>
  <si>
    <t>Deferred Compensation Trust</t>
  </si>
  <si>
    <t>Retained Earnings</t>
  </si>
  <si>
    <t>Total Stockholders' Equity</t>
  </si>
  <si>
    <t>Total Liabilities and Stockholders' Equity</t>
  </si>
  <si>
    <t>Balance Check</t>
  </si>
  <si>
    <t>Shareholders Equity Statement</t>
  </si>
  <si>
    <t>Beginning Common Equity</t>
  </si>
  <si>
    <t>Income Directly to Retained Earnings</t>
  </si>
  <si>
    <t>Common Dividends</t>
  </si>
  <si>
    <t>Common Stock Issued</t>
  </si>
  <si>
    <t>Common Stock Repurchased</t>
  </si>
  <si>
    <t>Ending Common Equity</t>
  </si>
  <si>
    <t xml:space="preserve">Audit </t>
  </si>
  <si>
    <t>Beginning Common Shares</t>
  </si>
  <si>
    <t>Common Shares Repurchased</t>
  </si>
  <si>
    <t>Ending Common Shares</t>
  </si>
  <si>
    <t>Operating Efficiency</t>
  </si>
  <si>
    <t>Operating Working Capital</t>
  </si>
  <si>
    <t>Operating Working Capital / Sales (t+1)</t>
  </si>
  <si>
    <t>Working Capital (Including Cash)</t>
  </si>
  <si>
    <t>Working Capital / Sales (t+1)</t>
  </si>
  <si>
    <t>Current Ratio</t>
  </si>
  <si>
    <t>Quick Ratio</t>
  </si>
  <si>
    <t>Last Twelve Months (LTM) Metrics</t>
  </si>
  <si>
    <t>Cost of Goods Sold (Estimated)</t>
  </si>
  <si>
    <t>Average Receivables Period (Days)</t>
  </si>
  <si>
    <t>Average Payable Period (Days)</t>
  </si>
  <si>
    <t>Other Asset, Net:</t>
  </si>
  <si>
    <t>Change in Debt:</t>
  </si>
  <si>
    <t xml:space="preserve">Page up and down can be used to navigate b/w pages </t>
  </si>
  <si>
    <t>Issuance / (Repayment) Debt:</t>
  </si>
  <si>
    <t>Operating Working Capital:</t>
  </si>
  <si>
    <t>Operating Current Assets:</t>
  </si>
  <si>
    <t>Operating Current Liabilities:</t>
  </si>
  <si>
    <t>Net Operating Working Capital</t>
  </si>
  <si>
    <t>Net Fixed Assets:</t>
  </si>
  <si>
    <t>Other Assets Net:</t>
  </si>
  <si>
    <t>Other Assets Net</t>
  </si>
  <si>
    <t>Total Capital Invested</t>
  </si>
  <si>
    <t>ROIC</t>
  </si>
  <si>
    <t>NOPAT Margin</t>
  </si>
  <si>
    <t>CAPEX</t>
  </si>
  <si>
    <t xml:space="preserve">Growth Rates </t>
  </si>
  <si>
    <t>% of Revenue</t>
  </si>
  <si>
    <t>Capital Structure Values:</t>
  </si>
  <si>
    <t>Market Share Price</t>
  </si>
  <si>
    <t>Market Capitalization</t>
  </si>
  <si>
    <t>Debt Value</t>
  </si>
  <si>
    <t>Preferred Stock &amp; Non-Controlling Interest Value</t>
  </si>
  <si>
    <t>Marketable Securities &amp; Cash and cash equivalents Value</t>
  </si>
  <si>
    <t>Other Non-Operating Asset Value</t>
  </si>
  <si>
    <t>Enterprise Value (Based on Maket Value)</t>
  </si>
  <si>
    <t>DCF Shareholder Value</t>
  </si>
  <si>
    <t>Actual and Estimated Capital Structure:</t>
  </si>
  <si>
    <t>Debt Value to Enterprise Value (Based on Maket Value)</t>
  </si>
  <si>
    <t>Preferred Stock &amp; Non-Controlling Interest Value to Enterprise Value (Based on Maket Value)</t>
  </si>
  <si>
    <t>Mkt Securities Value  to Enterprise Value (Based on Maket Value)</t>
  </si>
  <si>
    <t>Other Non-Operating Asset Value to Enterprise Value (Based on Maket Value)</t>
  </si>
  <si>
    <t>DCF Shareholders Value to Enterprise Value (Based on Maket Value)</t>
  </si>
  <si>
    <t>Sum of Capital Structure Weights</t>
  </si>
  <si>
    <t>Cost of Capital:</t>
  </si>
  <si>
    <t>Cost of Debt (Pre-Tax)</t>
  </si>
  <si>
    <t>Cost of Preferred Stock</t>
  </si>
  <si>
    <t>Cost of Equity</t>
  </si>
  <si>
    <t>Market Beta (5-Year, Monthly)</t>
  </si>
  <si>
    <t>Risk Premium</t>
  </si>
  <si>
    <t>Rate on Mkt Securities (Pre-Tax)</t>
  </si>
  <si>
    <t>Rate on Non-Operating Assets (Pre-Tax)</t>
  </si>
  <si>
    <t>Enterprise WACC</t>
  </si>
  <si>
    <t>Market Beta</t>
  </si>
  <si>
    <t>Market Beta (5-Year, Weekly)</t>
  </si>
  <si>
    <t>Market Beta (5-Year, Daily)</t>
  </si>
  <si>
    <t>Weighted Average Cost of Debt</t>
  </si>
  <si>
    <t>Cost of Debt:</t>
  </si>
  <si>
    <t>Cost of Short-Term Debt</t>
  </si>
  <si>
    <t>TRUCKD11</t>
  </si>
  <si>
    <t>FRGSHPUSM649NCIS</t>
  </si>
  <si>
    <t>Cass Freight Index: Expenditures</t>
  </si>
  <si>
    <t>Cass Freight Index: Shipments</t>
  </si>
  <si>
    <t>FRGEXPUSM649NCIS</t>
  </si>
  <si>
    <t>INDPRO</t>
  </si>
  <si>
    <t>lin</t>
  </si>
  <si>
    <t>Index 2015=100, Seasonally Adjusted</t>
  </si>
  <si>
    <t>m</t>
  </si>
  <si>
    <t>Monthly</t>
  </si>
  <si>
    <t>2000-01-01 to 2024-10-01</t>
  </si>
  <si>
    <t>Truck Tonnage Index</t>
  </si>
  <si>
    <t>U.S. Bureau of Transportation Statistics</t>
  </si>
  <si>
    <t>date</t>
  </si>
  <si>
    <t>value</t>
  </si>
  <si>
    <t>Index Jan 1990=1, Not Seasonally Adjusted</t>
  </si>
  <si>
    <t>1990-01-01 to 2024-11-01</t>
  </si>
  <si>
    <t>Cass Information Systems, Inc.</t>
  </si>
  <si>
    <t>Index 2017=100, Seasonally Adjusted</t>
  </si>
  <si>
    <t>1919-01-01 to 2024-11-01</t>
  </si>
  <si>
    <t>Industrial Production: Total Index</t>
  </si>
  <si>
    <t>Board of Governors of the Federal Reserve System (US)</t>
  </si>
  <si>
    <t>Operating Revenue</t>
  </si>
  <si>
    <t>Reversed</t>
  </si>
  <si>
    <t>Base</t>
  </si>
  <si>
    <t>Bear</t>
  </si>
  <si>
    <t>% of Revenue from Other Services</t>
  </si>
  <si>
    <t>% of Revenue from LTL Services</t>
  </si>
  <si>
    <t>LTL Revenue Per Hundredweight</t>
  </si>
  <si>
    <t>Revenue Per Shipment</t>
  </si>
  <si>
    <t>LTL Revenue per hundredweight, excluding fuel surcharge</t>
  </si>
  <si>
    <t>Fuel Surcharge Revenue</t>
  </si>
  <si>
    <t>Operating Revenue Growth Rate (%)</t>
  </si>
  <si>
    <t>LTL Haul Length</t>
  </si>
  <si>
    <t>LTL Tonnage (In Millions)</t>
  </si>
  <si>
    <t>LTL Shipments (In Millions)</t>
  </si>
  <si>
    <t>Revenue from LTL Services</t>
  </si>
  <si>
    <t>Revenue from Other Services</t>
  </si>
  <si>
    <t>NM</t>
  </si>
  <si>
    <t>Growth %</t>
  </si>
  <si>
    <t>Growth %:</t>
  </si>
  <si>
    <t xml:space="preserve">LTL Revenue Per Hundredweight </t>
  </si>
  <si>
    <t>Average % of Total Tonnage (2017-2023)</t>
  </si>
  <si>
    <t>Average % of Total Shipments (2017-2023)</t>
  </si>
  <si>
    <t>Q1</t>
  </si>
  <si>
    <t>Q2</t>
  </si>
  <si>
    <t>Q3</t>
  </si>
  <si>
    <t>Q4</t>
  </si>
  <si>
    <t>Total</t>
  </si>
  <si>
    <t>2016-01-01</t>
  </si>
  <si>
    <t>2016-04-01</t>
  </si>
  <si>
    <t>2016-07-01</t>
  </si>
  <si>
    <t>2016-10-01</t>
  </si>
  <si>
    <t>2017-01-01</t>
  </si>
  <si>
    <t>2017-04-01</t>
  </si>
  <si>
    <t>2017-07-01</t>
  </si>
  <si>
    <t>2017-10-01</t>
  </si>
  <si>
    <t>2018-01-01</t>
  </si>
  <si>
    <t>2018-04-01</t>
  </si>
  <si>
    <t>2018-07-01</t>
  </si>
  <si>
    <t>2018-10-01</t>
  </si>
  <si>
    <t>2019-01-01</t>
  </si>
  <si>
    <t>2019-04-01</t>
  </si>
  <si>
    <t>2019-07-01</t>
  </si>
  <si>
    <t>2019-10-01</t>
  </si>
  <si>
    <t>2020-01-01</t>
  </si>
  <si>
    <t>2020-04-01</t>
  </si>
  <si>
    <t>2020-07-01</t>
  </si>
  <si>
    <t>2020-10-01</t>
  </si>
  <si>
    <t>2021-01-01</t>
  </si>
  <si>
    <t>2021-04-01</t>
  </si>
  <si>
    <t>2021-07-01</t>
  </si>
  <si>
    <t>2021-10-01</t>
  </si>
  <si>
    <t>2022-01-01</t>
  </si>
  <si>
    <t>2022-04-01</t>
  </si>
  <si>
    <t>2022-07-01</t>
  </si>
  <si>
    <t>2022-10-01</t>
  </si>
  <si>
    <t>2023-01-01</t>
  </si>
  <si>
    <t>2023-04-01</t>
  </si>
  <si>
    <t>2023-07-01</t>
  </si>
  <si>
    <t>2023-10-01</t>
  </si>
  <si>
    <t>2024-01-01</t>
  </si>
  <si>
    <t>2024-04-01</t>
  </si>
  <si>
    <t>2024-07-01</t>
  </si>
  <si>
    <t>observation_date</t>
  </si>
  <si>
    <t>PCU4869104869101_PCH</t>
  </si>
  <si>
    <t>Producer Price Index by Industry: Refined Petroleum Product Pipeline Transportation: Pipeline Transportation of Refined Petroleum Products</t>
  </si>
  <si>
    <t>2014-07-01</t>
  </si>
  <si>
    <t>2014-10-01</t>
  </si>
  <si>
    <t>2015-01-01</t>
  </si>
  <si>
    <t>2015-04-01</t>
  </si>
  <si>
    <t>2015-07-01</t>
  </si>
  <si>
    <t>2015-10-01</t>
  </si>
  <si>
    <t>Growth (Qx to Qx+1)</t>
  </si>
  <si>
    <t>PPI by Industry: Transportation Industries, Index Dec 2006=100, Monthly, Not Seasonally Adjusted</t>
  </si>
  <si>
    <t>Reversed: Growth (Inflation &amp; Rate)</t>
  </si>
  <si>
    <t>Base: Growth (Inflation &amp; Rate)</t>
  </si>
  <si>
    <t>Bull: Growth (Inflation &amp; Rate)</t>
  </si>
  <si>
    <t>Bear: Growth (Inflation &amp; Rate)</t>
  </si>
  <si>
    <t>Model Case:</t>
  </si>
  <si>
    <t>Shipments #</t>
  </si>
  <si>
    <t>Growth (Yx to Yx+1)</t>
  </si>
  <si>
    <t>Adjustments to Earnings for Diluted EPS</t>
  </si>
  <si>
    <t xml:space="preserve">Inputs in Shareholders Equity Highlighted </t>
  </si>
  <si>
    <t>Common Shares Issued</t>
  </si>
  <si>
    <t>Common Shares Issued: Conversions</t>
  </si>
  <si>
    <t>Common Shares Issued: Exercised Options etc.</t>
  </si>
  <si>
    <t>Common Shares Issued: Stock compensation</t>
  </si>
  <si>
    <t>Common Shares Issued: Other</t>
  </si>
  <si>
    <t>CAPEX:</t>
  </si>
  <si>
    <t>Accumulated Depreciation on Disposals</t>
  </si>
  <si>
    <t>Net Fixed Assets / Sales (%)</t>
  </si>
  <si>
    <t>Total PPE (Gross Amount or at Cost)</t>
  </si>
  <si>
    <t>Value of Disposal at Cost</t>
  </si>
  <si>
    <t>Accumulated Depreciation</t>
  </si>
  <si>
    <t>Depreciation Expense this Year</t>
  </si>
  <si>
    <t>Accumulated Depreciation on Disposal</t>
  </si>
  <si>
    <t xml:space="preserve">Implied Life of the Asset </t>
  </si>
  <si>
    <t>Disposal at Cost / CAPEX</t>
  </si>
  <si>
    <t>Asset Disposal (AT COST)</t>
  </si>
  <si>
    <t>Lease Expense:</t>
  </si>
  <si>
    <t>Right to Use Asset, Start</t>
  </si>
  <si>
    <t>Lease Expense</t>
  </si>
  <si>
    <t>Embedded Interest</t>
  </si>
  <si>
    <t>Right to Use Asset, END</t>
  </si>
  <si>
    <t>Liabilities: Operating Lease</t>
  </si>
  <si>
    <t>Assets: Right to USE</t>
  </si>
  <si>
    <t>Lease Principal, Start</t>
  </si>
  <si>
    <t xml:space="preserve">Interest </t>
  </si>
  <si>
    <t>Lease Payment</t>
  </si>
  <si>
    <t>Lease Principal, END</t>
  </si>
  <si>
    <t>Discount Rate</t>
  </si>
  <si>
    <t>Lease Payment:</t>
  </si>
  <si>
    <t>PV of Lease Liability</t>
  </si>
  <si>
    <t>Year 1</t>
  </si>
  <si>
    <t>Year 2</t>
  </si>
  <si>
    <t>Year 3</t>
  </si>
  <si>
    <t>Year 4</t>
  </si>
  <si>
    <t>Year 5</t>
  </si>
  <si>
    <t>Total Value</t>
  </si>
  <si>
    <t>Intrinsic Value</t>
  </si>
  <si>
    <t xml:space="preserve">EBIT </t>
  </si>
  <si>
    <t xml:space="preserve">NOPAT </t>
  </si>
  <si>
    <t>Change In Invested Capital</t>
  </si>
  <si>
    <t>Share Based Compensation</t>
  </si>
  <si>
    <t>Free Cash Flow (Unlevered)</t>
  </si>
  <si>
    <t>Enterprise Value</t>
  </si>
  <si>
    <t>Other Non-Equity Value</t>
  </si>
  <si>
    <t>Shareholders Value</t>
  </si>
  <si>
    <t>DCF Share Value</t>
  </si>
  <si>
    <t>EBIT Tax Rate %</t>
  </si>
  <si>
    <t xml:space="preserve">Value Drivers: </t>
  </si>
  <si>
    <t>As a % of Revenue</t>
  </si>
  <si>
    <t>OPEX As a % of Revenue &amp; Growth %</t>
  </si>
  <si>
    <t>2009-12-31</t>
  </si>
  <si>
    <t>2010-06-30</t>
  </si>
  <si>
    <t>2010-09-30</t>
  </si>
  <si>
    <t>2010-12-31</t>
  </si>
  <si>
    <t>2011-03-31</t>
  </si>
  <si>
    <t>2011-06-30</t>
  </si>
  <si>
    <t>2011-09-30</t>
  </si>
  <si>
    <t>2011-12-31</t>
  </si>
  <si>
    <t>2012-03-31</t>
  </si>
  <si>
    <t>2012-06-30</t>
  </si>
  <si>
    <t>2012-09-30</t>
  </si>
  <si>
    <t>2012-12-31</t>
  </si>
  <si>
    <t>2013-03-31</t>
  </si>
  <si>
    <t>2013-06-30</t>
  </si>
  <si>
    <t>2013-09-30</t>
  </si>
  <si>
    <t>2013-12-31</t>
  </si>
  <si>
    <t>2014-03-31</t>
  </si>
  <si>
    <t>2014-06-30</t>
  </si>
  <si>
    <t>2014-09-30</t>
  </si>
  <si>
    <t>2014-12-31</t>
  </si>
  <si>
    <t>2015-03-31</t>
  </si>
  <si>
    <t>2015-06-30</t>
  </si>
  <si>
    <t>2015-09-30</t>
  </si>
  <si>
    <t>2015-12-31</t>
  </si>
  <si>
    <t>2016-03-31</t>
  </si>
  <si>
    <t>2016-06-30</t>
  </si>
  <si>
    <t>2016-09-30</t>
  </si>
  <si>
    <t>2016-12-31</t>
  </si>
  <si>
    <t>2017-03-31</t>
  </si>
  <si>
    <t>2017-06-30</t>
  </si>
  <si>
    <t>2017-09-30</t>
  </si>
  <si>
    <t>2017-12-31</t>
  </si>
  <si>
    <t>2018-03-31</t>
  </si>
  <si>
    <t>2018-06-30</t>
  </si>
  <si>
    <t>2018-09-30</t>
  </si>
  <si>
    <t>2018-12-31</t>
  </si>
  <si>
    <t>2019-03-31</t>
  </si>
  <si>
    <t>2019-06-30</t>
  </si>
  <si>
    <t>2019-09-30</t>
  </si>
  <si>
    <t>2019-12-31</t>
  </si>
  <si>
    <t>2020-03-31</t>
  </si>
  <si>
    <t>2020-06-30</t>
  </si>
  <si>
    <t>2020-09-30</t>
  </si>
  <si>
    <t>2020-12-31</t>
  </si>
  <si>
    <t>2021-03-31</t>
  </si>
  <si>
    <t>2021-06-30</t>
  </si>
  <si>
    <t>2021-09-30</t>
  </si>
  <si>
    <t>2021-12-31</t>
  </si>
  <si>
    <t>2022-03-31</t>
  </si>
  <si>
    <t>2022-06-30</t>
  </si>
  <si>
    <t>2022-09-30</t>
  </si>
  <si>
    <t>2022-12-31</t>
  </si>
  <si>
    <t>2023-03-31</t>
  </si>
  <si>
    <t>2023-06-30</t>
  </si>
  <si>
    <t>2023-09-30</t>
  </si>
  <si>
    <t>2023-12-31</t>
  </si>
  <si>
    <t>2024-03-31</t>
  </si>
  <si>
    <t>2024-06-30</t>
  </si>
  <si>
    <t>2024-09-30</t>
  </si>
  <si>
    <t>Q/Y Ending</t>
  </si>
  <si>
    <t>Disposal Value (AT COST or GROSS AMOUNT)</t>
  </si>
  <si>
    <t>Accumulated Depreciation on Disposal / Value of Disposal at cost</t>
  </si>
  <si>
    <t>Analysis of CAPEX</t>
  </si>
  <si>
    <t>ERP (T12 m with sustainable payout)</t>
  </si>
  <si>
    <t>https://pages.stern.nyu.edu/~adamodar/</t>
  </si>
  <si>
    <t>4.05%</t>
  </si>
  <si>
    <t>end</t>
  </si>
  <si>
    <t>val</t>
  </si>
  <si>
    <t>accn</t>
  </si>
  <si>
    <t>fy</t>
  </si>
  <si>
    <t>fp</t>
  </si>
  <si>
    <t>form</t>
  </si>
  <si>
    <t>filed</t>
  </si>
  <si>
    <t>frame</t>
  </si>
  <si>
    <t>0001564590-19-014894</t>
  </si>
  <si>
    <t>10-Q</t>
  </si>
  <si>
    <t>2019-05-01</t>
  </si>
  <si>
    <t>CY2019Q1I</t>
  </si>
  <si>
    <t>0001564590-19-027501</t>
  </si>
  <si>
    <t>2019-07-31</t>
  </si>
  <si>
    <t>CY2019Q2I</t>
  </si>
  <si>
    <t>0001564590-19-038772</t>
  </si>
  <si>
    <t>2019-10-30</t>
  </si>
  <si>
    <t>CY2019Q3I</t>
  </si>
  <si>
    <t>0001564590-20-006382</t>
  </si>
  <si>
    <t>FY</t>
  </si>
  <si>
    <t>10-K</t>
  </si>
  <si>
    <t>2020-02-25</t>
  </si>
  <si>
    <t>0001564590-21-008077</t>
  </si>
  <si>
    <t>2021-02-24</t>
  </si>
  <si>
    <t>CY2019Q4I</t>
  </si>
  <si>
    <t>0001564590-22-006259</t>
  </si>
  <si>
    <t>2022-02-23</t>
  </si>
  <si>
    <t>CY2020Q4I</t>
  </si>
  <si>
    <t>0000950170-23-004094</t>
  </si>
  <si>
    <t>2023-02-23</t>
  </si>
  <si>
    <t>CY2021Q4I</t>
  </si>
  <si>
    <t>0000950170-24-019368</t>
  </si>
  <si>
    <t>2024-02-23</t>
  </si>
  <si>
    <t>CY2022Q4I</t>
  </si>
  <si>
    <t>CY2023Q4I</t>
  </si>
  <si>
    <t>Finance Lease</t>
  </si>
  <si>
    <t>Operating Lease</t>
  </si>
  <si>
    <t>Private Shelf Agreement - Notes</t>
  </si>
  <si>
    <t>Discount rate on Operating lease</t>
  </si>
  <si>
    <t>Finance LeaseLiability</t>
  </si>
  <si>
    <t>Debt Break down:</t>
  </si>
  <si>
    <t>Short Term Debt</t>
  </si>
  <si>
    <t>Long term Debt</t>
  </si>
  <si>
    <t>Cost of Long-term debt</t>
  </si>
  <si>
    <t>Cost of operating lease liability</t>
  </si>
  <si>
    <t>Total Debt</t>
  </si>
  <si>
    <t>Cost of Finance Lease</t>
  </si>
  <si>
    <t>Adjustments for Operating Lease</t>
  </si>
  <si>
    <t xml:space="preserve">Implied Interest Payments </t>
  </si>
  <si>
    <t>2017-02-01</t>
  </si>
  <si>
    <t>2017-03-01</t>
  </si>
  <si>
    <t>2017-05-01</t>
  </si>
  <si>
    <t>2017-06-01</t>
  </si>
  <si>
    <t>2017-08-01</t>
  </si>
  <si>
    <t>2017-09-01</t>
  </si>
  <si>
    <t>2017-11-01</t>
  </si>
  <si>
    <t>2017-12-01</t>
  </si>
  <si>
    <t>2018-02-01</t>
  </si>
  <si>
    <t>2018-03-01</t>
  </si>
  <si>
    <t>2018-05-01</t>
  </si>
  <si>
    <t>2018-06-01</t>
  </si>
  <si>
    <t>2018-08-01</t>
  </si>
  <si>
    <t>2018-09-01</t>
  </si>
  <si>
    <t>2018-11-01</t>
  </si>
  <si>
    <t>2018-12-01</t>
  </si>
  <si>
    <t>2019-02-01</t>
  </si>
  <si>
    <t>2019-03-01</t>
  </si>
  <si>
    <t>2019-06-01</t>
  </si>
  <si>
    <t>2019-08-01</t>
  </si>
  <si>
    <t>2019-09-01</t>
  </si>
  <si>
    <t>2019-11-01</t>
  </si>
  <si>
    <t>2019-12-01</t>
  </si>
  <si>
    <t>2020-02-01</t>
  </si>
  <si>
    <t>2020-03-01</t>
  </si>
  <si>
    <t>2020-05-01</t>
  </si>
  <si>
    <t>2020-06-01</t>
  </si>
  <si>
    <t>2020-08-01</t>
  </si>
  <si>
    <t>2020-09-01</t>
  </si>
  <si>
    <t>2020-11-01</t>
  </si>
  <si>
    <t>2020-12-01</t>
  </si>
  <si>
    <t>2021-02-01</t>
  </si>
  <si>
    <t>2021-03-01</t>
  </si>
  <si>
    <t>2021-05-01</t>
  </si>
  <si>
    <t>2021-06-01</t>
  </si>
  <si>
    <t>2021-08-01</t>
  </si>
  <si>
    <t>2021-09-01</t>
  </si>
  <si>
    <t>2021-11-01</t>
  </si>
  <si>
    <t>2021-12-01</t>
  </si>
  <si>
    <t>2022-02-01</t>
  </si>
  <si>
    <t>2022-03-01</t>
  </si>
  <si>
    <t>2022-05-01</t>
  </si>
  <si>
    <t>2022-06-01</t>
  </si>
  <si>
    <t>2022-08-01</t>
  </si>
  <si>
    <t>2022-09-01</t>
  </si>
  <si>
    <t>2022-11-01</t>
  </si>
  <si>
    <t>2022-12-01</t>
  </si>
  <si>
    <t>2023-02-01</t>
  </si>
  <si>
    <t>2023-03-01</t>
  </si>
  <si>
    <t>2023-05-01</t>
  </si>
  <si>
    <t>2023-06-01</t>
  </si>
  <si>
    <t>2023-08-01</t>
  </si>
  <si>
    <t>2023-09-01</t>
  </si>
  <si>
    <t>2023-11-01</t>
  </si>
  <si>
    <t>2023-12-01</t>
  </si>
  <si>
    <t>2024-02-01</t>
  </si>
  <si>
    <t>2024-03-01</t>
  </si>
  <si>
    <t>2024-05-01</t>
  </si>
  <si>
    <t>2024-06-01</t>
  </si>
  <si>
    <t>2024-08-01</t>
  </si>
  <si>
    <t>2024-09-01</t>
  </si>
  <si>
    <t>2024-10-01</t>
  </si>
  <si>
    <t>2024-11-01</t>
  </si>
  <si>
    <t>2024-12-01</t>
  </si>
  <si>
    <t>3-Month Treasury Bill Secondary Market Rate, Discount Basis, Percent, Monthly, Not Seasonally Adjusted</t>
  </si>
  <si>
    <t>FRED:</t>
  </si>
  <si>
    <t>Base Case</t>
  </si>
  <si>
    <t>Bear Case</t>
  </si>
  <si>
    <t>Bull Case</t>
  </si>
  <si>
    <t>EBIT Margin (Estimate)</t>
  </si>
  <si>
    <t>Tonnage (Estimate)</t>
  </si>
  <si>
    <t>Revenue (Estimate)</t>
  </si>
  <si>
    <t>Estimates (In Millions)</t>
  </si>
  <si>
    <t>New Additions</t>
  </si>
  <si>
    <t>IC Turns (EOY)</t>
  </si>
  <si>
    <t>Decay Period</t>
  </si>
  <si>
    <t>Side Calculations</t>
  </si>
  <si>
    <t>Target Weights</t>
  </si>
  <si>
    <t>Actual Weights</t>
  </si>
  <si>
    <t>Changes In Treasury Stock</t>
  </si>
  <si>
    <t>Not in use</t>
  </si>
  <si>
    <t xml:space="preserve">Revenue </t>
  </si>
  <si>
    <t xml:space="preserve">Start </t>
  </si>
  <si>
    <t>End</t>
  </si>
  <si>
    <t>EBIT Margin</t>
  </si>
  <si>
    <t>IC Turns End of  Year</t>
  </si>
  <si>
    <t>Reversed Model Target Weights</t>
  </si>
  <si>
    <t>Debt Issued (Retired)</t>
  </si>
  <si>
    <t>Number of Shares:</t>
  </si>
  <si>
    <t>Base Model Target Weights</t>
  </si>
  <si>
    <t>Bull Model Target Weights</t>
  </si>
  <si>
    <t>Bear Model Target Weights</t>
  </si>
  <si>
    <t>Bull</t>
  </si>
  <si>
    <t>Different weights for different Cases</t>
  </si>
  <si>
    <t>It would be better to change this assumptions starting in row 167</t>
  </si>
  <si>
    <t>Actual  Capital Structure</t>
  </si>
  <si>
    <t>Estimated Capital Structure</t>
  </si>
  <si>
    <t xml:space="preserve">Bull Case </t>
  </si>
  <si>
    <t>2020A</t>
  </si>
  <si>
    <t>2021A</t>
  </si>
  <si>
    <t>2022A</t>
  </si>
  <si>
    <t>2023A</t>
  </si>
  <si>
    <t>2024E</t>
  </si>
  <si>
    <t>2025E</t>
  </si>
  <si>
    <t>2026E</t>
  </si>
  <si>
    <t>2027E</t>
  </si>
  <si>
    <t>2028E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</si>
</sst>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5" formatCode="&quot;$&quot;#,##0_);\(&quot;$&quot;#,##0\)"/>
    <numFmt numFmtId="7" formatCode="&quot;$&quot;#,##0.00_);\(&quot;$&quot;#,##0.00\)"/>
    <numFmt numFmtId="8" formatCode="&quot;$&quot;#,##0.00_);[Red]\(&quot;$&quot;#,##0.00\)"/>
    <numFmt numFmtId="44" formatCode="_(&quot;$&quot;* #,##0.00_);_(&quot;$&quot;* \(#,##0.00\);_(&quot;$&quot;* &quot;-&quot;??_);_(@_)"/>
    <numFmt numFmtId="164" formatCode="[$-409]mmmm\ d\,\ yyyy;@"/>
    <numFmt numFmtId="165" formatCode="[$-409]mmm\-dd\-yyyy;@"/>
    <numFmt numFmtId="166" formatCode="yyyy"/>
    <numFmt numFmtId="167" formatCode="m/d;@"/>
    <numFmt numFmtId="168" formatCode="yyyy\ &quot;E&quot;"/>
    <numFmt numFmtId="169" formatCode="yyyy&quot;E&quot;"/>
    <numFmt numFmtId="170" formatCode="yyyy&quot;A&quot;"/>
    <numFmt numFmtId="171" formatCode="mmm\,dd"/>
    <numFmt numFmtId="172" formatCode="[&lt;=9999999]###\-####;\(###\)\ ###\-####"/>
    <numFmt numFmtId="173" formatCode="0.0%"/>
    <numFmt numFmtId="174" formatCode="0.00;[Red]0.00"/>
    <numFmt numFmtId="175" formatCode="0_);\(0\)"/>
    <numFmt numFmtId="176" formatCode="#,##0.0_);\(#,##0.0\)"/>
    <numFmt numFmtId="177" formatCode="&quot;$&quot;#,##0.0_);\(&quot;$&quot;#,##0.0\)"/>
    <numFmt numFmtId="178" formatCode="0.0"/>
    <numFmt numFmtId="179" formatCode="0.0_);\(0.0\)"/>
    <numFmt numFmtId="180" formatCode="0.00_);\(0.00\)"/>
    <numFmt numFmtId="181" formatCode="0.00000"/>
    <numFmt numFmtId="182" formatCode="0.000%"/>
    <numFmt numFmtId="183" formatCode="&quot;$&quot;#,##0"/>
    <numFmt numFmtId="184" formatCode="&quot;$&quot;#,##0.000_);\(&quot;$&quot;#,##0.000\)"/>
    <numFmt numFmtId="185" formatCode="yyyy\-mm\-dd;@"/>
    <numFmt numFmtId="186" formatCode="yyyy\-mm\-dd"/>
    <numFmt numFmtId="187" formatCode="mm/dd/yy;@"/>
    <numFmt numFmtId="188" formatCode="0.0000_);\(0.0000\)"/>
    <numFmt numFmtId="189" formatCode="&quot;$&quot;#,##0.0"/>
    <numFmt numFmtId="190" formatCode="&quot;$&quot;#,##0.0000_);\(&quot;$&quot;#,##0.0000\)"/>
    <numFmt numFmtId="191" formatCode="&quot;$&quot;#,##0.00"/>
  </numFmts>
  <fonts count="54"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i/>
      <sz val="10"/>
      <name val="Arial"/>
      <family val="2"/>
    </font>
    <font>
      <b/>
      <sz val="10"/>
      <name val="Arial"/>
      <family val="2"/>
    </font>
    <font>
      <sz val="14"/>
      <color theme="1"/>
      <name val="Calibri"/>
      <family val="2"/>
      <scheme val="minor"/>
    </font>
    <font>
      <sz val="11"/>
      <color theme="1"/>
      <name val="Aptos"/>
      <family val="2"/>
    </font>
    <font>
      <b/>
      <u/>
      <sz val="11"/>
      <color theme="0"/>
      <name val="Aptos"/>
      <family val="2"/>
    </font>
    <font>
      <sz val="11"/>
      <color theme="0"/>
      <name val="Aptos"/>
      <family val="2"/>
    </font>
    <font>
      <i/>
      <sz val="11"/>
      <color theme="0"/>
      <name val="Aptos"/>
      <family val="2"/>
    </font>
    <font>
      <b/>
      <sz val="14"/>
      <color theme="0"/>
      <name val="Aptos"/>
      <family val="2"/>
    </font>
    <font>
      <b/>
      <sz val="11"/>
      <color theme="0"/>
      <name val="Aptos"/>
      <family val="2"/>
    </font>
    <font>
      <sz val="10"/>
      <color theme="1"/>
      <name val="Aptos"/>
      <family val="2"/>
    </font>
    <font>
      <b/>
      <u/>
      <sz val="10"/>
      <color theme="0"/>
      <name val="Aptos"/>
      <family val="2"/>
    </font>
    <font>
      <b/>
      <sz val="14"/>
      <color theme="1"/>
      <name val="Aptos"/>
      <family val="2"/>
    </font>
    <font>
      <b/>
      <sz val="14"/>
      <color rgb="FF006411"/>
      <name val="Aptos"/>
      <family val="2"/>
    </font>
    <font>
      <b/>
      <sz val="10"/>
      <color theme="1"/>
      <name val="Aptos"/>
      <family val="2"/>
    </font>
    <font>
      <b/>
      <sz val="10"/>
      <color rgb="FF006411"/>
      <name val="Aptos"/>
      <family val="2"/>
    </font>
    <font>
      <b/>
      <u/>
      <sz val="10"/>
      <color rgb="FF006411"/>
      <name val="Calibri"/>
      <family val="2"/>
      <scheme val="minor"/>
    </font>
    <font>
      <b/>
      <u/>
      <sz val="14"/>
      <color rgb="FF006411"/>
      <name val="Calibri"/>
      <family val="2"/>
      <scheme val="minor"/>
    </font>
    <font>
      <b/>
      <u/>
      <sz val="13.5"/>
      <color rgb="FF006411"/>
      <name val="Calibri"/>
      <family val="2"/>
      <scheme val="minor"/>
    </font>
    <font>
      <b/>
      <i/>
      <sz val="10"/>
      <color theme="1"/>
      <name val="Aptos"/>
      <family val="2"/>
    </font>
    <font>
      <b/>
      <sz val="9"/>
      <color indexed="81"/>
      <name val="Tahoma"/>
      <family val="2"/>
    </font>
    <font>
      <sz val="9"/>
      <color indexed="81"/>
      <name val="Tahoma"/>
      <family val="2"/>
    </font>
    <font>
      <sz val="10"/>
      <color rgb="FF006411"/>
      <name val="Aptos"/>
      <family val="2"/>
    </font>
    <font>
      <sz val="11"/>
      <color rgb="FF3333FF"/>
      <name val="Aptos"/>
      <family val="2"/>
    </font>
    <font>
      <i/>
      <sz val="10"/>
      <color theme="1"/>
      <name val="Aptos"/>
      <family val="2"/>
    </font>
    <font>
      <i/>
      <sz val="10"/>
      <color rgb="FF006411"/>
      <name val="Aptos"/>
      <family val="2"/>
    </font>
    <font>
      <i/>
      <sz val="11"/>
      <color rgb="FF3333FF"/>
      <name val="Aptos"/>
      <family val="2"/>
    </font>
    <font>
      <b/>
      <u/>
      <sz val="10"/>
      <color theme="1"/>
      <name val="Aptos"/>
      <family val="2"/>
    </font>
    <font>
      <sz val="10"/>
      <color theme="0"/>
      <name val="Aptos"/>
      <family val="2"/>
    </font>
    <font>
      <b/>
      <sz val="10"/>
      <color theme="0"/>
      <name val="Aptos"/>
      <family val="2"/>
    </font>
    <font>
      <b/>
      <i/>
      <sz val="10"/>
      <color theme="0"/>
      <name val="Aptos"/>
      <family val="2"/>
    </font>
    <font>
      <b/>
      <i/>
      <sz val="8"/>
      <color theme="1"/>
      <name val="Aptos"/>
      <family val="2"/>
    </font>
    <font>
      <sz val="10"/>
      <color theme="1"/>
      <name val="Calibri"/>
      <family val="2"/>
      <scheme val="minor"/>
    </font>
    <font>
      <i/>
      <sz val="10"/>
      <color theme="0"/>
      <name val="Aptos"/>
      <family val="2"/>
    </font>
    <font>
      <sz val="10"/>
      <color rgb="FF7A0019"/>
      <name val="Aptos"/>
      <family val="2"/>
    </font>
    <font>
      <b/>
      <u/>
      <sz val="11"/>
      <color theme="1"/>
      <name val="Calibri"/>
      <family val="2"/>
      <scheme val="minor"/>
    </font>
    <font>
      <sz val="8"/>
      <name val="Calibri"/>
      <family val="2"/>
      <scheme val="minor"/>
    </font>
    <font>
      <sz val="14"/>
      <color theme="1"/>
      <name val="Aptos"/>
      <family val="2"/>
    </font>
    <font>
      <sz val="10"/>
      <name val="Verdana"/>
      <family val="2"/>
    </font>
    <font>
      <b/>
      <sz val="11"/>
      <name val="Calibri"/>
      <family val="2"/>
    </font>
    <font>
      <i/>
      <sz val="11"/>
      <color theme="1"/>
      <name val="Aptos"/>
      <family val="2"/>
    </font>
    <font>
      <sz val="11"/>
      <color rgb="FF7A0019"/>
      <name val="Aptos"/>
      <family val="2"/>
    </font>
    <font>
      <sz val="8"/>
      <color rgb="FFFF0000"/>
      <name val="Arial"/>
      <family val="2"/>
    </font>
    <font>
      <sz val="10"/>
      <color rgb="FF0000CC"/>
      <name val="Aptos"/>
      <family val="2"/>
    </font>
    <font>
      <i/>
      <sz val="10"/>
      <color rgb="FF0000CC"/>
      <name val="Aptos"/>
      <family val="2"/>
    </font>
    <font>
      <sz val="20"/>
      <color theme="1"/>
      <name val="Aptos"/>
      <family val="2"/>
    </font>
    <font>
      <i/>
      <sz val="20"/>
      <color theme="1"/>
      <name val="Aptos"/>
      <family val="2"/>
    </font>
    <font>
      <u/>
      <sz val="10"/>
      <color theme="1"/>
      <name val="Aptos"/>
      <family val="2"/>
    </font>
    <font>
      <u/>
      <sz val="10"/>
      <color theme="0"/>
      <name val="Aptos"/>
      <family val="2"/>
    </font>
    <font>
      <i/>
      <sz val="11"/>
      <color rgb="FF0000CC"/>
      <name val="Aptos"/>
      <family val="2"/>
    </font>
  </fonts>
  <fills count="18">
    <fill>
      <patternFill patternType="none"/>
    </fill>
    <fill>
      <patternFill patternType="gray125"/>
    </fill>
    <fill>
      <patternFill patternType="solid">
        <fgColor rgb="FF000066"/>
        <bgColor indexed="64"/>
      </patternFill>
    </fill>
    <fill>
      <patternFill patternType="solid">
        <fgColor rgb="FF7A0019"/>
        <bgColor indexed="64"/>
      </patternFill>
    </fill>
    <fill>
      <gradientFill>
        <stop position="0">
          <color rgb="FF000066"/>
        </stop>
        <stop position="1">
          <color rgb="FF7A0019"/>
        </stop>
      </gradientFill>
    </fill>
    <fill>
      <patternFill patternType="solid">
        <fgColor theme="0"/>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7A0019"/>
        <bgColor auto="1"/>
      </patternFill>
    </fill>
    <fill>
      <patternFill patternType="solid">
        <fgColor theme="2" tint="-9.9978637043366805E-2"/>
        <bgColor indexed="64"/>
      </patternFill>
    </fill>
    <fill>
      <patternFill patternType="solid">
        <fgColor theme="7" tint="0.599963377788628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0"/>
        <bgColor auto="1"/>
      </patternFill>
    </fill>
    <fill>
      <patternFill patternType="solid">
        <fgColor theme="5" tint="0.59996337778862885"/>
        <bgColor indexed="64"/>
      </patternFill>
    </fill>
    <fill>
      <gradientFill>
        <stop position="0">
          <color rgb="FF7A0019"/>
        </stop>
        <stop position="1">
          <color rgb="FF000066"/>
        </stop>
      </gradientFill>
    </fill>
    <fill>
      <patternFill patternType="solid">
        <fgColor rgb="FF92D05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dotted">
        <color auto="1"/>
      </right>
      <top style="thin">
        <color auto="1"/>
      </top>
      <bottom/>
      <diagonal/>
    </border>
    <border>
      <left style="dotted">
        <color auto="1"/>
      </left>
      <right style="dotted">
        <color auto="1"/>
      </right>
      <top style="thin">
        <color auto="1"/>
      </top>
      <bottom/>
      <diagonal/>
    </border>
    <border>
      <left style="dotted">
        <color auto="1"/>
      </left>
      <right style="thin">
        <color auto="1"/>
      </right>
      <top style="thin">
        <color auto="1"/>
      </top>
      <bottom/>
      <diagonal/>
    </border>
    <border>
      <left style="thin">
        <color auto="1"/>
      </left>
      <right style="dotted">
        <color auto="1"/>
      </right>
      <top/>
      <bottom/>
      <diagonal/>
    </border>
    <border>
      <left style="dotted">
        <color auto="1"/>
      </left>
      <right style="dotted">
        <color auto="1"/>
      </right>
      <top/>
      <bottom/>
      <diagonal/>
    </border>
    <border>
      <left style="dotted">
        <color auto="1"/>
      </left>
      <right style="thin">
        <color auto="1"/>
      </right>
      <top/>
      <bottom/>
      <diagonal/>
    </border>
    <border>
      <left style="thin">
        <color auto="1"/>
      </left>
      <right style="dotted">
        <color auto="1"/>
      </right>
      <top/>
      <bottom style="thin">
        <color auto="1"/>
      </bottom>
      <diagonal/>
    </border>
    <border>
      <left style="dotted">
        <color auto="1"/>
      </left>
      <right style="dotted">
        <color auto="1"/>
      </right>
      <top/>
      <bottom style="thin">
        <color auto="1"/>
      </bottom>
      <diagonal/>
    </border>
    <border>
      <left style="dotted">
        <color auto="1"/>
      </left>
      <right style="thin">
        <color auto="1"/>
      </right>
      <top/>
      <bottom style="thin">
        <color auto="1"/>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right/>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tted">
        <color auto="1"/>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0"/>
      </top>
      <bottom/>
      <diagonal/>
    </border>
    <border>
      <left/>
      <right style="thin">
        <color theme="0"/>
      </right>
      <top style="thin">
        <color theme="0"/>
      </top>
      <bottom/>
      <diagonal/>
    </border>
    <border>
      <left style="thin">
        <color theme="0"/>
      </left>
      <right style="thin">
        <color theme="0"/>
      </right>
      <top style="thin">
        <color theme="0"/>
      </top>
      <bottom/>
      <diagonal/>
    </border>
    <border>
      <left/>
      <right/>
      <top style="thin">
        <color indexed="64"/>
      </top>
      <bottom style="medium">
        <color indexed="64"/>
      </bottom>
      <diagonal/>
    </border>
    <border>
      <left style="thin">
        <color theme="0"/>
      </left>
      <right/>
      <top style="thin">
        <color theme="0"/>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indexed="64"/>
      </top>
      <bottom/>
      <diagonal/>
    </border>
    <border>
      <left style="thin">
        <color theme="0"/>
      </left>
      <right style="thin">
        <color theme="0"/>
      </right>
      <top style="thin">
        <color indexed="64"/>
      </top>
      <bottom/>
      <diagonal/>
    </border>
    <border>
      <left style="thin">
        <color theme="0"/>
      </left>
      <right style="thin">
        <color indexed="64"/>
      </right>
      <top style="thin">
        <color indexed="64"/>
      </top>
      <bottom/>
      <diagonal/>
    </border>
    <border>
      <left style="thin">
        <color indexed="64"/>
      </left>
      <right style="thin">
        <color theme="0"/>
      </right>
      <top style="thin">
        <color indexed="64"/>
      </top>
      <bottom/>
      <diagonal/>
    </border>
    <border>
      <left style="thin">
        <color theme="0"/>
      </left>
      <right/>
      <top style="thin">
        <color indexed="64"/>
      </top>
      <bottom style="thin">
        <color theme="0"/>
      </bottom>
      <diagonal/>
    </border>
    <border>
      <left/>
      <right/>
      <top style="thin">
        <color indexed="64"/>
      </top>
      <bottom style="thin">
        <color theme="0"/>
      </bottom>
      <diagonal/>
    </border>
    <border>
      <left/>
      <right style="thin">
        <color theme="0"/>
      </right>
      <top style="thin">
        <color indexed="64"/>
      </top>
      <bottom style="thin">
        <color theme="0"/>
      </bottom>
      <diagonal/>
    </border>
    <border>
      <left/>
      <right style="thin">
        <color indexed="64"/>
      </right>
      <top style="thin">
        <color indexed="64"/>
      </top>
      <bottom style="thin">
        <color theme="0"/>
      </bottom>
      <diagonal/>
    </border>
    <border>
      <left style="thin">
        <color indexed="64"/>
      </left>
      <right style="thin">
        <color theme="0"/>
      </right>
      <top style="thin">
        <color theme="0"/>
      </top>
      <bottom/>
      <diagonal/>
    </border>
    <border>
      <left style="thin">
        <color theme="0"/>
      </left>
      <right style="thin">
        <color indexed="64"/>
      </right>
      <top style="thin">
        <color theme="0"/>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dotted">
        <color indexed="64"/>
      </right>
      <top/>
      <bottom style="thin">
        <color indexed="64"/>
      </bottom>
      <diagonal/>
    </border>
    <border>
      <left/>
      <right style="dotted">
        <color indexed="64"/>
      </right>
      <top/>
      <bottom/>
      <diagonal/>
    </border>
    <border>
      <left/>
      <right style="dotted">
        <color indexed="64"/>
      </right>
      <top style="thin">
        <color indexed="64"/>
      </top>
      <bottom/>
      <diagonal/>
    </border>
    <border>
      <left/>
      <right style="dotted">
        <color indexed="64"/>
      </right>
      <top style="thin">
        <color indexed="64"/>
      </top>
      <bottom style="medium">
        <color indexed="64"/>
      </bottom>
      <diagonal/>
    </border>
    <border>
      <left/>
      <right style="dotted">
        <color indexed="64"/>
      </right>
      <top style="thin">
        <color indexed="64"/>
      </top>
      <bottom style="thin">
        <color indexed="64"/>
      </bottom>
      <diagonal/>
    </border>
    <border>
      <left style="thin">
        <color theme="0"/>
      </left>
      <right style="thin">
        <color indexed="64"/>
      </right>
      <top/>
      <bottom/>
      <diagonal/>
    </border>
    <border>
      <left/>
      <right/>
      <top style="thin">
        <color theme="0"/>
      </top>
      <bottom style="thin">
        <color indexed="64"/>
      </bottom>
      <diagonal/>
    </border>
    <border>
      <left style="thin">
        <color indexed="64"/>
      </left>
      <right/>
      <top/>
      <bottom style="thin">
        <color theme="1"/>
      </bottom>
      <diagonal/>
    </border>
    <border>
      <left/>
      <right/>
      <top/>
      <bottom style="thin">
        <color theme="1"/>
      </bottom>
      <diagonal/>
    </border>
    <border>
      <left/>
      <right style="thin">
        <color indexed="64"/>
      </right>
      <top/>
      <bottom style="thin">
        <color theme="1"/>
      </bottom>
      <diagonal/>
    </border>
    <border>
      <left style="thin">
        <color indexed="64"/>
      </left>
      <right/>
      <top style="thick">
        <color indexed="64"/>
      </top>
      <bottom/>
      <diagonal/>
    </border>
    <border>
      <left/>
      <right/>
      <top style="thick">
        <color indexed="64"/>
      </top>
      <bottom/>
      <diagonal/>
    </border>
    <border>
      <left/>
      <right style="thin">
        <color indexed="64"/>
      </right>
      <top style="thick">
        <color indexed="64"/>
      </top>
      <bottom/>
      <diagonal/>
    </border>
    <border>
      <left style="thin">
        <color indexed="64"/>
      </left>
      <right style="thin">
        <color indexed="64"/>
      </right>
      <top/>
      <bottom style="thick">
        <color indexed="64"/>
      </bottom>
      <diagonal/>
    </border>
    <border>
      <left style="thin">
        <color indexed="64"/>
      </left>
      <right/>
      <top style="thin">
        <color indexed="64"/>
      </top>
      <bottom style="thick">
        <color indexed="64"/>
      </bottom>
      <diagonal/>
    </border>
    <border>
      <left/>
      <right/>
      <top style="thin">
        <color indexed="64"/>
      </top>
      <bottom style="thick">
        <color indexed="64"/>
      </bottom>
      <diagonal/>
    </border>
    <border>
      <left/>
      <right/>
      <top/>
      <bottom style="thick">
        <color indexed="64"/>
      </bottom>
      <diagonal/>
    </border>
    <border>
      <left/>
      <right style="thin">
        <color indexed="64"/>
      </right>
      <top style="thin">
        <color indexed="64"/>
      </top>
      <bottom style="thick">
        <color indexed="64"/>
      </bottom>
      <diagonal/>
    </border>
    <border>
      <left/>
      <right style="hair">
        <color indexed="64"/>
      </right>
      <top style="thin">
        <color indexed="64"/>
      </top>
      <bottom style="thin">
        <color indexed="64"/>
      </bottom>
      <diagonal/>
    </border>
    <border>
      <left/>
      <right style="hair">
        <color indexed="64"/>
      </right>
      <top style="thin">
        <color indexed="64"/>
      </top>
      <bottom/>
      <diagonal/>
    </border>
    <border>
      <left/>
      <right style="hair">
        <color indexed="64"/>
      </right>
      <top/>
      <bottom/>
      <diagonal/>
    </border>
    <border>
      <left/>
      <right style="hair">
        <color indexed="64"/>
      </right>
      <top/>
      <bottom style="thin">
        <color indexed="64"/>
      </bottom>
      <diagonal/>
    </border>
    <border>
      <left/>
      <right style="hair">
        <color indexed="64"/>
      </right>
      <top style="thick">
        <color indexed="64"/>
      </top>
      <bottom/>
      <diagonal/>
    </border>
    <border>
      <left style="thin">
        <color theme="0"/>
      </left>
      <right style="thin">
        <color theme="0"/>
      </right>
      <top style="medium">
        <color auto="1"/>
      </top>
      <bottom/>
      <diagonal/>
    </border>
    <border>
      <left style="thin">
        <color theme="0"/>
      </left>
      <right style="medium">
        <color auto="1"/>
      </right>
      <top style="medium">
        <color auto="1"/>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dotted">
        <color theme="0"/>
      </top>
      <bottom style="dotted">
        <color theme="0"/>
      </bottom>
      <diagonal/>
    </border>
    <border>
      <left style="dotted">
        <color indexed="64"/>
      </left>
      <right/>
      <top style="thin">
        <color indexed="64"/>
      </top>
      <bottom style="thin">
        <color indexed="64"/>
      </bottom>
      <diagonal/>
    </border>
    <border>
      <left style="thin">
        <color theme="0"/>
      </left>
      <right/>
      <top style="dotted">
        <color theme="0"/>
      </top>
      <bottom style="dotted">
        <color theme="0"/>
      </bottom>
      <diagonal/>
    </border>
    <border>
      <left/>
      <right style="thin">
        <color theme="1"/>
      </right>
      <top style="dotted">
        <color theme="0"/>
      </top>
      <bottom style="dotted">
        <color theme="0"/>
      </bottom>
      <diagonal/>
    </border>
    <border>
      <left style="thin">
        <color theme="0"/>
      </left>
      <right style="thin">
        <color theme="1"/>
      </right>
      <top style="thin">
        <color indexed="64"/>
      </top>
      <bottom style="dotted">
        <color theme="0"/>
      </bottom>
      <diagonal/>
    </border>
    <border>
      <left style="thin">
        <color theme="1"/>
      </left>
      <right/>
      <top style="thin">
        <color theme="0"/>
      </top>
      <bottom/>
      <diagonal/>
    </border>
    <border>
      <left/>
      <right style="thin">
        <color theme="1"/>
      </right>
      <top style="thin">
        <color theme="0"/>
      </top>
      <bottom/>
      <diagonal/>
    </border>
    <border>
      <left style="thin">
        <color theme="1"/>
      </left>
      <right/>
      <top/>
      <bottom/>
      <diagonal/>
    </border>
    <border>
      <left/>
      <right style="thin">
        <color theme="1"/>
      </right>
      <top/>
      <bottom/>
      <diagonal/>
    </border>
    <border>
      <left style="thin">
        <color theme="1"/>
      </left>
      <right/>
      <top style="thin">
        <color indexed="64"/>
      </top>
      <bottom style="thin">
        <color indexed="64"/>
      </bottom>
      <diagonal/>
    </border>
    <border>
      <left/>
      <right style="thin">
        <color theme="1"/>
      </right>
      <top style="thin">
        <color indexed="64"/>
      </top>
      <bottom style="thin">
        <color indexed="64"/>
      </bottom>
      <diagonal/>
    </border>
    <border>
      <left style="thin">
        <color theme="1"/>
      </left>
      <right/>
      <top style="thin">
        <color indexed="64"/>
      </top>
      <bottom/>
      <diagonal/>
    </border>
    <border>
      <left/>
      <right style="thin">
        <color theme="1"/>
      </right>
      <top style="thin">
        <color indexed="64"/>
      </top>
      <bottom/>
      <diagonal/>
    </border>
    <border>
      <left style="thin">
        <color theme="1"/>
      </left>
      <right/>
      <top/>
      <bottom style="thin">
        <color theme="1"/>
      </bottom>
      <diagonal/>
    </border>
    <border>
      <left/>
      <right style="thin">
        <color theme="1"/>
      </right>
      <top/>
      <bottom style="thin">
        <color theme="1"/>
      </bottom>
      <diagonal/>
    </border>
    <border>
      <left style="thin">
        <color theme="1"/>
      </left>
      <right/>
      <top style="thin">
        <color theme="0"/>
      </top>
      <bottom style="thin">
        <color theme="0"/>
      </bottom>
      <diagonal/>
    </border>
    <border>
      <left/>
      <right style="thin">
        <color theme="1"/>
      </right>
      <top style="thin">
        <color theme="0"/>
      </top>
      <bottom style="thin">
        <color theme="0"/>
      </bottom>
      <diagonal/>
    </border>
    <border>
      <left style="thin">
        <color theme="1"/>
      </left>
      <right/>
      <top/>
      <bottom style="thin">
        <color indexed="64"/>
      </bottom>
      <diagonal/>
    </border>
    <border>
      <left/>
      <right style="thin">
        <color theme="1"/>
      </right>
      <top/>
      <bottom style="thin">
        <color indexed="64"/>
      </bottom>
      <diagonal/>
    </border>
    <border>
      <left style="thin">
        <color theme="1"/>
      </left>
      <right/>
      <top style="thin">
        <color indexed="64"/>
      </top>
      <bottom style="thin">
        <color theme="1"/>
      </bottom>
      <diagonal/>
    </border>
    <border>
      <left/>
      <right/>
      <top style="thin">
        <color indexed="64"/>
      </top>
      <bottom style="thin">
        <color theme="1"/>
      </bottom>
      <diagonal/>
    </border>
    <border>
      <left/>
      <right style="thin">
        <color theme="1"/>
      </right>
      <top style="thin">
        <color indexed="64"/>
      </top>
      <bottom style="thin">
        <color theme="1"/>
      </bottom>
      <diagonal/>
    </border>
    <border>
      <left style="thin">
        <color theme="1"/>
      </left>
      <right style="thin">
        <color theme="0"/>
      </right>
      <top style="thin">
        <color theme="1"/>
      </top>
      <bottom/>
      <diagonal/>
    </border>
    <border>
      <left style="thin">
        <color theme="0"/>
      </left>
      <right style="thin">
        <color theme="0"/>
      </right>
      <top style="thin">
        <color theme="1"/>
      </top>
      <bottom style="thin">
        <color theme="0"/>
      </bottom>
      <diagonal/>
    </border>
    <border>
      <left style="thin">
        <color theme="0"/>
      </left>
      <right style="thin">
        <color theme="1"/>
      </right>
      <top style="thin">
        <color theme="1"/>
      </top>
      <bottom style="thin">
        <color theme="0"/>
      </bottom>
      <diagonal/>
    </border>
    <border>
      <left style="thin">
        <color theme="1"/>
      </left>
      <right style="thin">
        <color theme="0"/>
      </right>
      <top style="thin">
        <color theme="0"/>
      </top>
      <bottom/>
      <diagonal/>
    </border>
    <border>
      <left style="thin">
        <color theme="0"/>
      </left>
      <right style="thin">
        <color theme="1"/>
      </right>
      <top style="thin">
        <color theme="0"/>
      </top>
      <bottom/>
      <diagonal/>
    </border>
    <border>
      <left style="dotted">
        <color theme="1"/>
      </left>
      <right/>
      <top/>
      <bottom/>
      <diagonal/>
    </border>
    <border>
      <left style="dotted">
        <color theme="1"/>
      </left>
      <right/>
      <top style="thin">
        <color indexed="64"/>
      </top>
      <bottom style="thin">
        <color indexed="64"/>
      </bottom>
      <diagonal/>
    </border>
    <border>
      <left style="dotted">
        <color theme="1"/>
      </left>
      <right style="thin">
        <color theme="0"/>
      </right>
      <top style="thin">
        <color theme="1"/>
      </top>
      <bottom/>
      <diagonal/>
    </border>
    <border>
      <left style="thin">
        <color theme="0"/>
      </left>
      <right style="thin">
        <color theme="0"/>
      </right>
      <top style="thin">
        <color theme="1"/>
      </top>
      <bottom/>
      <diagonal/>
    </border>
    <border>
      <left style="thin">
        <color theme="0"/>
      </left>
      <right style="thin">
        <color theme="1"/>
      </right>
      <top style="thin">
        <color theme="1"/>
      </top>
      <bottom/>
      <diagonal/>
    </border>
    <border>
      <left style="thin">
        <color indexed="64"/>
      </left>
      <right/>
      <top style="thin">
        <color theme="0"/>
      </top>
      <bottom/>
      <diagonal/>
    </border>
    <border>
      <left/>
      <right style="thin">
        <color indexed="64"/>
      </right>
      <top style="thin">
        <color theme="0"/>
      </top>
      <bottom/>
      <diagonal/>
    </border>
    <border>
      <left style="dotted">
        <color indexed="64"/>
      </left>
      <right/>
      <top style="thin">
        <color indexed="64"/>
      </top>
      <bottom/>
      <diagonal/>
    </border>
    <border>
      <left style="dotted">
        <color indexed="64"/>
      </left>
      <right/>
      <top/>
      <bottom style="thin">
        <color indexed="64"/>
      </bottom>
      <diagonal/>
    </border>
    <border>
      <left style="thin">
        <color theme="0"/>
      </left>
      <right style="thin">
        <color theme="0"/>
      </right>
      <top style="thin">
        <color indexed="64"/>
      </top>
      <bottom style="thin">
        <color theme="0"/>
      </bottom>
      <diagonal/>
    </border>
    <border>
      <left style="thin">
        <color theme="0"/>
      </left>
      <right style="thin">
        <color theme="1"/>
      </right>
      <top style="thin">
        <color indexed="64"/>
      </top>
      <bottom style="thin">
        <color theme="0"/>
      </bottom>
      <diagonal/>
    </border>
  </borders>
  <cellStyleXfs count="7">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4" fillId="0" borderId="0">
      <alignment vertical="center"/>
    </xf>
    <xf numFmtId="0" fontId="42" fillId="0" borderId="0"/>
    <xf numFmtId="9" fontId="42" fillId="0" borderId="0" applyFont="0" applyFill="0" applyBorder="0" applyAlignment="0" applyProtection="0"/>
    <xf numFmtId="44" fontId="1" fillId="0" borderId="0" applyFont="0" applyFill="0" applyBorder="0" applyAlignment="0" applyProtection="0"/>
  </cellStyleXfs>
  <cellXfs count="1467">
    <xf numFmtId="0" fontId="0" fillId="0" borderId="0" xfId="0"/>
    <xf numFmtId="164" fontId="0" fillId="0" borderId="0" xfId="0" applyNumberFormat="1"/>
    <xf numFmtId="0" fontId="3" fillId="0" borderId="0" xfId="2"/>
    <xf numFmtId="0" fontId="0" fillId="0" borderId="0" xfId="0" applyAlignment="1">
      <alignment horizontal="right"/>
    </xf>
    <xf numFmtId="0" fontId="2" fillId="0" borderId="0" xfId="0" applyFont="1" applyAlignment="1">
      <alignment horizontal="right"/>
    </xf>
    <xf numFmtId="10" fontId="2" fillId="0" borderId="0" xfId="1" applyNumberFormat="1" applyFont="1" applyAlignment="1">
      <alignment horizontal="center" vertical="center"/>
    </xf>
    <xf numFmtId="0" fontId="2" fillId="0" borderId="0" xfId="0" applyFont="1"/>
    <xf numFmtId="0" fontId="6" fillId="0" borderId="0" xfId="3" applyFont="1" applyAlignment="1">
      <alignment horizontal="right" vertical="center"/>
    </xf>
    <xf numFmtId="0" fontId="6" fillId="0" borderId="0" xfId="3" applyFont="1">
      <alignment vertical="center"/>
    </xf>
    <xf numFmtId="0" fontId="6" fillId="0" borderId="0" xfId="3" applyFont="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xf>
    <xf numFmtId="0" fontId="2" fillId="0" borderId="12" xfId="0" applyFont="1" applyBorder="1" applyAlignment="1">
      <alignment horizontal="center"/>
    </xf>
    <xf numFmtId="165" fontId="4" fillId="0" borderId="13" xfId="3" applyNumberFormat="1" applyBorder="1" applyAlignment="1">
      <alignment horizontal="center" vertical="center"/>
    </xf>
    <xf numFmtId="8" fontId="0" fillId="0" borderId="14" xfId="0" applyNumberFormat="1" applyBorder="1" applyAlignment="1">
      <alignment horizontal="center"/>
    </xf>
    <xf numFmtId="0" fontId="0" fillId="0" borderId="14" xfId="0" applyBorder="1" applyAlignment="1">
      <alignment horizontal="center"/>
    </xf>
    <xf numFmtId="8" fontId="0" fillId="0" borderId="15" xfId="0" applyNumberFormat="1" applyBorder="1" applyAlignment="1">
      <alignment horizontal="center"/>
    </xf>
    <xf numFmtId="165" fontId="4" fillId="0" borderId="16" xfId="3" applyNumberFormat="1" applyBorder="1" applyAlignment="1">
      <alignment horizontal="center" vertical="center"/>
    </xf>
    <xf numFmtId="8" fontId="0" fillId="0" borderId="17" xfId="0" applyNumberFormat="1" applyBorder="1" applyAlignment="1">
      <alignment horizontal="center"/>
    </xf>
    <xf numFmtId="0" fontId="0" fillId="0" borderId="17" xfId="0" applyBorder="1" applyAlignment="1">
      <alignment horizontal="center"/>
    </xf>
    <xf numFmtId="8" fontId="0" fillId="0" borderId="18" xfId="0" applyNumberFormat="1" applyBorder="1" applyAlignment="1">
      <alignment horizontal="center"/>
    </xf>
    <xf numFmtId="0" fontId="4" fillId="0" borderId="10" xfId="3" applyBorder="1" applyAlignment="1">
      <alignment horizontal="center" vertical="center"/>
    </xf>
    <xf numFmtId="0" fontId="4" fillId="0" borderId="11" xfId="3" applyBorder="1" applyAlignment="1">
      <alignment horizontal="center" vertical="center"/>
    </xf>
    <xf numFmtId="0" fontId="4" fillId="0" borderId="12" xfId="3" applyBorder="1" applyAlignment="1">
      <alignment horizontal="center" vertical="center"/>
    </xf>
    <xf numFmtId="0" fontId="4" fillId="0" borderId="13" xfId="3" applyBorder="1" applyAlignment="1">
      <alignment horizontal="center" vertical="center"/>
    </xf>
    <xf numFmtId="0" fontId="4" fillId="0" borderId="14" xfId="3" applyBorder="1" applyAlignment="1">
      <alignment horizontal="center" vertical="center"/>
    </xf>
    <xf numFmtId="0" fontId="4" fillId="0" borderId="15" xfId="3" applyBorder="1" applyAlignment="1">
      <alignment horizontal="center" vertical="center"/>
    </xf>
    <xf numFmtId="0" fontId="5" fillId="0" borderId="14" xfId="3" applyFont="1" applyBorder="1" applyAlignment="1">
      <alignment horizontal="center" vertical="center"/>
    </xf>
    <xf numFmtId="0" fontId="5" fillId="0" borderId="15" xfId="3" applyFont="1" applyBorder="1" applyAlignment="1">
      <alignment horizontal="center" vertical="center"/>
    </xf>
    <xf numFmtId="0" fontId="4" fillId="0" borderId="16" xfId="3" applyBorder="1" applyAlignment="1">
      <alignment horizontal="center" vertical="center"/>
    </xf>
    <xf numFmtId="0" fontId="4" fillId="0" borderId="17" xfId="3" applyBorder="1" applyAlignment="1">
      <alignment horizontal="center" vertical="center"/>
    </xf>
    <xf numFmtId="0" fontId="4" fillId="0" borderId="18" xfId="3" applyBorder="1" applyAlignment="1">
      <alignment horizontal="center" vertical="center"/>
    </xf>
    <xf numFmtId="0" fontId="2" fillId="0" borderId="10" xfId="0" applyFont="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165" fontId="0" fillId="0" borderId="13" xfId="0" applyNumberFormat="1" applyBorder="1" applyAlignment="1">
      <alignment vertical="center"/>
    </xf>
    <xf numFmtId="10" fontId="0" fillId="0" borderId="14" xfId="1" applyNumberFormat="1" applyFont="1" applyBorder="1" applyAlignment="1">
      <alignment horizontal="center" vertical="center"/>
    </xf>
    <xf numFmtId="10" fontId="0" fillId="0" borderId="15" xfId="1" applyNumberFormat="1" applyFont="1" applyBorder="1" applyAlignment="1">
      <alignment horizontal="center" vertical="center"/>
    </xf>
    <xf numFmtId="165" fontId="0" fillId="0" borderId="16" xfId="0" applyNumberFormat="1" applyBorder="1" applyAlignment="1">
      <alignment vertical="center"/>
    </xf>
    <xf numFmtId="10" fontId="0" fillId="0" borderId="17" xfId="1" applyNumberFormat="1" applyFont="1" applyBorder="1" applyAlignment="1">
      <alignment horizontal="center" vertical="center"/>
    </xf>
    <xf numFmtId="10" fontId="0" fillId="0" borderId="18" xfId="1" applyNumberFormat="1" applyFont="1" applyBorder="1" applyAlignment="1">
      <alignment horizontal="center" vertical="center"/>
    </xf>
    <xf numFmtId="0" fontId="8" fillId="0" borderId="0" xfId="0" applyFont="1"/>
    <xf numFmtId="0" fontId="10" fillId="0" borderId="0" xfId="0" applyFont="1"/>
    <xf numFmtId="166" fontId="9" fillId="0" borderId="0" xfId="0" applyNumberFormat="1" applyFont="1" applyAlignment="1">
      <alignment horizontal="center"/>
    </xf>
    <xf numFmtId="166" fontId="10" fillId="0" borderId="0" xfId="0" applyNumberFormat="1" applyFont="1" applyAlignment="1">
      <alignment horizontal="center"/>
    </xf>
    <xf numFmtId="166" fontId="10" fillId="0" borderId="0" xfId="0" applyNumberFormat="1" applyFont="1"/>
    <xf numFmtId="0" fontId="11" fillId="3" borderId="0" xfId="0" applyFont="1" applyFill="1"/>
    <xf numFmtId="0" fontId="12" fillId="3" borderId="0" xfId="0" applyFont="1" applyFill="1"/>
    <xf numFmtId="0" fontId="13" fillId="3" borderId="0" xfId="0" applyFont="1" applyFill="1"/>
    <xf numFmtId="166" fontId="13" fillId="3" borderId="0" xfId="0" applyNumberFormat="1" applyFont="1" applyFill="1"/>
    <xf numFmtId="0" fontId="14" fillId="0" borderId="0" xfId="0" applyFont="1"/>
    <xf numFmtId="170" fontId="15" fillId="2" borderId="19" xfId="0" applyNumberFormat="1" applyFont="1" applyFill="1" applyBorder="1" applyAlignment="1">
      <alignment horizontal="center"/>
    </xf>
    <xf numFmtId="170" fontId="15" fillId="2" borderId="20" xfId="0" applyNumberFormat="1" applyFont="1" applyFill="1" applyBorder="1" applyAlignment="1">
      <alignment horizontal="center"/>
    </xf>
    <xf numFmtId="169" fontId="15" fillId="4" borderId="20" xfId="0" applyNumberFormat="1" applyFont="1" applyFill="1" applyBorder="1" applyAlignment="1">
      <alignment horizontal="center"/>
    </xf>
    <xf numFmtId="169" fontId="15" fillId="3" borderId="20" xfId="0" applyNumberFormat="1" applyFont="1" applyFill="1" applyBorder="1" applyAlignment="1">
      <alignment horizontal="center"/>
    </xf>
    <xf numFmtId="169" fontId="15" fillId="3" borderId="21" xfId="0" applyNumberFormat="1" applyFont="1" applyFill="1" applyBorder="1" applyAlignment="1">
      <alignment horizontal="center"/>
    </xf>
    <xf numFmtId="167" fontId="15" fillId="2" borderId="19" xfId="0" applyNumberFormat="1" applyFont="1" applyFill="1" applyBorder="1" applyAlignment="1">
      <alignment horizontal="center"/>
    </xf>
    <xf numFmtId="167" fontId="15" fillId="2" borderId="20" xfId="0" applyNumberFormat="1" applyFont="1" applyFill="1" applyBorder="1" applyAlignment="1">
      <alignment horizontal="center"/>
    </xf>
    <xf numFmtId="167" fontId="15" fillId="3" borderId="20" xfId="0" applyNumberFormat="1" applyFont="1" applyFill="1" applyBorder="1" applyAlignment="1">
      <alignment horizontal="center"/>
    </xf>
    <xf numFmtId="167" fontId="15" fillId="3" borderId="21" xfId="0" applyNumberFormat="1" applyFont="1" applyFill="1" applyBorder="1" applyAlignment="1">
      <alignment horizontal="center"/>
    </xf>
    <xf numFmtId="5" fontId="14" fillId="0" borderId="0" xfId="0" applyNumberFormat="1" applyFont="1"/>
    <xf numFmtId="166" fontId="14" fillId="0" borderId="0" xfId="0" applyNumberFormat="1" applyFont="1"/>
    <xf numFmtId="0" fontId="8" fillId="0" borderId="22" xfId="0" applyFont="1" applyBorder="1"/>
    <xf numFmtId="0" fontId="13" fillId="3" borderId="22" xfId="0" applyFont="1" applyFill="1" applyBorder="1"/>
    <xf numFmtId="5" fontId="13" fillId="3" borderId="0" xfId="0" applyNumberFormat="1" applyFont="1" applyFill="1"/>
    <xf numFmtId="7" fontId="13" fillId="3" borderId="0" xfId="0" applyNumberFormat="1" applyFont="1" applyFill="1" applyAlignment="1">
      <alignment horizontal="left"/>
    </xf>
    <xf numFmtId="166" fontId="13" fillId="3" borderId="0" xfId="0" applyNumberFormat="1" applyFont="1" applyFill="1" applyAlignment="1">
      <alignment horizontal="right"/>
    </xf>
    <xf numFmtId="0" fontId="13" fillId="3" borderId="0" xfId="0" applyFont="1" applyFill="1" applyAlignment="1">
      <alignment horizontal="right"/>
    </xf>
    <xf numFmtId="0" fontId="16" fillId="0" borderId="0" xfId="0" applyFont="1"/>
    <xf numFmtId="10" fontId="0" fillId="0" borderId="0" xfId="1" applyNumberFormat="1" applyFont="1" applyAlignment="1">
      <alignment horizontal="center"/>
    </xf>
    <xf numFmtId="0" fontId="2" fillId="0" borderId="26" xfId="0" applyFont="1" applyBorder="1" applyAlignment="1">
      <alignment horizontal="center"/>
    </xf>
    <xf numFmtId="0" fontId="17" fillId="0" borderId="1" xfId="0" applyFont="1" applyBorder="1" applyAlignment="1">
      <alignment horizontal="left"/>
    </xf>
    <xf numFmtId="9" fontId="17" fillId="0" borderId="1" xfId="1" applyFont="1" applyBorder="1" applyAlignment="1">
      <alignment horizontal="left"/>
    </xf>
    <xf numFmtId="0" fontId="16" fillId="0" borderId="0" xfId="0" applyFont="1" applyAlignment="1">
      <alignment horizontal="right"/>
    </xf>
    <xf numFmtId="0" fontId="21" fillId="0" borderId="0" xfId="2" applyFont="1" applyBorder="1"/>
    <xf numFmtId="172" fontId="19" fillId="0" borderId="0" xfId="0" applyNumberFormat="1" applyFont="1"/>
    <xf numFmtId="0" fontId="0" fillId="0" borderId="27" xfId="0" applyBorder="1"/>
    <xf numFmtId="0" fontId="0" fillId="0" borderId="28" xfId="0" applyBorder="1"/>
    <xf numFmtId="0" fontId="0" fillId="0" borderId="29" xfId="0" applyBorder="1"/>
    <xf numFmtId="0" fontId="16" fillId="0" borderId="30" xfId="0" applyFont="1" applyBorder="1"/>
    <xf numFmtId="0" fontId="16" fillId="0" borderId="31" xfId="0" applyFont="1" applyBorder="1"/>
    <xf numFmtId="0" fontId="18" fillId="0" borderId="30" xfId="0" applyFont="1" applyBorder="1"/>
    <xf numFmtId="0" fontId="16" fillId="0" borderId="33" xfId="0" applyFont="1" applyBorder="1"/>
    <xf numFmtId="0" fontId="16" fillId="0" borderId="34" xfId="0" applyFont="1" applyBorder="1"/>
    <xf numFmtId="0" fontId="16" fillId="0" borderId="27" xfId="0" applyFont="1" applyBorder="1"/>
    <xf numFmtId="0" fontId="16" fillId="0" borderId="28" xfId="0" applyFont="1" applyBorder="1"/>
    <xf numFmtId="0" fontId="0" fillId="0" borderId="31" xfId="0" applyBorder="1"/>
    <xf numFmtId="0" fontId="16" fillId="0" borderId="32" xfId="0" applyFont="1" applyBorder="1"/>
    <xf numFmtId="0" fontId="0" fillId="0" borderId="33" xfId="0" applyBorder="1"/>
    <xf numFmtId="0" fontId="0" fillId="0" borderId="34" xfId="0" applyBorder="1"/>
    <xf numFmtId="0" fontId="20" fillId="0" borderId="0" xfId="2" applyFont="1" applyBorder="1"/>
    <xf numFmtId="0" fontId="0" fillId="0" borderId="30" xfId="0" applyBorder="1"/>
    <xf numFmtId="0" fontId="17" fillId="0" borderId="5" xfId="0" applyFont="1" applyBorder="1"/>
    <xf numFmtId="5" fontId="14" fillId="0" borderId="0" xfId="0" applyNumberFormat="1" applyFont="1" applyAlignment="1">
      <alignment horizontal="right"/>
    </xf>
    <xf numFmtId="0" fontId="13" fillId="5" borderId="0" xfId="0" applyFont="1" applyFill="1"/>
    <xf numFmtId="0" fontId="13" fillId="3" borderId="0" xfId="0" applyFont="1" applyFill="1" applyAlignment="1">
      <alignment horizontal="left"/>
    </xf>
    <xf numFmtId="167" fontId="15" fillId="2" borderId="36" xfId="0" applyNumberFormat="1" applyFont="1" applyFill="1" applyBorder="1" applyAlignment="1">
      <alignment horizontal="center"/>
    </xf>
    <xf numFmtId="170" fontId="15" fillId="2" borderId="36" xfId="0" applyNumberFormat="1" applyFont="1" applyFill="1" applyBorder="1" applyAlignment="1">
      <alignment horizontal="center"/>
    </xf>
    <xf numFmtId="170" fontId="15" fillId="2" borderId="37" xfId="0" applyNumberFormat="1" applyFont="1" applyFill="1" applyBorder="1" applyAlignment="1">
      <alignment horizontal="center"/>
    </xf>
    <xf numFmtId="5" fontId="18" fillId="0" borderId="0" xfId="0" applyNumberFormat="1" applyFont="1"/>
    <xf numFmtId="173" fontId="14" fillId="0" borderId="0" xfId="1" applyNumberFormat="1" applyFont="1" applyAlignment="1"/>
    <xf numFmtId="37" fontId="14" fillId="0" borderId="0" xfId="0" applyNumberFormat="1" applyFont="1"/>
    <xf numFmtId="173" fontId="14" fillId="0" borderId="0" xfId="1" applyNumberFormat="1" applyFont="1" applyAlignment="1">
      <alignment horizontal="right"/>
    </xf>
    <xf numFmtId="5" fontId="23" fillId="0" borderId="0" xfId="0" applyNumberFormat="1" applyFont="1"/>
    <xf numFmtId="173" fontId="23" fillId="0" borderId="0" xfId="1" applyNumberFormat="1" applyFont="1" applyAlignment="1"/>
    <xf numFmtId="173" fontId="28" fillId="0" borderId="0" xfId="1" applyNumberFormat="1" applyFont="1" applyAlignment="1">
      <alignment horizontal="right"/>
    </xf>
    <xf numFmtId="5" fontId="28" fillId="0" borderId="0" xfId="0" applyNumberFormat="1" applyFont="1" applyAlignment="1">
      <alignment horizontal="right"/>
    </xf>
    <xf numFmtId="5" fontId="14" fillId="0" borderId="3" xfId="0" applyNumberFormat="1" applyFont="1" applyBorder="1"/>
    <xf numFmtId="5" fontId="14" fillId="0" borderId="38" xfId="0" applyNumberFormat="1" applyFont="1" applyBorder="1"/>
    <xf numFmtId="5" fontId="18" fillId="0" borderId="38" xfId="0" applyNumberFormat="1" applyFont="1" applyBorder="1"/>
    <xf numFmtId="5" fontId="18" fillId="0" borderId="3" xfId="0" applyNumberFormat="1" applyFont="1" applyBorder="1"/>
    <xf numFmtId="37" fontId="14" fillId="0" borderId="0" xfId="0" applyNumberFormat="1" applyFont="1" applyAlignment="1">
      <alignment horizontal="left" indent="1"/>
    </xf>
    <xf numFmtId="37" fontId="14" fillId="5" borderId="0" xfId="0" applyNumberFormat="1" applyFont="1" applyFill="1"/>
    <xf numFmtId="37" fontId="14" fillId="5" borderId="0" xfId="0" applyNumberFormat="1" applyFont="1" applyFill="1" applyAlignment="1">
      <alignment horizontal="left" indent="1"/>
    </xf>
    <xf numFmtId="5" fontId="14" fillId="5" borderId="0" xfId="0" applyNumberFormat="1" applyFont="1" applyFill="1"/>
    <xf numFmtId="5" fontId="14" fillId="5" borderId="0" xfId="1" applyNumberFormat="1" applyFont="1" applyFill="1" applyBorder="1" applyAlignment="1">
      <alignment horizontal="right"/>
    </xf>
    <xf numFmtId="5" fontId="14" fillId="5" borderId="0" xfId="0" applyNumberFormat="1" applyFont="1" applyFill="1" applyAlignment="1">
      <alignment horizontal="right"/>
    </xf>
    <xf numFmtId="5" fontId="26" fillId="5" borderId="0" xfId="0" applyNumberFormat="1" applyFont="1" applyFill="1" applyAlignment="1">
      <alignment horizontal="right"/>
    </xf>
    <xf numFmtId="5" fontId="18" fillId="5" borderId="0" xfId="0" applyNumberFormat="1" applyFont="1" applyFill="1"/>
    <xf numFmtId="5" fontId="18" fillId="5" borderId="24" xfId="0" applyNumberFormat="1" applyFont="1" applyFill="1" applyBorder="1" applyAlignment="1">
      <alignment horizontal="right"/>
    </xf>
    <xf numFmtId="5" fontId="18" fillId="5" borderId="24" xfId="0" applyNumberFormat="1" applyFont="1" applyFill="1" applyBorder="1"/>
    <xf numFmtId="5" fontId="18" fillId="5" borderId="24" xfId="1" applyNumberFormat="1" applyFont="1" applyFill="1" applyBorder="1" applyAlignment="1">
      <alignment horizontal="right"/>
    </xf>
    <xf numFmtId="5" fontId="28" fillId="5" borderId="0" xfId="1" applyNumberFormat="1" applyFont="1" applyFill="1" applyBorder="1" applyAlignment="1">
      <alignment horizontal="right"/>
    </xf>
    <xf numFmtId="5" fontId="28" fillId="5" borderId="0" xfId="0" applyNumberFormat="1" applyFont="1" applyFill="1"/>
    <xf numFmtId="5" fontId="14" fillId="7" borderId="0" xfId="1" applyNumberFormat="1" applyFont="1" applyFill="1" applyBorder="1" applyAlignment="1">
      <alignment horizontal="right"/>
    </xf>
    <xf numFmtId="5" fontId="14" fillId="5" borderId="24" xfId="1" applyNumberFormat="1" applyFont="1" applyFill="1" applyBorder="1" applyAlignment="1">
      <alignment horizontal="right"/>
    </xf>
    <xf numFmtId="5" fontId="14" fillId="5" borderId="24" xfId="0" applyNumberFormat="1" applyFont="1" applyFill="1" applyBorder="1" applyAlignment="1">
      <alignment horizontal="right"/>
    </xf>
    <xf numFmtId="174" fontId="14" fillId="5" borderId="0" xfId="1" applyNumberFormat="1" applyFont="1" applyFill="1" applyBorder="1" applyAlignment="1">
      <alignment horizontal="right"/>
    </xf>
    <xf numFmtId="174" fontId="14" fillId="5" borderId="3" xfId="1" applyNumberFormat="1" applyFont="1" applyFill="1" applyBorder="1" applyAlignment="1">
      <alignment horizontal="right"/>
    </xf>
    <xf numFmtId="5" fontId="14" fillId="5" borderId="3" xfId="1" applyNumberFormat="1" applyFont="1" applyFill="1" applyBorder="1" applyAlignment="1">
      <alignment horizontal="right"/>
    </xf>
    <xf numFmtId="5" fontId="14" fillId="5" borderId="3" xfId="0" applyNumberFormat="1" applyFont="1" applyFill="1" applyBorder="1"/>
    <xf numFmtId="37" fontId="14" fillId="0" borderId="0" xfId="0" applyNumberFormat="1" applyFont="1" applyAlignment="1">
      <alignment horizontal="right"/>
    </xf>
    <xf numFmtId="175" fontId="14" fillId="0" borderId="0" xfId="0" applyNumberFormat="1" applyFont="1"/>
    <xf numFmtId="5" fontId="33" fillId="3" borderId="0" xfId="0" applyNumberFormat="1" applyFont="1" applyFill="1"/>
    <xf numFmtId="5" fontId="33" fillId="3" borderId="0" xfId="0" applyNumberFormat="1" applyFont="1" applyFill="1" applyAlignment="1">
      <alignment horizontal="right"/>
    </xf>
    <xf numFmtId="5" fontId="33" fillId="3" borderId="0" xfId="0" applyNumberFormat="1" applyFont="1" applyFill="1" applyAlignment="1">
      <alignment horizontal="left"/>
    </xf>
    <xf numFmtId="5" fontId="12" fillId="3" borderId="0" xfId="0" applyNumberFormat="1" applyFont="1" applyFill="1"/>
    <xf numFmtId="169" fontId="15" fillId="4" borderId="37" xfId="0" applyNumberFormat="1" applyFont="1" applyFill="1" applyBorder="1" applyAlignment="1">
      <alignment horizontal="center"/>
    </xf>
    <xf numFmtId="169" fontId="15" fillId="3" borderId="37" xfId="0" applyNumberFormat="1" applyFont="1" applyFill="1" applyBorder="1" applyAlignment="1">
      <alignment horizontal="center"/>
    </xf>
    <xf numFmtId="169" fontId="15" fillId="3" borderId="39" xfId="0" applyNumberFormat="1" applyFont="1" applyFill="1" applyBorder="1" applyAlignment="1">
      <alignment horizontal="center"/>
    </xf>
    <xf numFmtId="167" fontId="15" fillId="2" borderId="37" xfId="0" applyNumberFormat="1" applyFont="1" applyFill="1" applyBorder="1" applyAlignment="1">
      <alignment horizontal="center"/>
    </xf>
    <xf numFmtId="167" fontId="15" fillId="3" borderId="37" xfId="0" applyNumberFormat="1" applyFont="1" applyFill="1" applyBorder="1" applyAlignment="1">
      <alignment horizontal="center"/>
    </xf>
    <xf numFmtId="167" fontId="15" fillId="3" borderId="39" xfId="0" applyNumberFormat="1" applyFont="1" applyFill="1" applyBorder="1" applyAlignment="1">
      <alignment horizontal="center"/>
    </xf>
    <xf numFmtId="5" fontId="14" fillId="5" borderId="35" xfId="0" applyNumberFormat="1" applyFont="1" applyFill="1" applyBorder="1"/>
    <xf numFmtId="5" fontId="13" fillId="3" borderId="0" xfId="0" applyNumberFormat="1" applyFont="1" applyFill="1" applyAlignment="1">
      <alignment horizontal="left"/>
    </xf>
    <xf numFmtId="5" fontId="23" fillId="0" borderId="0" xfId="0" applyNumberFormat="1" applyFont="1" applyAlignment="1">
      <alignment horizontal="right"/>
    </xf>
    <xf numFmtId="173" fontId="23" fillId="0" borderId="0" xfId="1" applyNumberFormat="1" applyFont="1" applyAlignment="1">
      <alignment horizontal="right"/>
    </xf>
    <xf numFmtId="5" fontId="34" fillId="3" borderId="0" xfId="0" applyNumberFormat="1" applyFont="1" applyFill="1"/>
    <xf numFmtId="5" fontId="32" fillId="3" borderId="0" xfId="0" applyNumberFormat="1" applyFont="1" applyFill="1"/>
    <xf numFmtId="0" fontId="12" fillId="5" borderId="0" xfId="0" applyFont="1" applyFill="1"/>
    <xf numFmtId="0" fontId="36" fillId="0" borderId="0" xfId="0" applyFont="1"/>
    <xf numFmtId="5" fontId="37" fillId="3" borderId="0" xfId="0" applyNumberFormat="1" applyFont="1" applyFill="1"/>
    <xf numFmtId="5" fontId="38" fillId="3" borderId="0" xfId="0" applyNumberFormat="1" applyFont="1" applyFill="1"/>
    <xf numFmtId="5" fontId="38" fillId="3" borderId="22" xfId="0" applyNumberFormat="1" applyFont="1" applyFill="1" applyBorder="1"/>
    <xf numFmtId="167" fontId="33" fillId="3" borderId="0" xfId="0" applyNumberFormat="1" applyFont="1" applyFill="1" applyAlignment="1">
      <alignment horizontal="left"/>
    </xf>
    <xf numFmtId="5" fontId="14" fillId="2" borderId="42" xfId="0" applyNumberFormat="1" applyFont="1" applyFill="1" applyBorder="1"/>
    <xf numFmtId="5" fontId="14" fillId="0" borderId="8" xfId="0" applyNumberFormat="1" applyFont="1" applyBorder="1"/>
    <xf numFmtId="5" fontId="14" fillId="5" borderId="35" xfId="0" applyNumberFormat="1" applyFont="1" applyFill="1" applyBorder="1" applyAlignment="1">
      <alignment horizontal="right"/>
    </xf>
    <xf numFmtId="5" fontId="14" fillId="9" borderId="0" xfId="1" applyNumberFormat="1" applyFont="1" applyFill="1" applyBorder="1" applyAlignment="1">
      <alignment horizontal="right"/>
    </xf>
    <xf numFmtId="5" fontId="14" fillId="9" borderId="24" xfId="0" applyNumberFormat="1" applyFont="1" applyFill="1" applyBorder="1" applyAlignment="1">
      <alignment horizontal="right"/>
    </xf>
    <xf numFmtId="173" fontId="14" fillId="5" borderId="0" xfId="1" applyNumberFormat="1" applyFont="1" applyFill="1" applyBorder="1" applyAlignment="1">
      <alignment horizontal="right"/>
    </xf>
    <xf numFmtId="5" fontId="14" fillId="5" borderId="0" xfId="1" applyNumberFormat="1" applyFont="1" applyFill="1" applyBorder="1" applyAlignment="1"/>
    <xf numFmtId="176" fontId="14" fillId="5" borderId="0" xfId="1" applyNumberFormat="1" applyFont="1" applyFill="1" applyBorder="1" applyAlignment="1">
      <alignment horizontal="right"/>
    </xf>
    <xf numFmtId="0" fontId="14" fillId="2" borderId="0" xfId="0" applyFont="1" applyFill="1"/>
    <xf numFmtId="37" fontId="14" fillId="2" borderId="36" xfId="0" applyNumberFormat="1" applyFont="1" applyFill="1" applyBorder="1" applyAlignment="1">
      <alignment horizontal="left" indent="1"/>
    </xf>
    <xf numFmtId="173" fontId="14" fillId="5" borderId="0" xfId="1" applyNumberFormat="1" applyFont="1" applyFill="1" applyAlignment="1">
      <alignment horizontal="right"/>
    </xf>
    <xf numFmtId="178" fontId="14" fillId="5" borderId="0" xfId="1" applyNumberFormat="1" applyFont="1" applyFill="1" applyBorder="1" applyAlignment="1">
      <alignment horizontal="right"/>
    </xf>
    <xf numFmtId="0" fontId="0" fillId="0" borderId="32" xfId="0" applyBorder="1"/>
    <xf numFmtId="5" fontId="14" fillId="5" borderId="0" xfId="0" applyNumberFormat="1" applyFont="1" applyFill="1" applyAlignment="1">
      <alignment horizontal="left"/>
    </xf>
    <xf numFmtId="5" fontId="14" fillId="5" borderId="0" xfId="1" applyNumberFormat="1" applyFont="1" applyFill="1" applyBorder="1" applyAlignment="1">
      <alignment horizontal="left"/>
    </xf>
    <xf numFmtId="5" fontId="34" fillId="2" borderId="36" xfId="0" applyNumberFormat="1" applyFont="1" applyFill="1" applyBorder="1"/>
    <xf numFmtId="5" fontId="31" fillId="5" borderId="0" xfId="0" applyNumberFormat="1" applyFont="1" applyFill="1" applyAlignment="1">
      <alignment horizontal="left" indent="1"/>
    </xf>
    <xf numFmtId="5" fontId="14" fillId="5" borderId="0" xfId="0" applyNumberFormat="1" applyFont="1" applyFill="1" applyAlignment="1">
      <alignment horizontal="left" indent="1"/>
    </xf>
    <xf numFmtId="5" fontId="14" fillId="5" borderId="0" xfId="0" applyNumberFormat="1" applyFont="1" applyFill="1" applyAlignment="1">
      <alignment horizontal="left" indent="2"/>
    </xf>
    <xf numFmtId="5" fontId="18" fillId="10" borderId="38" xfId="0" applyNumberFormat="1" applyFont="1" applyFill="1" applyBorder="1"/>
    <xf numFmtId="39" fontId="14" fillId="5" borderId="0" xfId="0" applyNumberFormat="1" applyFont="1" applyFill="1"/>
    <xf numFmtId="2" fontId="14" fillId="5" borderId="0" xfId="0" applyNumberFormat="1" applyFont="1" applyFill="1"/>
    <xf numFmtId="2" fontId="14" fillId="5" borderId="0" xfId="0" applyNumberFormat="1" applyFont="1" applyFill="1" applyAlignment="1">
      <alignment horizontal="right"/>
    </xf>
    <xf numFmtId="173" fontId="14" fillId="5" borderId="0" xfId="1" applyNumberFormat="1" applyFont="1" applyFill="1" applyBorder="1"/>
    <xf numFmtId="173" fontId="18" fillId="5" borderId="0" xfId="1" applyNumberFormat="1" applyFont="1" applyFill="1" applyBorder="1"/>
    <xf numFmtId="173" fontId="18" fillId="5" borderId="0" xfId="1" applyNumberFormat="1" applyFont="1" applyFill="1" applyBorder="1" applyAlignment="1">
      <alignment horizontal="right"/>
    </xf>
    <xf numFmtId="5" fontId="18" fillId="5" borderId="3" xfId="0" applyNumberFormat="1" applyFont="1" applyFill="1" applyBorder="1"/>
    <xf numFmtId="5" fontId="18" fillId="5" borderId="3" xfId="1" applyNumberFormat="1" applyFont="1" applyFill="1" applyBorder="1" applyAlignment="1">
      <alignment horizontal="right"/>
    </xf>
    <xf numFmtId="180" fontId="14" fillId="5" borderId="0" xfId="0" applyNumberFormat="1" applyFont="1" applyFill="1" applyAlignment="1">
      <alignment horizontal="right"/>
    </xf>
    <xf numFmtId="180" fontId="14" fillId="5" borderId="0" xfId="1" applyNumberFormat="1" applyFont="1" applyFill="1" applyBorder="1" applyAlignment="1">
      <alignment horizontal="right"/>
    </xf>
    <xf numFmtId="5" fontId="14" fillId="11" borderId="0" xfId="1" applyNumberFormat="1" applyFont="1" applyFill="1" applyBorder="1" applyAlignment="1">
      <alignment horizontal="right"/>
    </xf>
    <xf numFmtId="0" fontId="14" fillId="5" borderId="0" xfId="0" applyFont="1" applyFill="1"/>
    <xf numFmtId="0" fontId="14" fillId="5" borderId="0" xfId="0" applyFont="1" applyFill="1" applyAlignment="1">
      <alignment horizontal="left" indent="1"/>
    </xf>
    <xf numFmtId="7" fontId="14" fillId="5" borderId="0" xfId="1" applyNumberFormat="1" applyFont="1" applyFill="1" applyBorder="1" applyAlignment="1"/>
    <xf numFmtId="180" fontId="14" fillId="5" borderId="0" xfId="0" applyNumberFormat="1" applyFont="1" applyFill="1"/>
    <xf numFmtId="10" fontId="14" fillId="5" borderId="0" xfId="1" applyNumberFormat="1" applyFont="1" applyFill="1" applyBorder="1" applyAlignment="1">
      <alignment horizontal="right"/>
    </xf>
    <xf numFmtId="10" fontId="14" fillId="5" borderId="0" xfId="1" applyNumberFormat="1" applyFont="1" applyFill="1" applyBorder="1"/>
    <xf numFmtId="0" fontId="13" fillId="3" borderId="2" xfId="0" applyFont="1" applyFill="1" applyBorder="1"/>
    <xf numFmtId="170" fontId="15" fillId="2" borderId="46" xfId="0" applyNumberFormat="1" applyFont="1" applyFill="1" applyBorder="1" applyAlignment="1">
      <alignment horizontal="center"/>
    </xf>
    <xf numFmtId="170" fontId="15" fillId="2" borderId="47" xfId="0" applyNumberFormat="1" applyFont="1" applyFill="1" applyBorder="1" applyAlignment="1">
      <alignment horizontal="center"/>
    </xf>
    <xf numFmtId="169" fontId="15" fillId="4" borderId="47" xfId="0" applyNumberFormat="1" applyFont="1" applyFill="1" applyBorder="1" applyAlignment="1">
      <alignment horizontal="center"/>
    </xf>
    <xf numFmtId="169" fontId="15" fillId="3" borderId="47" xfId="0" applyNumberFormat="1" applyFont="1" applyFill="1" applyBorder="1" applyAlignment="1">
      <alignment horizontal="center"/>
    </xf>
    <xf numFmtId="169" fontId="15" fillId="3" borderId="48" xfId="0" applyNumberFormat="1" applyFont="1" applyFill="1" applyBorder="1" applyAlignment="1">
      <alignment horizontal="center"/>
    </xf>
    <xf numFmtId="5" fontId="14" fillId="5" borderId="5" xfId="0" applyNumberFormat="1" applyFont="1" applyFill="1" applyBorder="1" applyAlignment="1">
      <alignment horizontal="left" indent="1"/>
    </xf>
    <xf numFmtId="173" fontId="14" fillId="5" borderId="6" xfId="1" applyNumberFormat="1" applyFont="1" applyFill="1" applyBorder="1" applyAlignment="1">
      <alignment horizontal="right"/>
    </xf>
    <xf numFmtId="5" fontId="14" fillId="5" borderId="6" xfId="0" applyNumberFormat="1" applyFont="1" applyFill="1" applyBorder="1"/>
    <xf numFmtId="5" fontId="14" fillId="5" borderId="7" xfId="0" applyNumberFormat="1" applyFont="1" applyFill="1" applyBorder="1" applyAlignment="1">
      <alignment horizontal="left" indent="1"/>
    </xf>
    <xf numFmtId="2" fontId="14" fillId="5" borderId="8" xfId="0" applyNumberFormat="1" applyFont="1" applyFill="1" applyBorder="1"/>
    <xf numFmtId="5" fontId="14" fillId="5" borderId="8" xfId="0" applyNumberFormat="1" applyFont="1" applyFill="1" applyBorder="1"/>
    <xf numFmtId="5" fontId="14" fillId="5" borderId="9" xfId="0" applyNumberFormat="1" applyFont="1" applyFill="1" applyBorder="1"/>
    <xf numFmtId="0" fontId="14" fillId="5" borderId="5" xfId="0" applyFont="1" applyFill="1" applyBorder="1"/>
    <xf numFmtId="0" fontId="14" fillId="5" borderId="5" xfId="0" applyFont="1" applyFill="1" applyBorder="1" applyAlignment="1">
      <alignment horizontal="left"/>
    </xf>
    <xf numFmtId="37" fontId="14" fillId="5" borderId="5" xfId="0" applyNumberFormat="1" applyFont="1" applyFill="1" applyBorder="1" applyAlignment="1">
      <alignment horizontal="left"/>
    </xf>
    <xf numFmtId="37" fontId="14" fillId="5" borderId="5" xfId="0" applyNumberFormat="1" applyFont="1" applyFill="1" applyBorder="1" applyAlignment="1">
      <alignment horizontal="left" indent="1"/>
    </xf>
    <xf numFmtId="10" fontId="14" fillId="5" borderId="6" xfId="1" applyNumberFormat="1" applyFont="1" applyFill="1" applyBorder="1"/>
    <xf numFmtId="5" fontId="14" fillId="5" borderId="5" xfId="0" applyNumberFormat="1" applyFont="1" applyFill="1" applyBorder="1"/>
    <xf numFmtId="10" fontId="14" fillId="5" borderId="6" xfId="1" applyNumberFormat="1" applyFont="1" applyFill="1" applyBorder="1" applyAlignment="1">
      <alignment horizontal="right"/>
    </xf>
    <xf numFmtId="37" fontId="28" fillId="5" borderId="7" xfId="0" applyNumberFormat="1" applyFont="1" applyFill="1" applyBorder="1" applyAlignment="1">
      <alignment horizontal="left"/>
    </xf>
    <xf numFmtId="10" fontId="28" fillId="5" borderId="8" xfId="0" applyNumberFormat="1" applyFont="1" applyFill="1" applyBorder="1"/>
    <xf numFmtId="5" fontId="28" fillId="5" borderId="8" xfId="0" applyNumberFormat="1" applyFont="1" applyFill="1" applyBorder="1"/>
    <xf numFmtId="5" fontId="28" fillId="5" borderId="9" xfId="0" applyNumberFormat="1" applyFont="1" applyFill="1" applyBorder="1"/>
    <xf numFmtId="0" fontId="31" fillId="5" borderId="2" xfId="0" applyFont="1" applyFill="1" applyBorder="1"/>
    <xf numFmtId="5" fontId="14" fillId="5" borderId="4" xfId="0" applyNumberFormat="1" applyFont="1" applyFill="1" applyBorder="1"/>
    <xf numFmtId="5" fontId="14" fillId="5" borderId="6" xfId="1" applyNumberFormat="1" applyFont="1" applyFill="1" applyBorder="1" applyAlignment="1"/>
    <xf numFmtId="180" fontId="14" fillId="5" borderId="6" xfId="0" applyNumberFormat="1" applyFont="1" applyFill="1" applyBorder="1"/>
    <xf numFmtId="37" fontId="18" fillId="5" borderId="5" xfId="0" applyNumberFormat="1" applyFont="1" applyFill="1" applyBorder="1" applyAlignment="1">
      <alignment horizontal="left"/>
    </xf>
    <xf numFmtId="37" fontId="31" fillId="5" borderId="5" xfId="0" applyNumberFormat="1" applyFont="1" applyFill="1" applyBorder="1" applyAlignment="1">
      <alignment horizontal="left"/>
    </xf>
    <xf numFmtId="37" fontId="31" fillId="5" borderId="7" xfId="0" applyNumberFormat="1" applyFont="1" applyFill="1" applyBorder="1" applyAlignment="1">
      <alignment horizontal="left"/>
    </xf>
    <xf numFmtId="5" fontId="18" fillId="6" borderId="23" xfId="0" applyNumberFormat="1" applyFont="1" applyFill="1" applyBorder="1"/>
    <xf numFmtId="0" fontId="0" fillId="0" borderId="0" xfId="0" applyAlignment="1">
      <alignment horizontal="center"/>
    </xf>
    <xf numFmtId="14" fontId="0" fillId="0" borderId="0" xfId="0" applyNumberFormat="1"/>
    <xf numFmtId="14" fontId="0" fillId="0" borderId="0" xfId="0" applyNumberFormat="1" applyAlignment="1">
      <alignment horizontal="right"/>
    </xf>
    <xf numFmtId="37" fontId="28" fillId="0" borderId="0" xfId="1" applyNumberFormat="1" applyFont="1" applyFill="1" applyBorder="1" applyAlignment="1"/>
    <xf numFmtId="37" fontId="14" fillId="0" borderId="0" xfId="1" applyNumberFormat="1" applyFont="1" applyFill="1" applyBorder="1" applyAlignment="1"/>
    <xf numFmtId="37" fontId="18" fillId="0" borderId="0" xfId="0" applyNumberFormat="1" applyFont="1"/>
    <xf numFmtId="37" fontId="28" fillId="0" borderId="0" xfId="1" applyNumberFormat="1" applyFont="1" applyFill="1" applyBorder="1" applyAlignment="1">
      <alignment horizontal="right"/>
    </xf>
    <xf numFmtId="37" fontId="23" fillId="0" borderId="0" xfId="0" applyNumberFormat="1" applyFont="1" applyAlignment="1">
      <alignment horizontal="right"/>
    </xf>
    <xf numFmtId="37" fontId="23" fillId="0" borderId="0" xfId="0" applyNumberFormat="1" applyFont="1"/>
    <xf numFmtId="37" fontId="23" fillId="0" borderId="0" xfId="1" applyNumberFormat="1" applyFont="1" applyFill="1" applyBorder="1" applyAlignment="1"/>
    <xf numFmtId="37" fontId="14" fillId="0" borderId="0" xfId="1" applyNumberFormat="1" applyFont="1" applyFill="1" applyBorder="1" applyAlignment="1">
      <alignment horizontal="right"/>
    </xf>
    <xf numFmtId="37" fontId="30" fillId="0" borderId="0" xfId="0" applyNumberFormat="1" applyFont="1" applyAlignment="1">
      <alignment horizontal="right"/>
    </xf>
    <xf numFmtId="5" fontId="14" fillId="2" borderId="36" xfId="0" applyNumberFormat="1" applyFont="1" applyFill="1" applyBorder="1"/>
    <xf numFmtId="37" fontId="28" fillId="0" borderId="0" xfId="0" applyNumberFormat="1" applyFont="1" applyAlignment="1">
      <alignment horizontal="left" indent="2"/>
    </xf>
    <xf numFmtId="37" fontId="18" fillId="6" borderId="0" xfId="0" applyNumberFormat="1" applyFont="1" applyFill="1"/>
    <xf numFmtId="37" fontId="18" fillId="6" borderId="0" xfId="1" applyNumberFormat="1" applyFont="1" applyFill="1" applyBorder="1"/>
    <xf numFmtId="37" fontId="18" fillId="0" borderId="2" xfId="0" applyNumberFormat="1" applyFont="1" applyBorder="1"/>
    <xf numFmtId="5" fontId="18" fillId="6" borderId="0" xfId="1" applyNumberFormat="1" applyFont="1" applyFill="1" applyBorder="1" applyAlignment="1"/>
    <xf numFmtId="7" fontId="18" fillId="6" borderId="0" xfId="1" applyNumberFormat="1" applyFont="1" applyFill="1" applyBorder="1" applyAlignment="1"/>
    <xf numFmtId="37" fontId="18" fillId="0" borderId="5" xfId="0" applyNumberFormat="1" applyFont="1" applyBorder="1"/>
    <xf numFmtId="37" fontId="28" fillId="0" borderId="5" xfId="0" applyNumberFormat="1" applyFont="1" applyBorder="1" applyAlignment="1">
      <alignment horizontal="left" indent="1"/>
    </xf>
    <xf numFmtId="37" fontId="28" fillId="0" borderId="7" xfId="0" applyNumberFormat="1" applyFont="1" applyBorder="1" applyAlignment="1">
      <alignment horizontal="left" indent="1"/>
    </xf>
    <xf numFmtId="180" fontId="18" fillId="6" borderId="0" xfId="1" applyNumberFormat="1" applyFont="1" applyFill="1" applyBorder="1" applyAlignment="1"/>
    <xf numFmtId="180" fontId="14" fillId="0" borderId="0" xfId="0" applyNumberFormat="1" applyFont="1"/>
    <xf numFmtId="7" fontId="14" fillId="0" borderId="0" xfId="0" applyNumberFormat="1" applyFont="1"/>
    <xf numFmtId="175" fontId="18" fillId="6" borderId="0" xfId="1" applyNumberFormat="1" applyFont="1" applyFill="1" applyBorder="1" applyAlignment="1"/>
    <xf numFmtId="7" fontId="18" fillId="6" borderId="0" xfId="1" applyNumberFormat="1" applyFont="1" applyFill="1" applyBorder="1" applyAlignment="1">
      <alignment horizontal="right"/>
    </xf>
    <xf numFmtId="173" fontId="28" fillId="0" borderId="0" xfId="1" applyNumberFormat="1" applyFont="1" applyFill="1" applyBorder="1"/>
    <xf numFmtId="173" fontId="28" fillId="0" borderId="8" xfId="1" applyNumberFormat="1" applyFont="1" applyFill="1" applyBorder="1"/>
    <xf numFmtId="5" fontId="18" fillId="0" borderId="4" xfId="0" applyNumberFormat="1" applyFont="1" applyBorder="1"/>
    <xf numFmtId="173" fontId="28" fillId="0" borderId="6" xfId="1" applyNumberFormat="1" applyFont="1" applyFill="1" applyBorder="1"/>
    <xf numFmtId="5" fontId="18" fillId="0" borderId="6" xfId="0" applyNumberFormat="1" applyFont="1" applyBorder="1"/>
    <xf numFmtId="173" fontId="28" fillId="0" borderId="9" xfId="1" applyNumberFormat="1" applyFont="1" applyFill="1" applyBorder="1"/>
    <xf numFmtId="175" fontId="18" fillId="6" borderId="0" xfId="1" applyNumberFormat="1" applyFont="1" applyFill="1" applyBorder="1" applyAlignment="1">
      <alignment horizontal="right"/>
    </xf>
    <xf numFmtId="180" fontId="18" fillId="6" borderId="0" xfId="1" applyNumberFormat="1" applyFont="1" applyFill="1" applyBorder="1" applyAlignment="1">
      <alignment horizontal="right"/>
    </xf>
    <xf numFmtId="173" fontId="18" fillId="6" borderId="0" xfId="1" applyNumberFormat="1" applyFont="1" applyFill="1"/>
    <xf numFmtId="173" fontId="18" fillId="6" borderId="0" xfId="1" applyNumberFormat="1" applyFont="1" applyFill="1" applyAlignment="1">
      <alignment horizontal="right"/>
    </xf>
    <xf numFmtId="5" fontId="18" fillId="0" borderId="3" xfId="0" applyNumberFormat="1" applyFont="1" applyBorder="1" applyAlignment="1">
      <alignment horizontal="right"/>
    </xf>
    <xf numFmtId="5" fontId="18" fillId="0" borderId="4" xfId="0" applyNumberFormat="1" applyFont="1" applyBorder="1" applyAlignment="1">
      <alignment horizontal="right"/>
    </xf>
    <xf numFmtId="173" fontId="28" fillId="0" borderId="0" xfId="1" applyNumberFormat="1" applyFont="1" applyFill="1" applyBorder="1" applyAlignment="1">
      <alignment horizontal="right"/>
    </xf>
    <xf numFmtId="173" fontId="28" fillId="0" borderId="6" xfId="1" applyNumberFormat="1" applyFont="1" applyFill="1" applyBorder="1" applyAlignment="1">
      <alignment horizontal="right"/>
    </xf>
    <xf numFmtId="5" fontId="18" fillId="0" borderId="0" xfId="0" applyNumberFormat="1" applyFont="1" applyAlignment="1">
      <alignment horizontal="right"/>
    </xf>
    <xf numFmtId="5" fontId="18" fillId="0" borderId="6" xfId="0" applyNumberFormat="1" applyFont="1" applyBorder="1" applyAlignment="1">
      <alignment horizontal="right"/>
    </xf>
    <xf numFmtId="173" fontId="28" fillId="0" borderId="8" xfId="1" applyNumberFormat="1" applyFont="1" applyFill="1" applyBorder="1" applyAlignment="1">
      <alignment horizontal="right"/>
    </xf>
    <xf numFmtId="173" fontId="28" fillId="0" borderId="9" xfId="1" applyNumberFormat="1" applyFont="1" applyFill="1" applyBorder="1" applyAlignment="1">
      <alignment horizontal="right"/>
    </xf>
    <xf numFmtId="173" fontId="14" fillId="0" borderId="0" xfId="1" applyNumberFormat="1" applyFont="1" applyFill="1" applyBorder="1" applyAlignment="1"/>
    <xf numFmtId="173" fontId="14" fillId="0" borderId="0" xfId="1" applyNumberFormat="1" applyFont="1" applyFill="1" applyBorder="1" applyAlignment="1">
      <alignment horizontal="right"/>
    </xf>
    <xf numFmtId="173" fontId="14" fillId="0" borderId="0" xfId="1" applyNumberFormat="1" applyFont="1"/>
    <xf numFmtId="173" fontId="14" fillId="0" borderId="0" xfId="1" applyNumberFormat="1" applyFont="1" applyBorder="1"/>
    <xf numFmtId="37" fontId="31" fillId="0" borderId="2" xfId="1" applyNumberFormat="1" applyFont="1" applyFill="1" applyBorder="1" applyAlignment="1"/>
    <xf numFmtId="37" fontId="14" fillId="0" borderId="5" xfId="0" applyNumberFormat="1" applyFont="1" applyBorder="1" applyAlignment="1">
      <alignment horizontal="left"/>
    </xf>
    <xf numFmtId="37" fontId="14" fillId="0" borderId="6" xfId="0" applyNumberFormat="1" applyFont="1" applyBorder="1"/>
    <xf numFmtId="37" fontId="14" fillId="0" borderId="5" xfId="1" applyNumberFormat="1" applyFont="1" applyFill="1" applyBorder="1" applyAlignment="1"/>
    <xf numFmtId="37" fontId="14" fillId="0" borderId="7" xfId="1" applyNumberFormat="1" applyFont="1" applyFill="1" applyBorder="1" applyAlignment="1"/>
    <xf numFmtId="173" fontId="14" fillId="0" borderId="8" xfId="1" applyNumberFormat="1" applyFont="1" applyFill="1" applyBorder="1" applyAlignment="1"/>
    <xf numFmtId="37" fontId="28" fillId="0" borderId="5" xfId="0" applyNumberFormat="1" applyFont="1" applyBorder="1" applyAlignment="1">
      <alignment horizontal="left" indent="2"/>
    </xf>
    <xf numFmtId="37" fontId="28" fillId="0" borderId="5" xfId="1" applyNumberFormat="1" applyFont="1" applyFill="1" applyBorder="1" applyAlignment="1">
      <alignment horizontal="left" indent="2"/>
    </xf>
    <xf numFmtId="37" fontId="28" fillId="0" borderId="7" xfId="0" applyNumberFormat="1" applyFont="1" applyBorder="1" applyAlignment="1">
      <alignment horizontal="left" indent="2"/>
    </xf>
    <xf numFmtId="37" fontId="14" fillId="0" borderId="6" xfId="0" applyNumberFormat="1" applyFont="1" applyBorder="1" applyAlignment="1">
      <alignment horizontal="right"/>
    </xf>
    <xf numFmtId="37" fontId="28" fillId="0" borderId="7" xfId="1" applyNumberFormat="1" applyFont="1" applyFill="1" applyBorder="1" applyAlignment="1">
      <alignment horizontal="left" indent="2"/>
    </xf>
    <xf numFmtId="37" fontId="18" fillId="6" borderId="2" xfId="0" applyNumberFormat="1" applyFont="1" applyFill="1" applyBorder="1"/>
    <xf numFmtId="37" fontId="14" fillId="0" borderId="23" xfId="0" applyNumberFormat="1" applyFont="1" applyBorder="1" applyAlignment="1">
      <alignment horizontal="left" indent="1"/>
    </xf>
    <xf numFmtId="37" fontId="14" fillId="0" borderId="24" xfId="0" applyNumberFormat="1" applyFont="1" applyBorder="1"/>
    <xf numFmtId="37" fontId="28" fillId="0" borderId="23" xfId="1" applyNumberFormat="1" applyFont="1" applyFill="1" applyBorder="1" applyAlignment="1">
      <alignment horizontal="left" indent="1"/>
    </xf>
    <xf numFmtId="37" fontId="14" fillId="0" borderId="24" xfId="1" applyNumberFormat="1" applyFont="1" applyFill="1" applyBorder="1" applyAlignment="1"/>
    <xf numFmtId="37" fontId="14" fillId="0" borderId="3" xfId="1" applyNumberFormat="1" applyFont="1" applyFill="1" applyBorder="1"/>
    <xf numFmtId="37" fontId="13" fillId="0" borderId="3" xfId="0" applyNumberFormat="1" applyFont="1" applyBorder="1"/>
    <xf numFmtId="37" fontId="14" fillId="0" borderId="3" xfId="0" applyNumberFormat="1" applyFont="1" applyBorder="1" applyAlignment="1">
      <alignment horizontal="right"/>
    </xf>
    <xf numFmtId="37" fontId="14" fillId="0" borderId="4" xfId="0" applyNumberFormat="1" applyFont="1" applyBorder="1" applyAlignment="1">
      <alignment horizontal="right"/>
    </xf>
    <xf numFmtId="173" fontId="14" fillId="0" borderId="6" xfId="1" applyNumberFormat="1" applyFont="1" applyFill="1" applyBorder="1" applyAlignment="1"/>
    <xf numFmtId="173" fontId="14" fillId="0" borderId="6" xfId="1" applyNumberFormat="1" applyFont="1" applyBorder="1"/>
    <xf numFmtId="173" fontId="14" fillId="0" borderId="9" xfId="1" applyNumberFormat="1" applyFont="1" applyFill="1" applyBorder="1" applyAlignment="1"/>
    <xf numFmtId="37" fontId="18" fillId="6" borderId="23" xfId="0" applyNumberFormat="1" applyFont="1" applyFill="1" applyBorder="1"/>
    <xf numFmtId="37" fontId="18" fillId="6" borderId="23" xfId="0" applyNumberFormat="1" applyFont="1" applyFill="1" applyBorder="1" applyAlignment="1">
      <alignment horizontal="left"/>
    </xf>
    <xf numFmtId="5" fontId="18" fillId="0" borderId="2" xfId="0" applyNumberFormat="1" applyFont="1" applyBorder="1"/>
    <xf numFmtId="5" fontId="18" fillId="0" borderId="24" xfId="0" applyNumberFormat="1" applyFont="1" applyBorder="1" applyAlignment="1">
      <alignment horizontal="center"/>
    </xf>
    <xf numFmtId="5" fontId="18" fillId="0" borderId="25" xfId="0" applyNumberFormat="1" applyFont="1" applyBorder="1" applyAlignment="1">
      <alignment horizontal="center"/>
    </xf>
    <xf numFmtId="0" fontId="23" fillId="5" borderId="5" xfId="0" applyFont="1" applyFill="1" applyBorder="1"/>
    <xf numFmtId="173" fontId="23" fillId="5" borderId="6" xfId="0" applyNumberFormat="1" applyFont="1" applyFill="1" applyBorder="1" applyAlignment="1">
      <alignment horizontal="center"/>
    </xf>
    <xf numFmtId="37" fontId="23" fillId="0" borderId="7" xfId="0" applyNumberFormat="1" applyFont="1" applyBorder="1" applyAlignment="1">
      <alignment horizontal="left"/>
    </xf>
    <xf numFmtId="173" fontId="23" fillId="5" borderId="9" xfId="0" applyNumberFormat="1" applyFont="1" applyFill="1" applyBorder="1" applyAlignment="1">
      <alignment horizontal="center"/>
    </xf>
    <xf numFmtId="173" fontId="18" fillId="6" borderId="24" xfId="1" applyNumberFormat="1" applyFont="1" applyFill="1" applyBorder="1" applyAlignment="1"/>
    <xf numFmtId="39" fontId="18" fillId="6" borderId="24" xfId="0" applyNumberFormat="1" applyFont="1" applyFill="1" applyBorder="1"/>
    <xf numFmtId="7" fontId="18" fillId="6" borderId="24" xfId="1" applyNumberFormat="1" applyFont="1" applyFill="1" applyBorder="1" applyAlignment="1"/>
    <xf numFmtId="173" fontId="0" fillId="0" borderId="0" xfId="1" applyNumberFormat="1" applyFont="1"/>
    <xf numFmtId="0" fontId="2" fillId="0" borderId="0" xfId="0" applyFont="1" applyAlignment="1">
      <alignment horizontal="center"/>
    </xf>
    <xf numFmtId="173" fontId="0" fillId="0" borderId="0" xfId="1" applyNumberFormat="1" applyFont="1" applyAlignment="1">
      <alignment horizontal="center"/>
    </xf>
    <xf numFmtId="173" fontId="14" fillId="0" borderId="24" xfId="1" applyNumberFormat="1" applyFont="1" applyBorder="1"/>
    <xf numFmtId="168" fontId="15" fillId="3" borderId="20" xfId="0" applyNumberFormat="1" applyFont="1" applyFill="1" applyBorder="1" applyAlignment="1">
      <alignment horizontal="center"/>
    </xf>
    <xf numFmtId="168" fontId="15" fillId="3" borderId="21" xfId="0" applyNumberFormat="1" applyFont="1" applyFill="1" applyBorder="1" applyAlignment="1">
      <alignment horizontal="center"/>
    </xf>
    <xf numFmtId="173" fontId="28" fillId="0" borderId="0" xfId="1" applyNumberFormat="1" applyFont="1" applyBorder="1"/>
    <xf numFmtId="173" fontId="28" fillId="0" borderId="0" xfId="1" applyNumberFormat="1" applyFont="1"/>
    <xf numFmtId="173" fontId="28" fillId="0" borderId="6" xfId="1" applyNumberFormat="1" applyFont="1" applyBorder="1"/>
    <xf numFmtId="181" fontId="0" fillId="0" borderId="0" xfId="0" applyNumberFormat="1"/>
    <xf numFmtId="5" fontId="18" fillId="6" borderId="0" xfId="1" applyNumberFormat="1" applyFont="1" applyFill="1" applyBorder="1" applyAlignment="1">
      <alignment horizontal="right"/>
    </xf>
    <xf numFmtId="173" fontId="14" fillId="0" borderId="24" xfId="1" applyNumberFormat="1" applyFont="1" applyBorder="1" applyAlignment="1">
      <alignment horizontal="right"/>
    </xf>
    <xf numFmtId="0" fontId="2" fillId="6" borderId="0" xfId="0" applyFont="1" applyFill="1"/>
    <xf numFmtId="0" fontId="13" fillId="3" borderId="22" xfId="0" applyFont="1" applyFill="1" applyBorder="1" applyAlignment="1">
      <alignment horizontal="right"/>
    </xf>
    <xf numFmtId="7" fontId="13" fillId="3" borderId="22" xfId="0" applyNumberFormat="1" applyFont="1" applyFill="1" applyBorder="1" applyAlignment="1">
      <alignment horizontal="left"/>
    </xf>
    <xf numFmtId="173" fontId="14" fillId="0" borderId="8" xfId="1" applyNumberFormat="1" applyFont="1" applyBorder="1"/>
    <xf numFmtId="173" fontId="28" fillId="0" borderId="0" xfId="1" applyNumberFormat="1" applyFont="1" applyFill="1" applyBorder="1" applyAlignment="1"/>
    <xf numFmtId="173" fontId="28" fillId="0" borderId="6" xfId="1" applyNumberFormat="1" applyFont="1" applyFill="1" applyBorder="1" applyAlignment="1"/>
    <xf numFmtId="173" fontId="28" fillId="0" borderId="8" xfId="1" applyNumberFormat="1" applyFont="1" applyBorder="1"/>
    <xf numFmtId="173" fontId="28" fillId="0" borderId="9" xfId="1" applyNumberFormat="1" applyFont="1" applyBorder="1"/>
    <xf numFmtId="7" fontId="18" fillId="0" borderId="0" xfId="1" applyNumberFormat="1" applyFont="1" applyFill="1" applyBorder="1" applyAlignment="1"/>
    <xf numFmtId="37" fontId="32" fillId="0" borderId="0" xfId="1" applyNumberFormat="1" applyFont="1" applyFill="1" applyBorder="1" applyAlignment="1"/>
    <xf numFmtId="182" fontId="23" fillId="5" borderId="0" xfId="0" applyNumberFormat="1" applyFont="1" applyFill="1" applyAlignment="1">
      <alignment horizontal="center"/>
    </xf>
    <xf numFmtId="182" fontId="23" fillId="5" borderId="8" xfId="0" applyNumberFormat="1" applyFont="1" applyFill="1" applyBorder="1" applyAlignment="1">
      <alignment horizontal="center"/>
    </xf>
    <xf numFmtId="37" fontId="28" fillId="0" borderId="0" xfId="0" applyNumberFormat="1" applyFont="1"/>
    <xf numFmtId="173" fontId="28" fillId="0" borderId="6" xfId="1" applyNumberFormat="1" applyFont="1" applyBorder="1" applyAlignment="1">
      <alignment horizontal="right"/>
    </xf>
    <xf numFmtId="180" fontId="18" fillId="6" borderId="3" xfId="0" applyNumberFormat="1" applyFont="1" applyFill="1" applyBorder="1"/>
    <xf numFmtId="180" fontId="33" fillId="3" borderId="25" xfId="1" applyNumberFormat="1" applyFont="1" applyFill="1" applyBorder="1" applyAlignment="1"/>
    <xf numFmtId="173" fontId="28" fillId="0" borderId="4" xfId="1" applyNumberFormat="1" applyFont="1" applyBorder="1"/>
    <xf numFmtId="173" fontId="18" fillId="6" borderId="24" xfId="1" applyNumberFormat="1" applyFont="1" applyFill="1" applyBorder="1"/>
    <xf numFmtId="37" fontId="18" fillId="6" borderId="5" xfId="0" applyNumberFormat="1" applyFont="1" applyFill="1" applyBorder="1"/>
    <xf numFmtId="180" fontId="18" fillId="6" borderId="24" xfId="1" applyNumberFormat="1" applyFont="1" applyFill="1" applyBorder="1"/>
    <xf numFmtId="167" fontId="15" fillId="2" borderId="49" xfId="0" applyNumberFormat="1" applyFont="1" applyFill="1" applyBorder="1" applyAlignment="1">
      <alignment horizontal="center"/>
    </xf>
    <xf numFmtId="5" fontId="34" fillId="2" borderId="54" xfId="0" applyNumberFormat="1" applyFont="1" applyFill="1" applyBorder="1"/>
    <xf numFmtId="167" fontId="15" fillId="3" borderId="55" xfId="0" applyNumberFormat="1" applyFont="1" applyFill="1" applyBorder="1" applyAlignment="1">
      <alignment horizontal="center"/>
    </xf>
    <xf numFmtId="173" fontId="14" fillId="0" borderId="6" xfId="1" applyNumberFormat="1" applyFont="1" applyFill="1" applyBorder="1" applyAlignment="1">
      <alignment horizontal="right"/>
    </xf>
    <xf numFmtId="37" fontId="14" fillId="0" borderId="7" xfId="0" applyNumberFormat="1" applyFont="1" applyBorder="1"/>
    <xf numFmtId="173" fontId="14" fillId="0" borderId="8" xfId="1" applyNumberFormat="1" applyFont="1" applyBorder="1" applyAlignment="1">
      <alignment horizontal="right"/>
    </xf>
    <xf numFmtId="173" fontId="14" fillId="0" borderId="9" xfId="1" applyNumberFormat="1" applyFont="1" applyBorder="1" applyAlignment="1">
      <alignment horizontal="right"/>
    </xf>
    <xf numFmtId="173" fontId="28" fillId="0" borderId="5" xfId="1" applyNumberFormat="1" applyFont="1" applyFill="1" applyBorder="1"/>
    <xf numFmtId="5" fontId="18" fillId="0" borderId="5" xfId="0" applyNumberFormat="1" applyFont="1" applyBorder="1"/>
    <xf numFmtId="173" fontId="28" fillId="0" borderId="7" xfId="1" applyNumberFormat="1" applyFont="1" applyFill="1" applyBorder="1"/>
    <xf numFmtId="180" fontId="18" fillId="6" borderId="2" xfId="1" applyNumberFormat="1" applyFont="1" applyFill="1" applyBorder="1" applyAlignment="1"/>
    <xf numFmtId="180" fontId="18" fillId="6" borderId="3" xfId="1" applyNumberFormat="1" applyFont="1" applyFill="1" applyBorder="1" applyAlignment="1"/>
    <xf numFmtId="180" fontId="18" fillId="6" borderId="4" xfId="1" applyNumberFormat="1" applyFont="1" applyFill="1" applyBorder="1" applyAlignment="1"/>
    <xf numFmtId="180" fontId="14" fillId="0" borderId="5" xfId="0" applyNumberFormat="1" applyFont="1" applyBorder="1"/>
    <xf numFmtId="180" fontId="14" fillId="0" borderId="6" xfId="0" applyNumberFormat="1" applyFont="1" applyBorder="1"/>
    <xf numFmtId="180" fontId="18" fillId="6" borderId="5" xfId="1" applyNumberFormat="1" applyFont="1" applyFill="1" applyBorder="1" applyAlignment="1"/>
    <xf numFmtId="180" fontId="18" fillId="6" borderId="6" xfId="1" applyNumberFormat="1" applyFont="1" applyFill="1" applyBorder="1" applyAlignment="1"/>
    <xf numFmtId="37" fontId="14" fillId="0" borderId="5" xfId="0" applyNumberFormat="1" applyFont="1" applyBorder="1"/>
    <xf numFmtId="7" fontId="18" fillId="6" borderId="5" xfId="1" applyNumberFormat="1" applyFont="1" applyFill="1" applyBorder="1" applyAlignment="1"/>
    <xf numFmtId="7" fontId="18" fillId="6" borderId="6" xfId="1" applyNumberFormat="1" applyFont="1" applyFill="1" applyBorder="1" applyAlignment="1"/>
    <xf numFmtId="7" fontId="14" fillId="0" borderId="5" xfId="0" applyNumberFormat="1" applyFont="1" applyBorder="1"/>
    <xf numFmtId="7" fontId="14" fillId="0" borderId="6" xfId="0" applyNumberFormat="1" applyFont="1" applyBorder="1"/>
    <xf numFmtId="7" fontId="18" fillId="6" borderId="5" xfId="1" applyNumberFormat="1" applyFont="1" applyFill="1" applyBorder="1" applyAlignment="1">
      <alignment horizontal="right"/>
    </xf>
    <xf numFmtId="7" fontId="18" fillId="6" borderId="6" xfId="1" applyNumberFormat="1" applyFont="1" applyFill="1" applyBorder="1" applyAlignment="1">
      <alignment horizontal="right"/>
    </xf>
    <xf numFmtId="5" fontId="14" fillId="0" borderId="5" xfId="0" applyNumberFormat="1" applyFont="1" applyBorder="1"/>
    <xf numFmtId="5" fontId="14" fillId="0" borderId="6" xfId="0" applyNumberFormat="1" applyFont="1" applyBorder="1"/>
    <xf numFmtId="175" fontId="18" fillId="6" borderId="7" xfId="1" applyNumberFormat="1" applyFont="1" applyFill="1" applyBorder="1" applyAlignment="1"/>
    <xf numFmtId="175" fontId="18" fillId="6" borderId="8" xfId="1" applyNumberFormat="1" applyFont="1" applyFill="1" applyBorder="1" applyAlignment="1"/>
    <xf numFmtId="175" fontId="18" fillId="6" borderId="9" xfId="1" applyNumberFormat="1" applyFont="1" applyFill="1" applyBorder="1" applyAlignment="1"/>
    <xf numFmtId="7" fontId="18" fillId="6" borderId="7" xfId="1" applyNumberFormat="1" applyFont="1" applyFill="1" applyBorder="1" applyAlignment="1">
      <alignment horizontal="right"/>
    </xf>
    <xf numFmtId="7" fontId="18" fillId="6" borderId="8" xfId="1" applyNumberFormat="1" applyFont="1" applyFill="1" applyBorder="1" applyAlignment="1">
      <alignment horizontal="right"/>
    </xf>
    <xf numFmtId="7" fontId="18" fillId="6" borderId="9" xfId="1" applyNumberFormat="1" applyFont="1" applyFill="1" applyBorder="1" applyAlignment="1">
      <alignment horizontal="right"/>
    </xf>
    <xf numFmtId="173" fontId="28" fillId="0" borderId="2" xfId="1" applyNumberFormat="1" applyFont="1" applyBorder="1" applyAlignment="1">
      <alignment horizontal="left" indent="2"/>
    </xf>
    <xf numFmtId="173" fontId="28" fillId="0" borderId="5" xfId="1" applyNumberFormat="1" applyFont="1" applyBorder="1" applyAlignment="1">
      <alignment horizontal="left" indent="2"/>
    </xf>
    <xf numFmtId="173" fontId="28" fillId="0" borderId="7" xfId="1" applyNumberFormat="1" applyFont="1" applyBorder="1" applyAlignment="1">
      <alignment horizontal="left" indent="2"/>
    </xf>
    <xf numFmtId="5" fontId="14" fillId="3" borderId="35" xfId="0" applyNumberFormat="1" applyFont="1" applyFill="1" applyBorder="1"/>
    <xf numFmtId="0" fontId="14" fillId="3" borderId="35" xfId="0" applyFont="1" applyFill="1" applyBorder="1"/>
    <xf numFmtId="5" fontId="14" fillId="3" borderId="0" xfId="0" applyNumberFormat="1" applyFont="1" applyFill="1"/>
    <xf numFmtId="37" fontId="14" fillId="0" borderId="8" xfId="0" applyNumberFormat="1" applyFont="1" applyBorder="1" applyAlignment="1">
      <alignment horizontal="right"/>
    </xf>
    <xf numFmtId="5" fontId="18" fillId="0" borderId="23" xfId="0" applyNumberFormat="1" applyFont="1" applyBorder="1"/>
    <xf numFmtId="5" fontId="14" fillId="0" borderId="24" xfId="0" applyNumberFormat="1" applyFont="1" applyBorder="1"/>
    <xf numFmtId="173" fontId="14" fillId="0" borderId="0" xfId="1" applyNumberFormat="1" applyFont="1" applyBorder="1" applyAlignment="1">
      <alignment horizontal="right"/>
    </xf>
    <xf numFmtId="7" fontId="14" fillId="0" borderId="0" xfId="1" applyNumberFormat="1" applyFont="1" applyFill="1" applyBorder="1" applyAlignment="1">
      <alignment horizontal="right"/>
    </xf>
    <xf numFmtId="173" fontId="28" fillId="0" borderId="0" xfId="1" applyNumberFormat="1" applyFont="1" applyBorder="1" applyAlignment="1">
      <alignment horizontal="right"/>
    </xf>
    <xf numFmtId="173" fontId="14" fillId="0" borderId="5" xfId="1" applyNumberFormat="1" applyFont="1" applyBorder="1"/>
    <xf numFmtId="173" fontId="14" fillId="0" borderId="2" xfId="1" applyNumberFormat="1" applyFont="1" applyFill="1" applyBorder="1" applyAlignment="1"/>
    <xf numFmtId="173" fontId="14" fillId="0" borderId="3" xfId="1" applyNumberFormat="1" applyFont="1" applyFill="1" applyBorder="1" applyAlignment="1"/>
    <xf numFmtId="173" fontId="14" fillId="0" borderId="4" xfId="1" applyNumberFormat="1" applyFont="1" applyFill="1" applyBorder="1" applyAlignment="1"/>
    <xf numFmtId="173" fontId="14" fillId="0" borderId="5" xfId="1" applyNumberFormat="1" applyFont="1" applyFill="1" applyBorder="1" applyAlignment="1"/>
    <xf numFmtId="173" fontId="14" fillId="0" borderId="7" xfId="1" applyNumberFormat="1" applyFont="1" applyFill="1" applyBorder="1" applyAlignment="1"/>
    <xf numFmtId="173" fontId="18" fillId="6" borderId="23" xfId="1" applyNumberFormat="1" applyFont="1" applyFill="1" applyBorder="1"/>
    <xf numFmtId="180" fontId="18" fillId="6" borderId="23" xfId="1" applyNumberFormat="1" applyFont="1" applyFill="1" applyBorder="1"/>
    <xf numFmtId="173" fontId="28" fillId="0" borderId="5" xfId="1" applyNumberFormat="1" applyFont="1" applyBorder="1"/>
    <xf numFmtId="173" fontId="28" fillId="0" borderId="7" xfId="1" applyNumberFormat="1" applyFont="1" applyBorder="1"/>
    <xf numFmtId="173" fontId="14" fillId="0" borderId="23" xfId="1" applyNumberFormat="1" applyFont="1" applyBorder="1" applyAlignment="1">
      <alignment horizontal="right"/>
    </xf>
    <xf numFmtId="173" fontId="28" fillId="0" borderId="5" xfId="1" applyNumberFormat="1" applyFont="1" applyFill="1" applyBorder="1" applyAlignment="1"/>
    <xf numFmtId="180" fontId="18" fillId="6" borderId="2" xfId="0" applyNumberFormat="1" applyFont="1" applyFill="1" applyBorder="1"/>
    <xf numFmtId="173" fontId="28" fillId="0" borderId="5" xfId="1" applyNumberFormat="1" applyFont="1" applyBorder="1" applyAlignment="1">
      <alignment horizontal="right"/>
    </xf>
    <xf numFmtId="173" fontId="28" fillId="0" borderId="5" xfId="1" applyNumberFormat="1" applyFont="1" applyFill="1" applyBorder="1" applyAlignment="1">
      <alignment horizontal="right"/>
    </xf>
    <xf numFmtId="173" fontId="28" fillId="0" borderId="7" xfId="1" applyNumberFormat="1" applyFont="1" applyFill="1" applyBorder="1" applyAlignment="1">
      <alignment horizontal="right"/>
    </xf>
    <xf numFmtId="7" fontId="14" fillId="0" borderId="2" xfId="1" applyNumberFormat="1" applyFont="1" applyFill="1" applyBorder="1" applyAlignment="1">
      <alignment horizontal="right"/>
    </xf>
    <xf numFmtId="7" fontId="14" fillId="0" borderId="3" xfId="1" applyNumberFormat="1" applyFont="1" applyFill="1" applyBorder="1" applyAlignment="1">
      <alignment horizontal="right"/>
    </xf>
    <xf numFmtId="7" fontId="33" fillId="3" borderId="4" xfId="1" applyNumberFormat="1" applyFont="1" applyFill="1" applyBorder="1" applyAlignment="1">
      <alignment horizontal="right"/>
    </xf>
    <xf numFmtId="173" fontId="28" fillId="0" borderId="7" xfId="1" applyNumberFormat="1" applyFont="1" applyBorder="1" applyAlignment="1">
      <alignment horizontal="right"/>
    </xf>
    <xf numFmtId="173" fontId="34" fillId="3" borderId="25" xfId="1" applyNumberFormat="1" applyFont="1" applyFill="1" applyBorder="1" applyAlignment="1">
      <alignment horizontal="right"/>
    </xf>
    <xf numFmtId="173" fontId="28" fillId="6" borderId="23" xfId="1" applyNumberFormat="1" applyFont="1" applyFill="1" applyBorder="1" applyAlignment="1">
      <alignment horizontal="right"/>
    </xf>
    <xf numFmtId="173" fontId="28" fillId="6" borderId="24" xfId="1" applyNumberFormat="1" applyFont="1" applyFill="1" applyBorder="1" applyAlignment="1">
      <alignment horizontal="right"/>
    </xf>
    <xf numFmtId="7" fontId="14" fillId="0" borderId="4" xfId="1" applyNumberFormat="1" applyFont="1" applyFill="1" applyBorder="1" applyAlignment="1">
      <alignment horizontal="right"/>
    </xf>
    <xf numFmtId="7" fontId="18" fillId="0" borderId="56" xfId="0" applyNumberFormat="1" applyFont="1" applyBorder="1"/>
    <xf numFmtId="7" fontId="28" fillId="0" borderId="57" xfId="1" applyNumberFormat="1" applyFont="1" applyFill="1" applyBorder="1" applyAlignment="1">
      <alignment horizontal="left" indent="2"/>
    </xf>
    <xf numFmtId="7" fontId="28" fillId="0" borderId="58" xfId="1" applyNumberFormat="1" applyFont="1" applyFill="1" applyBorder="1" applyAlignment="1">
      <alignment horizontal="left" indent="2"/>
    </xf>
    <xf numFmtId="7" fontId="18" fillId="0" borderId="1" xfId="0" applyNumberFormat="1" applyFont="1" applyBorder="1"/>
    <xf numFmtId="7" fontId="23" fillId="6" borderId="1" xfId="1" applyNumberFormat="1" applyFont="1" applyFill="1" applyBorder="1" applyAlignment="1">
      <alignment horizontal="left" indent="1"/>
    </xf>
    <xf numFmtId="173" fontId="18" fillId="6" borderId="25" xfId="1" applyNumberFormat="1" applyFont="1" applyFill="1" applyBorder="1" applyAlignment="1"/>
    <xf numFmtId="173" fontId="14" fillId="0" borderId="9" xfId="1" applyNumberFormat="1" applyFont="1" applyBorder="1"/>
    <xf numFmtId="7" fontId="18" fillId="6" borderId="25" xfId="1" applyNumberFormat="1" applyFont="1" applyFill="1" applyBorder="1" applyAlignment="1"/>
    <xf numFmtId="37" fontId="14" fillId="11" borderId="0" xfId="1" applyNumberFormat="1" applyFont="1" applyFill="1" applyBorder="1" applyAlignment="1"/>
    <xf numFmtId="37" fontId="14" fillId="11" borderId="6" xfId="1" applyNumberFormat="1" applyFont="1" applyFill="1" applyBorder="1" applyAlignment="1"/>
    <xf numFmtId="37" fontId="14" fillId="11" borderId="0" xfId="0" applyNumberFormat="1" applyFont="1" applyFill="1"/>
    <xf numFmtId="37" fontId="14" fillId="11" borderId="6" xfId="0" applyNumberFormat="1" applyFont="1" applyFill="1" applyBorder="1"/>
    <xf numFmtId="37" fontId="14" fillId="11" borderId="8" xfId="0" applyNumberFormat="1" applyFont="1" applyFill="1" applyBorder="1"/>
    <xf numFmtId="37" fontId="14" fillId="11" borderId="9" xfId="0" applyNumberFormat="1" applyFont="1" applyFill="1" applyBorder="1"/>
    <xf numFmtId="173" fontId="14" fillId="0" borderId="25" xfId="1" applyNumberFormat="1" applyFont="1" applyBorder="1"/>
    <xf numFmtId="39" fontId="18" fillId="6" borderId="25" xfId="0" applyNumberFormat="1" applyFont="1" applyFill="1" applyBorder="1"/>
    <xf numFmtId="173" fontId="14" fillId="0" borderId="24" xfId="1" applyNumberFormat="1" applyFont="1" applyFill="1" applyBorder="1" applyAlignment="1"/>
    <xf numFmtId="173" fontId="14" fillId="0" borderId="25" xfId="1" applyNumberFormat="1" applyFont="1" applyFill="1" applyBorder="1" applyAlignment="1"/>
    <xf numFmtId="173" fontId="33" fillId="3" borderId="25" xfId="1" applyNumberFormat="1" applyFont="1" applyFill="1" applyBorder="1"/>
    <xf numFmtId="7" fontId="28" fillId="0" borderId="56" xfId="1" applyNumberFormat="1" applyFont="1" applyFill="1" applyBorder="1" applyAlignment="1">
      <alignment horizontal="left" indent="2"/>
    </xf>
    <xf numFmtId="7" fontId="14" fillId="0" borderId="8" xfId="1" applyNumberFormat="1" applyFont="1" applyFill="1" applyBorder="1" applyAlignment="1">
      <alignment horizontal="right"/>
    </xf>
    <xf numFmtId="7" fontId="23" fillId="6" borderId="24" xfId="1" applyNumberFormat="1" applyFont="1" applyFill="1" applyBorder="1" applyAlignment="1">
      <alignment horizontal="right"/>
    </xf>
    <xf numFmtId="173" fontId="23" fillId="6" borderId="24" xfId="1" applyNumberFormat="1" applyFont="1" applyFill="1" applyBorder="1" applyAlignment="1">
      <alignment horizontal="right"/>
    </xf>
    <xf numFmtId="173" fontId="23" fillId="6" borderId="25" xfId="1" applyNumberFormat="1" applyFont="1" applyFill="1" applyBorder="1" applyAlignment="1">
      <alignment horizontal="right"/>
    </xf>
    <xf numFmtId="7" fontId="14" fillId="11" borderId="3" xfId="1" applyNumberFormat="1" applyFont="1" applyFill="1" applyBorder="1" applyAlignment="1">
      <alignment horizontal="right"/>
    </xf>
    <xf numFmtId="7" fontId="14" fillId="11" borderId="4" xfId="1" applyNumberFormat="1" applyFont="1" applyFill="1" applyBorder="1" applyAlignment="1">
      <alignment horizontal="right"/>
    </xf>
    <xf numFmtId="7" fontId="14" fillId="11" borderId="0" xfId="1" applyNumberFormat="1" applyFont="1" applyFill="1" applyBorder="1" applyAlignment="1">
      <alignment horizontal="right"/>
    </xf>
    <xf numFmtId="7" fontId="14" fillId="11" borderId="6" xfId="1" applyNumberFormat="1" applyFont="1" applyFill="1" applyBorder="1" applyAlignment="1">
      <alignment horizontal="right"/>
    </xf>
    <xf numFmtId="7" fontId="14" fillId="11" borderId="8" xfId="1" applyNumberFormat="1" applyFont="1" applyFill="1" applyBorder="1" applyAlignment="1">
      <alignment horizontal="right"/>
    </xf>
    <xf numFmtId="7" fontId="14" fillId="11" borderId="9" xfId="1" applyNumberFormat="1" applyFont="1" applyFill="1" applyBorder="1" applyAlignment="1">
      <alignment horizontal="right"/>
    </xf>
    <xf numFmtId="5" fontId="14" fillId="2" borderId="35" xfId="0" applyNumberFormat="1" applyFont="1" applyFill="1" applyBorder="1"/>
    <xf numFmtId="169" fontId="15" fillId="4" borderId="35" xfId="0" applyNumberFormat="1" applyFont="1" applyFill="1" applyBorder="1" applyAlignment="1">
      <alignment horizontal="center"/>
    </xf>
    <xf numFmtId="5" fontId="14" fillId="0" borderId="2" xfId="0" applyNumberFormat="1" applyFont="1" applyBorder="1"/>
    <xf numFmtId="173" fontId="14" fillId="0" borderId="3" xfId="0" applyNumberFormat="1" applyFont="1" applyBorder="1"/>
    <xf numFmtId="173" fontId="14" fillId="0" borderId="3" xfId="1" applyNumberFormat="1" applyFont="1" applyBorder="1"/>
    <xf numFmtId="173" fontId="14" fillId="0" borderId="4" xfId="1" applyNumberFormat="1" applyFont="1" applyBorder="1"/>
    <xf numFmtId="173" fontId="14" fillId="0" borderId="0" xfId="0" applyNumberFormat="1" applyFont="1"/>
    <xf numFmtId="5" fontId="14" fillId="0" borderId="7" xfId="0" applyNumberFormat="1" applyFont="1" applyBorder="1"/>
    <xf numFmtId="173" fontId="14" fillId="0" borderId="2" xfId="1" applyNumberFormat="1" applyFont="1" applyBorder="1"/>
    <xf numFmtId="173" fontId="14" fillId="0" borderId="7" xfId="1" applyNumberFormat="1" applyFont="1" applyBorder="1"/>
    <xf numFmtId="175" fontId="14" fillId="0" borderId="0" xfId="0" applyNumberFormat="1" applyFont="1" applyAlignment="1">
      <alignment horizontal="right"/>
    </xf>
    <xf numFmtId="173" fontId="14" fillId="5" borderId="2" xfId="1" applyNumberFormat="1" applyFont="1" applyFill="1" applyBorder="1"/>
    <xf numFmtId="173" fontId="14" fillId="5" borderId="3" xfId="1" applyNumberFormat="1" applyFont="1" applyFill="1" applyBorder="1"/>
    <xf numFmtId="5" fontId="14" fillId="5" borderId="3" xfId="0" applyNumberFormat="1" applyFont="1" applyFill="1" applyBorder="1" applyAlignment="1">
      <alignment horizontal="right"/>
    </xf>
    <xf numFmtId="5" fontId="14" fillId="5" borderId="4" xfId="0" applyNumberFormat="1" applyFont="1" applyFill="1" applyBorder="1" applyAlignment="1">
      <alignment horizontal="right"/>
    </xf>
    <xf numFmtId="173" fontId="14" fillId="0" borderId="0" xfId="1" applyNumberFormat="1" applyFont="1" applyBorder="1" applyAlignment="1"/>
    <xf numFmtId="173" fontId="14" fillId="0" borderId="6" xfId="1" applyNumberFormat="1" applyFont="1" applyBorder="1" applyAlignment="1"/>
    <xf numFmtId="5" fontId="23" fillId="0" borderId="5" xfId="0" applyNumberFormat="1" applyFont="1" applyBorder="1"/>
    <xf numFmtId="5" fontId="23" fillId="0" borderId="6" xfId="0" applyNumberFormat="1" applyFont="1" applyBorder="1"/>
    <xf numFmtId="173" fontId="23" fillId="0" borderId="0" xfId="1" applyNumberFormat="1" applyFont="1" applyBorder="1" applyAlignment="1"/>
    <xf numFmtId="173" fontId="23" fillId="0" borderId="6" xfId="1" applyNumberFormat="1" applyFont="1" applyBorder="1" applyAlignment="1"/>
    <xf numFmtId="5" fontId="14" fillId="6" borderId="5" xfId="0" applyNumberFormat="1" applyFont="1" applyFill="1" applyBorder="1"/>
    <xf numFmtId="173" fontId="14" fillId="6" borderId="0" xfId="1" applyNumberFormat="1" applyFont="1" applyFill="1" applyBorder="1" applyAlignment="1"/>
    <xf numFmtId="173" fontId="14" fillId="6" borderId="6" xfId="1" applyNumberFormat="1" applyFont="1" applyFill="1" applyBorder="1" applyAlignment="1"/>
    <xf numFmtId="5" fontId="14" fillId="0" borderId="5" xfId="0" applyNumberFormat="1" applyFont="1" applyBorder="1" applyAlignment="1">
      <alignment horizontal="left" indent="1"/>
    </xf>
    <xf numFmtId="173" fontId="14" fillId="0" borderId="8" xfId="1" applyNumberFormat="1" applyFont="1" applyBorder="1" applyAlignment="1"/>
    <xf numFmtId="173" fontId="14" fillId="0" borderId="9" xfId="1" applyNumberFormat="1" applyFont="1" applyBorder="1" applyAlignment="1"/>
    <xf numFmtId="5" fontId="14" fillId="0" borderId="4" xfId="0" applyNumberFormat="1" applyFont="1" applyBorder="1"/>
    <xf numFmtId="173" fontId="14" fillId="0" borderId="6" xfId="1" applyNumberFormat="1" applyFont="1" applyBorder="1" applyAlignment="1">
      <alignment horizontal="right"/>
    </xf>
    <xf numFmtId="175" fontId="14" fillId="0" borderId="6" xfId="0" applyNumberFormat="1" applyFont="1" applyBorder="1" applyAlignment="1">
      <alignment horizontal="right"/>
    </xf>
    <xf numFmtId="175" fontId="14" fillId="0" borderId="5" xfId="0" applyNumberFormat="1" applyFont="1" applyBorder="1" applyAlignment="1">
      <alignment horizontal="left" indent="1"/>
    </xf>
    <xf numFmtId="37" fontId="14" fillId="0" borderId="5" xfId="0" applyNumberFormat="1" applyFont="1" applyBorder="1" applyAlignment="1">
      <alignment horizontal="left" indent="1"/>
    </xf>
    <xf numFmtId="5" fontId="14" fillId="0" borderId="9" xfId="0" applyNumberFormat="1" applyFont="1" applyBorder="1"/>
    <xf numFmtId="173" fontId="14" fillId="0" borderId="5" xfId="1" applyNumberFormat="1" applyFont="1" applyBorder="1" applyAlignment="1"/>
    <xf numFmtId="175" fontId="14" fillId="0" borderId="6" xfId="0" applyNumberFormat="1" applyFont="1" applyBorder="1"/>
    <xf numFmtId="173" fontId="14" fillId="0" borderId="7" xfId="1" applyNumberFormat="1" applyFont="1" applyBorder="1" applyAlignment="1"/>
    <xf numFmtId="173" fontId="18" fillId="0" borderId="0" xfId="1" applyNumberFormat="1" applyFont="1"/>
    <xf numFmtId="173" fontId="23" fillId="0" borderId="0" xfId="1" applyNumberFormat="1" applyFont="1"/>
    <xf numFmtId="0" fontId="14" fillId="5" borderId="5" xfId="0" applyFont="1" applyFill="1" applyBorder="1" applyAlignment="1">
      <alignment horizontal="left" indent="1"/>
    </xf>
    <xf numFmtId="0" fontId="18" fillId="5" borderId="5" xfId="0" applyFont="1" applyFill="1" applyBorder="1"/>
    <xf numFmtId="37" fontId="31" fillId="5" borderId="2" xfId="0" applyNumberFormat="1" applyFont="1" applyFill="1" applyBorder="1" applyAlignment="1">
      <alignment horizontal="left"/>
    </xf>
    <xf numFmtId="167" fontId="15" fillId="2" borderId="46" xfId="0" applyNumberFormat="1" applyFont="1" applyFill="1" applyBorder="1" applyAlignment="1">
      <alignment horizontal="center"/>
    </xf>
    <xf numFmtId="5" fontId="14" fillId="5" borderId="6" xfId="1" applyNumberFormat="1" applyFont="1" applyFill="1" applyBorder="1" applyAlignment="1">
      <alignment horizontal="right"/>
    </xf>
    <xf numFmtId="10" fontId="28" fillId="5" borderId="8" xfId="0" applyNumberFormat="1" applyFont="1" applyFill="1" applyBorder="1" applyAlignment="1">
      <alignment horizontal="right"/>
    </xf>
    <xf numFmtId="173" fontId="14" fillId="5" borderId="0" xfId="1" applyNumberFormat="1" applyFont="1" applyFill="1" applyAlignment="1"/>
    <xf numFmtId="173" fontId="14" fillId="0" borderId="2" xfId="1" applyNumberFormat="1" applyFont="1" applyBorder="1" applyAlignment="1"/>
    <xf numFmtId="173" fontId="14" fillId="0" borderId="3" xfId="1" applyNumberFormat="1" applyFont="1" applyBorder="1" applyAlignment="1"/>
    <xf numFmtId="173" fontId="23" fillId="0" borderId="5" xfId="1" applyNumberFormat="1" applyFont="1" applyBorder="1" applyAlignment="1"/>
    <xf numFmtId="173" fontId="14" fillId="6" borderId="5" xfId="1" applyNumberFormat="1" applyFont="1" applyFill="1" applyBorder="1" applyAlignment="1"/>
    <xf numFmtId="173" fontId="28" fillId="6" borderId="0" xfId="1" applyNumberFormat="1" applyFont="1" applyFill="1" applyBorder="1" applyAlignment="1">
      <alignment horizontal="right"/>
    </xf>
    <xf numFmtId="173" fontId="28" fillId="6" borderId="6" xfId="1" applyNumberFormat="1" applyFont="1" applyFill="1" applyBorder="1" applyAlignment="1">
      <alignment horizontal="right"/>
    </xf>
    <xf numFmtId="5" fontId="29" fillId="0" borderId="6" xfId="0" applyNumberFormat="1" applyFont="1" applyBorder="1" applyAlignment="1">
      <alignment horizontal="right"/>
    </xf>
    <xf numFmtId="173" fontId="28" fillId="0" borderId="8" xfId="1" applyNumberFormat="1" applyFont="1" applyBorder="1" applyAlignment="1">
      <alignment horizontal="right"/>
    </xf>
    <xf numFmtId="5" fontId="14" fillId="12" borderId="0" xfId="0" applyNumberFormat="1" applyFont="1" applyFill="1"/>
    <xf numFmtId="173" fontId="23" fillId="6" borderId="0" xfId="1" applyNumberFormat="1" applyFont="1" applyFill="1" applyBorder="1" applyAlignment="1">
      <alignment horizontal="right"/>
    </xf>
    <xf numFmtId="173" fontId="28" fillId="6" borderId="5" xfId="1" applyNumberFormat="1" applyFont="1" applyFill="1" applyBorder="1" applyAlignment="1">
      <alignment horizontal="right"/>
    </xf>
    <xf numFmtId="5" fontId="14" fillId="12" borderId="5" xfId="0" applyNumberFormat="1" applyFont="1" applyFill="1" applyBorder="1"/>
    <xf numFmtId="5" fontId="14" fillId="12" borderId="6" xfId="0" applyNumberFormat="1" applyFont="1" applyFill="1" applyBorder="1"/>
    <xf numFmtId="173" fontId="23" fillId="6" borderId="5" xfId="1" applyNumberFormat="1" applyFont="1" applyFill="1" applyBorder="1" applyAlignment="1">
      <alignment horizontal="right"/>
    </xf>
    <xf numFmtId="173" fontId="23" fillId="6" borderId="6" xfId="1" applyNumberFormat="1" applyFont="1" applyFill="1" applyBorder="1" applyAlignment="1">
      <alignment horizontal="right"/>
    </xf>
    <xf numFmtId="173" fontId="28" fillId="6" borderId="5" xfId="1" applyNumberFormat="1" applyFont="1" applyFill="1" applyBorder="1" applyAlignment="1"/>
    <xf numFmtId="173" fontId="28" fillId="6" borderId="5" xfId="1" applyNumberFormat="1" applyFont="1" applyFill="1" applyBorder="1" applyAlignment="1">
      <alignment horizontal="left"/>
    </xf>
    <xf numFmtId="173" fontId="23" fillId="6" borderId="5" xfId="1" applyNumberFormat="1" applyFont="1" applyFill="1" applyBorder="1" applyAlignment="1">
      <alignment horizontal="left"/>
    </xf>
    <xf numFmtId="5" fontId="18" fillId="0" borderId="59" xfId="0" applyNumberFormat="1" applyFont="1" applyBorder="1"/>
    <xf numFmtId="5" fontId="14" fillId="0" borderId="62" xfId="0" applyNumberFormat="1" applyFont="1" applyBorder="1"/>
    <xf numFmtId="173" fontId="28" fillId="6" borderId="62" xfId="1" applyNumberFormat="1" applyFont="1" applyFill="1" applyBorder="1" applyAlignment="1"/>
    <xf numFmtId="5" fontId="14" fillId="0" borderId="63" xfId="0" applyNumberFormat="1" applyFont="1" applyBorder="1"/>
    <xf numFmtId="173" fontId="28" fillId="6" borderId="62" xfId="1" applyNumberFormat="1" applyFont="1" applyFill="1" applyBorder="1" applyAlignment="1">
      <alignment horizontal="right"/>
    </xf>
    <xf numFmtId="173" fontId="23" fillId="6" borderId="62" xfId="1" applyNumberFormat="1" applyFont="1" applyFill="1" applyBorder="1" applyAlignment="1">
      <alignment horizontal="right"/>
    </xf>
    <xf numFmtId="173" fontId="23" fillId="0" borderId="62" xfId="1" applyNumberFormat="1" applyFont="1" applyBorder="1" applyAlignment="1"/>
    <xf numFmtId="5" fontId="14" fillId="0" borderId="61" xfId="0" applyNumberFormat="1" applyFont="1" applyBorder="1"/>
    <xf numFmtId="9" fontId="28" fillId="6" borderId="5" xfId="1" applyFont="1" applyFill="1" applyBorder="1"/>
    <xf numFmtId="173" fontId="28" fillId="6" borderId="0" xfId="1" applyNumberFormat="1" applyFont="1" applyFill="1" applyBorder="1" applyAlignment="1"/>
    <xf numFmtId="173" fontId="28" fillId="6" borderId="6" xfId="1" applyNumberFormat="1" applyFont="1" applyFill="1" applyBorder="1" applyAlignment="1"/>
    <xf numFmtId="5" fontId="28" fillId="6" borderId="5" xfId="0" applyNumberFormat="1" applyFont="1" applyFill="1" applyBorder="1" applyAlignment="1">
      <alignment horizontal="left"/>
    </xf>
    <xf numFmtId="5" fontId="23" fillId="6" borderId="5" xfId="0" applyNumberFormat="1" applyFont="1" applyFill="1" applyBorder="1" applyAlignment="1">
      <alignment horizontal="left"/>
    </xf>
    <xf numFmtId="173" fontId="14" fillId="0" borderId="5" xfId="1" applyNumberFormat="1" applyFont="1" applyBorder="1" applyAlignment="1">
      <alignment horizontal="right"/>
    </xf>
    <xf numFmtId="173" fontId="14" fillId="5" borderId="63" xfId="1" applyNumberFormat="1" applyFont="1" applyFill="1" applyBorder="1"/>
    <xf numFmtId="173" fontId="14" fillId="0" borderId="62" xfId="1" applyNumberFormat="1" applyFont="1" applyBorder="1" applyAlignment="1"/>
    <xf numFmtId="5" fontId="23" fillId="0" borderId="62" xfId="0" applyNumberFormat="1" applyFont="1" applyBorder="1"/>
    <xf numFmtId="173" fontId="14" fillId="6" borderId="62" xfId="1" applyNumberFormat="1" applyFont="1" applyFill="1" applyBorder="1" applyAlignment="1"/>
    <xf numFmtId="173" fontId="14" fillId="0" borderId="61" xfId="1" applyNumberFormat="1" applyFont="1" applyBorder="1" applyAlignment="1"/>
    <xf numFmtId="173" fontId="28" fillId="5" borderId="0" xfId="1" applyNumberFormat="1" applyFont="1" applyFill="1" applyAlignment="1">
      <alignment horizontal="right"/>
    </xf>
    <xf numFmtId="173" fontId="23" fillId="5" borderId="0" xfId="1" applyNumberFormat="1" applyFont="1" applyFill="1" applyAlignment="1">
      <alignment horizontal="right"/>
    </xf>
    <xf numFmtId="37" fontId="14" fillId="0" borderId="62" xfId="0" applyNumberFormat="1" applyFont="1" applyBorder="1"/>
    <xf numFmtId="175" fontId="14" fillId="0" borderId="62" xfId="0" applyNumberFormat="1" applyFont="1" applyBorder="1"/>
    <xf numFmtId="173" fontId="14" fillId="0" borderId="62" xfId="1" applyNumberFormat="1" applyFont="1" applyBorder="1" applyAlignment="1">
      <alignment horizontal="right"/>
    </xf>
    <xf numFmtId="173" fontId="14" fillId="0" borderId="4" xfId="1" applyNumberFormat="1" applyFont="1" applyBorder="1" applyAlignment="1"/>
    <xf numFmtId="5" fontId="28" fillId="0" borderId="5" xfId="0" applyNumberFormat="1" applyFont="1" applyBorder="1" applyAlignment="1">
      <alignment horizontal="right"/>
    </xf>
    <xf numFmtId="175" fontId="14" fillId="0" borderId="5" xfId="0" applyNumberFormat="1" applyFont="1" applyBorder="1"/>
    <xf numFmtId="37" fontId="14" fillId="0" borderId="5" xfId="0" applyNumberFormat="1" applyFont="1" applyBorder="1" applyAlignment="1">
      <alignment horizontal="right"/>
    </xf>
    <xf numFmtId="173" fontId="14" fillId="0" borderId="7" xfId="1" applyNumberFormat="1" applyFont="1" applyBorder="1" applyAlignment="1">
      <alignment horizontal="right"/>
    </xf>
    <xf numFmtId="5" fontId="28" fillId="0" borderId="23" xfId="0" applyNumberFormat="1" applyFont="1" applyBorder="1"/>
    <xf numFmtId="5" fontId="14" fillId="0" borderId="25" xfId="0" applyNumberFormat="1" applyFont="1" applyBorder="1"/>
    <xf numFmtId="5" fontId="14" fillId="0" borderId="65" xfId="0" applyNumberFormat="1" applyFont="1" applyBorder="1"/>
    <xf numFmtId="5" fontId="14" fillId="0" borderId="23" xfId="0" applyNumberFormat="1" applyFont="1" applyBorder="1"/>
    <xf numFmtId="5" fontId="18" fillId="0" borderId="64" xfId="0" applyNumberFormat="1" applyFont="1" applyBorder="1"/>
    <xf numFmtId="5" fontId="18" fillId="0" borderId="60" xfId="0" applyNumberFormat="1" applyFont="1" applyBorder="1"/>
    <xf numFmtId="39" fontId="14" fillId="0" borderId="5" xfId="0" applyNumberFormat="1" applyFont="1" applyBorder="1"/>
    <xf numFmtId="39" fontId="14" fillId="0" borderId="0" xfId="0" applyNumberFormat="1" applyFont="1" applyAlignment="1">
      <alignment horizontal="right"/>
    </xf>
    <xf numFmtId="39" fontId="14" fillId="0" borderId="6" xfId="0" applyNumberFormat="1" applyFont="1" applyBorder="1" applyAlignment="1">
      <alignment horizontal="right"/>
    </xf>
    <xf numFmtId="39" fontId="14" fillId="0" borderId="0" xfId="0" applyNumberFormat="1" applyFont="1"/>
    <xf numFmtId="39" fontId="14" fillId="0" borderId="2" xfId="0" applyNumberFormat="1" applyFont="1" applyBorder="1"/>
    <xf numFmtId="39" fontId="14" fillId="0" borderId="3" xfId="0" applyNumberFormat="1" applyFont="1" applyBorder="1" applyAlignment="1">
      <alignment horizontal="right"/>
    </xf>
    <xf numFmtId="39" fontId="14" fillId="0" borderId="4" xfId="0" applyNumberFormat="1" applyFont="1" applyBorder="1" applyAlignment="1">
      <alignment horizontal="right"/>
    </xf>
    <xf numFmtId="39" fontId="14" fillId="0" borderId="2" xfId="0" applyNumberFormat="1" applyFont="1" applyBorder="1" applyAlignment="1">
      <alignment horizontal="right"/>
    </xf>
    <xf numFmtId="39" fontId="14" fillId="0" borderId="5" xfId="0" applyNumberFormat="1" applyFont="1" applyBorder="1" applyAlignment="1">
      <alignment horizontal="right"/>
    </xf>
    <xf numFmtId="180" fontId="14" fillId="0" borderId="62" xfId="0" applyNumberFormat="1" applyFont="1" applyBorder="1"/>
    <xf numFmtId="180" fontId="14" fillId="0" borderId="7" xfId="0" applyNumberFormat="1" applyFont="1" applyBorder="1"/>
    <xf numFmtId="180" fontId="14" fillId="0" borderId="8" xfId="0" applyNumberFormat="1" applyFont="1" applyBorder="1"/>
    <xf numFmtId="180" fontId="14" fillId="0" borderId="61" xfId="0" applyNumberFormat="1" applyFont="1" applyBorder="1"/>
    <xf numFmtId="180" fontId="14" fillId="0" borderId="9" xfId="0" applyNumberFormat="1" applyFont="1" applyBorder="1"/>
    <xf numFmtId="5" fontId="31" fillId="5" borderId="2" xfId="0" applyNumberFormat="1" applyFont="1" applyFill="1" applyBorder="1"/>
    <xf numFmtId="5" fontId="14" fillId="5" borderId="6" xfId="0" applyNumberFormat="1" applyFont="1" applyFill="1" applyBorder="1" applyAlignment="1">
      <alignment horizontal="right"/>
    </xf>
    <xf numFmtId="5" fontId="18" fillId="5" borderId="25" xfId="0" applyNumberFormat="1" applyFont="1" applyFill="1" applyBorder="1" applyAlignment="1">
      <alignment horizontal="right"/>
    </xf>
    <xf numFmtId="5" fontId="31" fillId="5" borderId="5" xfId="0" applyNumberFormat="1" applyFont="1" applyFill="1" applyBorder="1"/>
    <xf numFmtId="5" fontId="18" fillId="5" borderId="25" xfId="1" applyNumberFormat="1" applyFont="1" applyFill="1" applyBorder="1" applyAlignment="1">
      <alignment horizontal="right"/>
    </xf>
    <xf numFmtId="5" fontId="28" fillId="5" borderId="8" xfId="1" applyNumberFormat="1" applyFont="1" applyFill="1" applyBorder="1" applyAlignment="1">
      <alignment horizontal="right"/>
    </xf>
    <xf numFmtId="5" fontId="28" fillId="5" borderId="9" xfId="1" applyNumberFormat="1" applyFont="1" applyFill="1" applyBorder="1" applyAlignment="1">
      <alignment horizontal="right"/>
    </xf>
    <xf numFmtId="5" fontId="14" fillId="5" borderId="2" xfId="0" applyNumberFormat="1" applyFont="1" applyFill="1" applyBorder="1" applyAlignment="1">
      <alignment horizontal="right"/>
    </xf>
    <xf numFmtId="5" fontId="14" fillId="5" borderId="5" xfId="1" applyNumberFormat="1" applyFont="1" applyFill="1" applyBorder="1" applyAlignment="1">
      <alignment horizontal="right"/>
    </xf>
    <xf numFmtId="5" fontId="14" fillId="5" borderId="5" xfId="0" applyNumberFormat="1" applyFont="1" applyFill="1" applyBorder="1" applyAlignment="1">
      <alignment horizontal="right"/>
    </xf>
    <xf numFmtId="5" fontId="18" fillId="5" borderId="23" xfId="0" applyNumberFormat="1" applyFont="1" applyFill="1" applyBorder="1" applyAlignment="1">
      <alignment horizontal="right"/>
    </xf>
    <xf numFmtId="5" fontId="18" fillId="5" borderId="23" xfId="1" applyNumberFormat="1" applyFont="1" applyFill="1" applyBorder="1" applyAlignment="1">
      <alignment horizontal="right"/>
    </xf>
    <xf numFmtId="5" fontId="28" fillId="5" borderId="7" xfId="1" applyNumberFormat="1" applyFont="1" applyFill="1" applyBorder="1" applyAlignment="1">
      <alignment horizontal="right"/>
    </xf>
    <xf numFmtId="37" fontId="31" fillId="5" borderId="2" xfId="0" applyNumberFormat="1" applyFont="1" applyFill="1" applyBorder="1"/>
    <xf numFmtId="37" fontId="18" fillId="5" borderId="23" xfId="0" applyNumberFormat="1" applyFont="1" applyFill="1" applyBorder="1"/>
    <xf numFmtId="37" fontId="14" fillId="5" borderId="5" xfId="0" applyNumberFormat="1" applyFont="1" applyFill="1" applyBorder="1"/>
    <xf numFmtId="37" fontId="31" fillId="5" borderId="5" xfId="0" applyNumberFormat="1" applyFont="1" applyFill="1" applyBorder="1"/>
    <xf numFmtId="37" fontId="28" fillId="5" borderId="7" xfId="0" applyNumberFormat="1" applyFont="1" applyFill="1" applyBorder="1"/>
    <xf numFmtId="5" fontId="14" fillId="5" borderId="63" xfId="0" applyNumberFormat="1" applyFont="1" applyFill="1" applyBorder="1" applyAlignment="1">
      <alignment horizontal="right"/>
    </xf>
    <xf numFmtId="5" fontId="14" fillId="5" borderId="62" xfId="1" applyNumberFormat="1" applyFont="1" applyFill="1" applyBorder="1" applyAlignment="1">
      <alignment horizontal="right"/>
    </xf>
    <xf numFmtId="5" fontId="14" fillId="5" borderId="62" xfId="0" applyNumberFormat="1" applyFont="1" applyFill="1" applyBorder="1" applyAlignment="1">
      <alignment horizontal="right"/>
    </xf>
    <xf numFmtId="5" fontId="18" fillId="5" borderId="65" xfId="0" applyNumberFormat="1" applyFont="1" applyFill="1" applyBorder="1" applyAlignment="1">
      <alignment horizontal="right"/>
    </xf>
    <xf numFmtId="5" fontId="18" fillId="5" borderId="65" xfId="1" applyNumberFormat="1" applyFont="1" applyFill="1" applyBorder="1" applyAlignment="1">
      <alignment horizontal="right"/>
    </xf>
    <xf numFmtId="5" fontId="28" fillId="5" borderId="61" xfId="1" applyNumberFormat="1" applyFont="1" applyFill="1" applyBorder="1" applyAlignment="1">
      <alignment horizontal="right"/>
    </xf>
    <xf numFmtId="5" fontId="14" fillId="5" borderId="2" xfId="1" applyNumberFormat="1" applyFont="1" applyFill="1" applyBorder="1" applyAlignment="1">
      <alignment horizontal="right"/>
    </xf>
    <xf numFmtId="5" fontId="14" fillId="5" borderId="4" xfId="1" applyNumberFormat="1" applyFont="1" applyFill="1" applyBorder="1" applyAlignment="1">
      <alignment horizontal="right"/>
    </xf>
    <xf numFmtId="37" fontId="28" fillId="5" borderId="5" xfId="0" applyNumberFormat="1" applyFont="1" applyFill="1" applyBorder="1"/>
    <xf numFmtId="37" fontId="18" fillId="5" borderId="5" xfId="0" applyNumberFormat="1" applyFont="1" applyFill="1" applyBorder="1"/>
    <xf numFmtId="176" fontId="14" fillId="5" borderId="0" xfId="0" applyNumberFormat="1" applyFont="1" applyFill="1" applyAlignment="1">
      <alignment horizontal="right"/>
    </xf>
    <xf numFmtId="177" fontId="14" fillId="5" borderId="0" xfId="0" applyNumberFormat="1" applyFont="1" applyFill="1" applyAlignment="1">
      <alignment horizontal="right"/>
    </xf>
    <xf numFmtId="37" fontId="14" fillId="5" borderId="7" xfId="0" applyNumberFormat="1" applyFont="1" applyFill="1" applyBorder="1"/>
    <xf numFmtId="5" fontId="14" fillId="5" borderId="8" xfId="0" applyNumberFormat="1" applyFont="1" applyFill="1" applyBorder="1" applyAlignment="1">
      <alignment horizontal="right"/>
    </xf>
    <xf numFmtId="5" fontId="14" fillId="5" borderId="9" xfId="0" applyNumberFormat="1" applyFont="1" applyFill="1" applyBorder="1" applyAlignment="1">
      <alignment horizontal="right"/>
    </xf>
    <xf numFmtId="5" fontId="14" fillId="5" borderId="63" xfId="1" applyNumberFormat="1" applyFont="1" applyFill="1" applyBorder="1" applyAlignment="1">
      <alignment horizontal="right"/>
    </xf>
    <xf numFmtId="5" fontId="28" fillId="5" borderId="62" xfId="1" applyNumberFormat="1" applyFont="1" applyFill="1" applyBorder="1" applyAlignment="1">
      <alignment horizontal="right"/>
    </xf>
    <xf numFmtId="176" fontId="14" fillId="5" borderId="62" xfId="1" applyNumberFormat="1" applyFont="1" applyFill="1" applyBorder="1" applyAlignment="1">
      <alignment horizontal="right"/>
    </xf>
    <xf numFmtId="173" fontId="14" fillId="5" borderId="62" xfId="1" applyNumberFormat="1" applyFont="1" applyFill="1" applyBorder="1" applyAlignment="1">
      <alignment horizontal="right"/>
    </xf>
    <xf numFmtId="176" fontId="14" fillId="5" borderId="62" xfId="0" applyNumberFormat="1" applyFont="1" applyFill="1" applyBorder="1" applyAlignment="1">
      <alignment horizontal="right"/>
    </xf>
    <xf numFmtId="177" fontId="14" fillId="5" borderId="62" xfId="0" applyNumberFormat="1" applyFont="1" applyFill="1" applyBorder="1" applyAlignment="1">
      <alignment horizontal="right"/>
    </xf>
    <xf numFmtId="5" fontId="14" fillId="5" borderId="61" xfId="0" applyNumberFormat="1" applyFont="1" applyFill="1" applyBorder="1" applyAlignment="1">
      <alignment horizontal="right"/>
    </xf>
    <xf numFmtId="167" fontId="31" fillId="5" borderId="2" xfId="0" applyNumberFormat="1" applyFont="1" applyFill="1" applyBorder="1" applyAlignment="1">
      <alignment horizontal="left"/>
    </xf>
    <xf numFmtId="167" fontId="15" fillId="5" borderId="3" xfId="0" applyNumberFormat="1" applyFont="1" applyFill="1" applyBorder="1" applyAlignment="1">
      <alignment horizontal="center"/>
    </xf>
    <xf numFmtId="167" fontId="15" fillId="5" borderId="4" xfId="0" applyNumberFormat="1" applyFont="1" applyFill="1" applyBorder="1" applyAlignment="1">
      <alignment horizontal="center"/>
    </xf>
    <xf numFmtId="178" fontId="14" fillId="5" borderId="6" xfId="1" applyNumberFormat="1" applyFont="1" applyFill="1" applyBorder="1" applyAlignment="1">
      <alignment horizontal="right"/>
    </xf>
    <xf numFmtId="5" fontId="18" fillId="5" borderId="5" xfId="0" applyNumberFormat="1" applyFont="1" applyFill="1" applyBorder="1"/>
    <xf numFmtId="179" fontId="14" fillId="5" borderId="0" xfId="0" applyNumberFormat="1" applyFont="1" applyFill="1" applyAlignment="1">
      <alignment horizontal="right"/>
    </xf>
    <xf numFmtId="179" fontId="14" fillId="5" borderId="6" xfId="0" applyNumberFormat="1" applyFont="1" applyFill="1" applyBorder="1" applyAlignment="1">
      <alignment horizontal="right"/>
    </xf>
    <xf numFmtId="177" fontId="14" fillId="5" borderId="6" xfId="0" applyNumberFormat="1" applyFont="1" applyFill="1" applyBorder="1" applyAlignment="1">
      <alignment horizontal="right"/>
    </xf>
    <xf numFmtId="5" fontId="14" fillId="5" borderId="7" xfId="0" applyNumberFormat="1" applyFont="1" applyFill="1" applyBorder="1" applyAlignment="1">
      <alignment horizontal="right"/>
    </xf>
    <xf numFmtId="167" fontId="15" fillId="5" borderId="2" xfId="0" applyNumberFormat="1" applyFont="1" applyFill="1" applyBorder="1" applyAlignment="1">
      <alignment horizontal="center"/>
    </xf>
    <xf numFmtId="178" fontId="14" fillId="5" borderId="5" xfId="1" applyNumberFormat="1" applyFont="1" applyFill="1" applyBorder="1" applyAlignment="1">
      <alignment horizontal="right"/>
    </xf>
    <xf numFmtId="173" fontId="14" fillId="5" borderId="5" xfId="1" applyNumberFormat="1" applyFont="1" applyFill="1" applyBorder="1" applyAlignment="1">
      <alignment horizontal="right"/>
    </xf>
    <xf numFmtId="179" fontId="14" fillId="5" borderId="5" xfId="0" applyNumberFormat="1" applyFont="1" applyFill="1" applyBorder="1" applyAlignment="1">
      <alignment horizontal="right"/>
    </xf>
    <xf numFmtId="177" fontId="14" fillId="5" borderId="5" xfId="0" applyNumberFormat="1" applyFont="1" applyFill="1" applyBorder="1" applyAlignment="1">
      <alignment horizontal="right"/>
    </xf>
    <xf numFmtId="5" fontId="31" fillId="5" borderId="3" xfId="0" applyNumberFormat="1" applyFont="1" applyFill="1" applyBorder="1"/>
    <xf numFmtId="5" fontId="31" fillId="5" borderId="0" xfId="0" applyNumberFormat="1" applyFont="1" applyFill="1"/>
    <xf numFmtId="5" fontId="18" fillId="5" borderId="5" xfId="0" applyNumberFormat="1" applyFont="1" applyFill="1" applyBorder="1" applyAlignment="1">
      <alignment horizontal="right"/>
    </xf>
    <xf numFmtId="5" fontId="18" fillId="5" borderId="6" xfId="0" applyNumberFormat="1" applyFont="1" applyFill="1" applyBorder="1" applyAlignment="1">
      <alignment horizontal="right"/>
    </xf>
    <xf numFmtId="5" fontId="18" fillId="5" borderId="5" xfId="1" applyNumberFormat="1" applyFont="1" applyFill="1" applyBorder="1" applyAlignment="1">
      <alignment horizontal="right"/>
    </xf>
    <xf numFmtId="5" fontId="18" fillId="5" borderId="6" xfId="1" applyNumberFormat="1" applyFont="1" applyFill="1" applyBorder="1" applyAlignment="1">
      <alignment horizontal="right"/>
    </xf>
    <xf numFmtId="5" fontId="28" fillId="5" borderId="5" xfId="1" applyNumberFormat="1" applyFont="1" applyFill="1" applyBorder="1" applyAlignment="1">
      <alignment horizontal="right"/>
    </xf>
    <xf numFmtId="5" fontId="28" fillId="5" borderId="6" xfId="1" applyNumberFormat="1" applyFont="1" applyFill="1" applyBorder="1" applyAlignment="1">
      <alignment horizontal="right"/>
    </xf>
    <xf numFmtId="5" fontId="14" fillId="7" borderId="62" xfId="0" applyNumberFormat="1" applyFont="1" applyFill="1" applyBorder="1" applyAlignment="1">
      <alignment horizontal="right"/>
    </xf>
    <xf numFmtId="5" fontId="14" fillId="7" borderId="62" xfId="1" applyNumberFormat="1" applyFont="1" applyFill="1" applyBorder="1" applyAlignment="1">
      <alignment horizontal="right"/>
    </xf>
    <xf numFmtId="5" fontId="14" fillId="5" borderId="65" xfId="0" applyNumberFormat="1" applyFont="1" applyFill="1" applyBorder="1" applyAlignment="1">
      <alignment horizontal="right"/>
    </xf>
    <xf numFmtId="174" fontId="14" fillId="5" borderId="62" xfId="0" applyNumberFormat="1" applyFont="1" applyFill="1" applyBorder="1" applyAlignment="1">
      <alignment horizontal="right"/>
    </xf>
    <xf numFmtId="174" fontId="14" fillId="5" borderId="62" xfId="1" applyNumberFormat="1" applyFont="1" applyFill="1" applyBorder="1" applyAlignment="1">
      <alignment horizontal="right"/>
    </xf>
    <xf numFmtId="174" fontId="14" fillId="5" borderId="63" xfId="1" applyNumberFormat="1" applyFont="1" applyFill="1" applyBorder="1" applyAlignment="1">
      <alignment horizontal="right"/>
    </xf>
    <xf numFmtId="37" fontId="14" fillId="7" borderId="5" xfId="0" applyNumberFormat="1" applyFont="1" applyFill="1" applyBorder="1" applyAlignment="1">
      <alignment horizontal="left"/>
    </xf>
    <xf numFmtId="5" fontId="14" fillId="7" borderId="0" xfId="0" applyNumberFormat="1" applyFont="1" applyFill="1" applyAlignment="1">
      <alignment horizontal="right"/>
    </xf>
    <xf numFmtId="37" fontId="14" fillId="7" borderId="5" xfId="0" applyNumberFormat="1" applyFont="1" applyFill="1" applyBorder="1"/>
    <xf numFmtId="37" fontId="14" fillId="5" borderId="23" xfId="0" applyNumberFormat="1" applyFont="1" applyFill="1" applyBorder="1"/>
    <xf numFmtId="5" fontId="14" fillId="5" borderId="25" xfId="0" applyNumberFormat="1" applyFont="1" applyFill="1" applyBorder="1" applyAlignment="1">
      <alignment horizontal="right"/>
    </xf>
    <xf numFmtId="37" fontId="14" fillId="5" borderId="23" xfId="0" applyNumberFormat="1" applyFont="1" applyFill="1" applyBorder="1" applyAlignment="1">
      <alignment horizontal="left"/>
    </xf>
    <xf numFmtId="174" fontId="14" fillId="5" borderId="0" xfId="0" applyNumberFormat="1" applyFont="1" applyFill="1" applyAlignment="1">
      <alignment horizontal="right"/>
    </xf>
    <xf numFmtId="37" fontId="14" fillId="5" borderId="2" xfId="0" applyNumberFormat="1" applyFont="1" applyFill="1" applyBorder="1"/>
    <xf numFmtId="176" fontId="14" fillId="5" borderId="6" xfId="1" applyNumberFormat="1" applyFont="1" applyFill="1" applyBorder="1" applyAlignment="1">
      <alignment horizontal="right"/>
    </xf>
    <xf numFmtId="5" fontId="14" fillId="5" borderId="8" xfId="1" applyNumberFormat="1" applyFont="1" applyFill="1" applyBorder="1" applyAlignment="1">
      <alignment horizontal="right"/>
    </xf>
    <xf numFmtId="5" fontId="14" fillId="5" borderId="61" xfId="1" applyNumberFormat="1" applyFont="1" applyFill="1" applyBorder="1" applyAlignment="1">
      <alignment horizontal="right"/>
    </xf>
    <xf numFmtId="5" fontId="14" fillId="5" borderId="9" xfId="1" applyNumberFormat="1" applyFont="1" applyFill="1" applyBorder="1" applyAlignment="1">
      <alignment horizontal="right"/>
    </xf>
    <xf numFmtId="5" fontId="18" fillId="5" borderId="2" xfId="0" applyNumberFormat="1" applyFont="1" applyFill="1" applyBorder="1" applyAlignment="1">
      <alignment horizontal="left"/>
    </xf>
    <xf numFmtId="5" fontId="27" fillId="9" borderId="0" xfId="0" applyNumberFormat="1" applyFont="1" applyFill="1" applyAlignment="1">
      <alignment horizontal="right"/>
    </xf>
    <xf numFmtId="5" fontId="14" fillId="9" borderId="0" xfId="0" applyNumberFormat="1" applyFont="1" applyFill="1" applyAlignment="1">
      <alignment horizontal="right"/>
    </xf>
    <xf numFmtId="5" fontId="14" fillId="5" borderId="23" xfId="0" applyNumberFormat="1" applyFont="1" applyFill="1" applyBorder="1"/>
    <xf numFmtId="5" fontId="14" fillId="5" borderId="7" xfId="0" applyNumberFormat="1" applyFont="1" applyFill="1" applyBorder="1"/>
    <xf numFmtId="5" fontId="14" fillId="5" borderId="23" xfId="0" applyNumberFormat="1" applyFont="1" applyFill="1" applyBorder="1" applyAlignment="1">
      <alignment horizontal="right"/>
    </xf>
    <xf numFmtId="176" fontId="14" fillId="5" borderId="5" xfId="1" applyNumberFormat="1" applyFont="1" applyFill="1" applyBorder="1" applyAlignment="1">
      <alignment horizontal="right"/>
    </xf>
    <xf numFmtId="5" fontId="14" fillId="5" borderId="7" xfId="1" applyNumberFormat="1" applyFont="1" applyFill="1" applyBorder="1" applyAlignment="1">
      <alignment horizontal="right"/>
    </xf>
    <xf numFmtId="0" fontId="14" fillId="2" borderId="5" xfId="0" applyFont="1" applyFill="1" applyBorder="1"/>
    <xf numFmtId="169" fontId="15" fillId="3" borderId="66" xfId="0" applyNumberFormat="1" applyFont="1" applyFill="1" applyBorder="1" applyAlignment="1">
      <alignment horizontal="center"/>
    </xf>
    <xf numFmtId="0" fontId="39" fillId="5" borderId="5" xfId="0" applyFont="1" applyFill="1" applyBorder="1"/>
    <xf numFmtId="37" fontId="0" fillId="5" borderId="5" xfId="0" applyNumberFormat="1" applyFill="1" applyBorder="1" applyAlignment="1">
      <alignment horizontal="left" indent="1"/>
    </xf>
    <xf numFmtId="37" fontId="2" fillId="5" borderId="2" xfId="0" applyNumberFormat="1" applyFont="1" applyFill="1" applyBorder="1" applyAlignment="1">
      <alignment horizontal="left"/>
    </xf>
    <xf numFmtId="5" fontId="18" fillId="5" borderId="4" xfId="0" applyNumberFormat="1" applyFont="1" applyFill="1" applyBorder="1"/>
    <xf numFmtId="0" fontId="39" fillId="5" borderId="5" xfId="0" applyFont="1" applyFill="1" applyBorder="1" applyAlignment="1">
      <alignment horizontal="left"/>
    </xf>
    <xf numFmtId="5" fontId="18" fillId="5" borderId="4" xfId="1" applyNumberFormat="1" applyFont="1" applyFill="1" applyBorder="1" applyAlignment="1">
      <alignment horizontal="right"/>
    </xf>
    <xf numFmtId="0" fontId="2" fillId="5" borderId="5" xfId="0" applyFont="1" applyFill="1" applyBorder="1" applyAlignment="1">
      <alignment horizontal="left"/>
    </xf>
    <xf numFmtId="5" fontId="18" fillId="5" borderId="6" xfId="0" applyNumberFormat="1" applyFont="1" applyFill="1" applyBorder="1"/>
    <xf numFmtId="0" fontId="0" fillId="5" borderId="5" xfId="0" applyFill="1" applyBorder="1" applyAlignment="1">
      <alignment horizontal="left" indent="1"/>
    </xf>
    <xf numFmtId="37" fontId="2" fillId="5" borderId="2" xfId="0" applyNumberFormat="1" applyFont="1" applyFill="1" applyBorder="1"/>
    <xf numFmtId="0" fontId="2" fillId="5" borderId="2" xfId="0" applyFont="1" applyFill="1" applyBorder="1" applyAlignment="1">
      <alignment horizontal="left"/>
    </xf>
    <xf numFmtId="0" fontId="2" fillId="10" borderId="59" xfId="0" applyFont="1" applyFill="1" applyBorder="1"/>
    <xf numFmtId="5" fontId="18" fillId="10" borderId="60" xfId="0" applyNumberFormat="1" applyFont="1" applyFill="1" applyBorder="1"/>
    <xf numFmtId="5" fontId="14" fillId="5" borderId="62" xfId="0" applyNumberFormat="1" applyFont="1" applyFill="1" applyBorder="1"/>
    <xf numFmtId="5" fontId="14" fillId="5" borderId="62" xfId="1" applyNumberFormat="1" applyFont="1" applyFill="1" applyBorder="1" applyAlignment="1"/>
    <xf numFmtId="5" fontId="18" fillId="5" borderId="63" xfId="0" applyNumberFormat="1" applyFont="1" applyFill="1" applyBorder="1"/>
    <xf numFmtId="5" fontId="18" fillId="5" borderId="63" xfId="1" applyNumberFormat="1" applyFont="1" applyFill="1" applyBorder="1" applyAlignment="1">
      <alignment horizontal="right"/>
    </xf>
    <xf numFmtId="5" fontId="18" fillId="5" borderId="62" xfId="0" applyNumberFormat="1" applyFont="1" applyFill="1" applyBorder="1"/>
    <xf numFmtId="5" fontId="18" fillId="10" borderId="64" xfId="0" applyNumberFormat="1" applyFont="1" applyFill="1" applyBorder="1"/>
    <xf numFmtId="5" fontId="18" fillId="5" borderId="2" xfId="0" applyNumberFormat="1" applyFont="1" applyFill="1" applyBorder="1"/>
    <xf numFmtId="2" fontId="23" fillId="5" borderId="3" xfId="0" applyNumberFormat="1" applyFont="1" applyFill="1" applyBorder="1" applyAlignment="1">
      <alignment horizontal="right"/>
    </xf>
    <xf numFmtId="2" fontId="23" fillId="5" borderId="4" xfId="0" applyNumberFormat="1" applyFont="1" applyFill="1" applyBorder="1" applyAlignment="1">
      <alignment horizontal="right"/>
    </xf>
    <xf numFmtId="2" fontId="23" fillId="5" borderId="0" xfId="0" applyNumberFormat="1" applyFont="1" applyFill="1" applyAlignment="1">
      <alignment horizontal="right"/>
    </xf>
    <xf numFmtId="2" fontId="23" fillId="5" borderId="6" xfId="0" applyNumberFormat="1" applyFont="1" applyFill="1" applyBorder="1" applyAlignment="1">
      <alignment horizontal="right"/>
    </xf>
    <xf numFmtId="173" fontId="18" fillId="5" borderId="6" xfId="1" applyNumberFormat="1" applyFont="1" applyFill="1" applyBorder="1"/>
    <xf numFmtId="173" fontId="18" fillId="5" borderId="6" xfId="1" applyNumberFormat="1" applyFont="1" applyFill="1" applyBorder="1" applyAlignment="1">
      <alignment horizontal="right"/>
    </xf>
    <xf numFmtId="2" fontId="23" fillId="5" borderId="63" xfId="0" applyNumberFormat="1" applyFont="1" applyFill="1" applyBorder="1" applyAlignment="1">
      <alignment horizontal="right"/>
    </xf>
    <xf numFmtId="2" fontId="23" fillId="5" borderId="62" xfId="0" applyNumberFormat="1" applyFont="1" applyFill="1" applyBorder="1" applyAlignment="1">
      <alignment horizontal="right"/>
    </xf>
    <xf numFmtId="173" fontId="18" fillId="5" borderId="62" xfId="1" applyNumberFormat="1" applyFont="1" applyFill="1" applyBorder="1"/>
    <xf numFmtId="173" fontId="18" fillId="5" borderId="62" xfId="1" applyNumberFormat="1" applyFont="1" applyFill="1" applyBorder="1" applyAlignment="1">
      <alignment horizontal="right"/>
    </xf>
    <xf numFmtId="5" fontId="18" fillId="5" borderId="7" xfId="0" applyNumberFormat="1" applyFont="1" applyFill="1" applyBorder="1"/>
    <xf numFmtId="5" fontId="14" fillId="5" borderId="61" xfId="0" applyNumberFormat="1" applyFont="1" applyFill="1" applyBorder="1"/>
    <xf numFmtId="5" fontId="14" fillId="5" borderId="5" xfId="1" applyNumberFormat="1" applyFont="1" applyFill="1" applyBorder="1" applyAlignment="1"/>
    <xf numFmtId="5" fontId="18" fillId="5" borderId="2" xfId="1" applyNumberFormat="1" applyFont="1" applyFill="1" applyBorder="1" applyAlignment="1">
      <alignment horizontal="right"/>
    </xf>
    <xf numFmtId="5" fontId="18" fillId="10" borderId="59" xfId="0" applyNumberFormat="1" applyFont="1" applyFill="1" applyBorder="1"/>
    <xf numFmtId="2" fontId="23" fillId="5" borderId="2" xfId="0" applyNumberFormat="1" applyFont="1" applyFill="1" applyBorder="1" applyAlignment="1">
      <alignment horizontal="right"/>
    </xf>
    <xf numFmtId="2" fontId="23" fillId="5" borderId="5" xfId="0" applyNumberFormat="1" applyFont="1" applyFill="1" applyBorder="1" applyAlignment="1">
      <alignment horizontal="right"/>
    </xf>
    <xf numFmtId="173" fontId="18" fillId="5" borderId="5" xfId="1" applyNumberFormat="1" applyFont="1" applyFill="1" applyBorder="1" applyAlignment="1">
      <alignment horizontal="right"/>
    </xf>
    <xf numFmtId="180" fontId="18" fillId="5" borderId="3" xfId="0" applyNumberFormat="1" applyFont="1" applyFill="1" applyBorder="1" applyAlignment="1">
      <alignment horizontal="right"/>
    </xf>
    <xf numFmtId="180" fontId="18" fillId="5" borderId="4" xfId="0" applyNumberFormat="1" applyFont="1" applyFill="1" applyBorder="1" applyAlignment="1">
      <alignment horizontal="right"/>
    </xf>
    <xf numFmtId="5" fontId="31" fillId="5" borderId="5" xfId="0" applyNumberFormat="1" applyFont="1" applyFill="1" applyBorder="1" applyAlignment="1">
      <alignment horizontal="left" indent="1"/>
    </xf>
    <xf numFmtId="180" fontId="18" fillId="5" borderId="0" xfId="0" applyNumberFormat="1" applyFont="1" applyFill="1" applyAlignment="1">
      <alignment horizontal="right"/>
    </xf>
    <xf numFmtId="180" fontId="18" fillId="5" borderId="6" xfId="0" applyNumberFormat="1" applyFont="1" applyFill="1" applyBorder="1" applyAlignment="1">
      <alignment horizontal="right"/>
    </xf>
    <xf numFmtId="5" fontId="14" fillId="5" borderId="5" xfId="0" applyNumberFormat="1" applyFont="1" applyFill="1" applyBorder="1" applyAlignment="1">
      <alignment horizontal="left" indent="2"/>
    </xf>
    <xf numFmtId="180" fontId="14" fillId="5" borderId="6" xfId="0" applyNumberFormat="1" applyFont="1" applyFill="1" applyBorder="1" applyAlignment="1">
      <alignment horizontal="right"/>
    </xf>
    <xf numFmtId="180" fontId="14" fillId="5" borderId="6" xfId="1" applyNumberFormat="1" applyFont="1" applyFill="1" applyBorder="1" applyAlignment="1">
      <alignment horizontal="right"/>
    </xf>
    <xf numFmtId="180" fontId="14" fillId="5" borderId="8" xfId="0" applyNumberFormat="1" applyFont="1" applyFill="1" applyBorder="1" applyAlignment="1">
      <alignment horizontal="right"/>
    </xf>
    <xf numFmtId="180" fontId="14" fillId="5" borderId="9" xfId="0" applyNumberFormat="1" applyFont="1" applyFill="1" applyBorder="1" applyAlignment="1">
      <alignment horizontal="right"/>
    </xf>
    <xf numFmtId="180" fontId="18" fillId="5" borderId="63" xfId="0" applyNumberFormat="1" applyFont="1" applyFill="1" applyBorder="1" applyAlignment="1">
      <alignment horizontal="right"/>
    </xf>
    <xf numFmtId="180" fontId="18" fillId="5" borderId="62" xfId="0" applyNumberFormat="1" applyFont="1" applyFill="1" applyBorder="1" applyAlignment="1">
      <alignment horizontal="right"/>
    </xf>
    <xf numFmtId="180" fontId="14" fillId="5" borderId="62" xfId="0" applyNumberFormat="1" applyFont="1" applyFill="1" applyBorder="1" applyAlignment="1">
      <alignment horizontal="right"/>
    </xf>
    <xf numFmtId="180" fontId="14" fillId="5" borderId="62" xfId="1" applyNumberFormat="1" applyFont="1" applyFill="1" applyBorder="1" applyAlignment="1">
      <alignment horizontal="right"/>
    </xf>
    <xf numFmtId="180" fontId="14" fillId="5" borderId="61" xfId="0" applyNumberFormat="1" applyFont="1" applyFill="1" applyBorder="1" applyAlignment="1">
      <alignment horizontal="right"/>
    </xf>
    <xf numFmtId="5" fontId="14" fillId="11" borderId="3" xfId="0" applyNumberFormat="1" applyFont="1" applyFill="1" applyBorder="1"/>
    <xf numFmtId="5" fontId="14" fillId="11" borderId="0" xfId="0" applyNumberFormat="1" applyFont="1" applyFill="1"/>
    <xf numFmtId="180" fontId="18" fillId="5" borderId="2" xfId="0" applyNumberFormat="1" applyFont="1" applyFill="1" applyBorder="1" applyAlignment="1">
      <alignment horizontal="right"/>
    </xf>
    <xf numFmtId="180" fontId="18" fillId="5" borderId="5" xfId="0" applyNumberFormat="1" applyFont="1" applyFill="1" applyBorder="1" applyAlignment="1">
      <alignment horizontal="right"/>
    </xf>
    <xf numFmtId="180" fontId="14" fillId="5" borderId="5" xfId="0" applyNumberFormat="1" applyFont="1" applyFill="1" applyBorder="1" applyAlignment="1">
      <alignment horizontal="right"/>
    </xf>
    <xf numFmtId="180" fontId="14" fillId="5" borderId="5" xfId="1" applyNumberFormat="1" applyFont="1" applyFill="1" applyBorder="1" applyAlignment="1">
      <alignment horizontal="right"/>
    </xf>
    <xf numFmtId="173" fontId="14" fillId="5" borderId="6" xfId="1" applyNumberFormat="1" applyFont="1" applyFill="1" applyBorder="1"/>
    <xf numFmtId="5" fontId="14" fillId="5" borderId="5" xfId="0" applyNumberFormat="1" applyFont="1" applyFill="1" applyBorder="1" applyAlignment="1">
      <alignment horizontal="left"/>
    </xf>
    <xf numFmtId="5" fontId="14" fillId="5" borderId="63" xfId="0" applyNumberFormat="1" applyFont="1" applyFill="1" applyBorder="1"/>
    <xf numFmtId="173" fontId="14" fillId="5" borderId="62" xfId="1" applyNumberFormat="1" applyFont="1" applyFill="1" applyBorder="1"/>
    <xf numFmtId="5" fontId="14" fillId="5" borderId="5" xfId="1" applyNumberFormat="1" applyFont="1" applyFill="1" applyBorder="1" applyAlignment="1">
      <alignment horizontal="left"/>
    </xf>
    <xf numFmtId="5" fontId="14" fillId="5" borderId="2" xfId="0" applyNumberFormat="1" applyFont="1" applyFill="1" applyBorder="1"/>
    <xf numFmtId="173" fontId="14" fillId="5" borderId="5" xfId="1" applyNumberFormat="1" applyFont="1" applyFill="1" applyBorder="1"/>
    <xf numFmtId="5" fontId="18" fillId="5" borderId="0" xfId="1" applyNumberFormat="1" applyFont="1" applyFill="1" applyBorder="1" applyAlignment="1">
      <alignment horizontal="right"/>
    </xf>
    <xf numFmtId="5" fontId="39" fillId="5" borderId="0" xfId="0" applyNumberFormat="1" applyFont="1" applyFill="1"/>
    <xf numFmtId="5" fontId="0" fillId="5" borderId="0" xfId="0" applyNumberFormat="1" applyFill="1" applyAlignment="1">
      <alignment horizontal="left" indent="1"/>
    </xf>
    <xf numFmtId="5" fontId="2" fillId="5" borderId="0" xfId="0" applyNumberFormat="1" applyFont="1" applyFill="1" applyAlignment="1">
      <alignment horizontal="left"/>
    </xf>
    <xf numFmtId="5" fontId="39" fillId="5" borderId="0" xfId="0" applyNumberFormat="1" applyFont="1" applyFill="1" applyAlignment="1">
      <alignment horizontal="left"/>
    </xf>
    <xf numFmtId="5" fontId="2" fillId="5" borderId="0" xfId="0" applyNumberFormat="1" applyFont="1" applyFill="1"/>
    <xf numFmtId="5" fontId="23" fillId="5" borderId="0" xfId="0" applyNumberFormat="1" applyFont="1" applyFill="1" applyAlignment="1">
      <alignment horizontal="right"/>
    </xf>
    <xf numFmtId="5" fontId="18" fillId="5" borderId="0" xfId="1" applyNumberFormat="1" applyFont="1" applyFill="1" applyBorder="1"/>
    <xf numFmtId="5" fontId="18" fillId="5" borderId="0" xfId="0" applyNumberFormat="1" applyFont="1" applyFill="1" applyAlignment="1">
      <alignment horizontal="right"/>
    </xf>
    <xf numFmtId="183" fontId="31" fillId="5" borderId="0" xfId="0" applyNumberFormat="1" applyFont="1" applyFill="1"/>
    <xf numFmtId="183" fontId="14" fillId="5" borderId="0" xfId="0" applyNumberFormat="1" applyFont="1" applyFill="1"/>
    <xf numFmtId="183" fontId="14" fillId="5" borderId="0" xfId="1" applyNumberFormat="1" applyFont="1" applyFill="1" applyBorder="1"/>
    <xf numFmtId="183" fontId="14" fillId="5" borderId="0" xfId="1" applyNumberFormat="1" applyFont="1" applyFill="1" applyBorder="1" applyAlignment="1">
      <alignment horizontal="right"/>
    </xf>
    <xf numFmtId="183" fontId="14" fillId="5" borderId="0" xfId="0" applyNumberFormat="1" applyFont="1" applyFill="1" applyAlignment="1">
      <alignment horizontal="left"/>
    </xf>
    <xf numFmtId="183" fontId="14" fillId="5" borderId="0" xfId="1" applyNumberFormat="1" applyFont="1" applyFill="1" applyBorder="1" applyAlignment="1">
      <alignment horizontal="left"/>
    </xf>
    <xf numFmtId="183" fontId="14" fillId="5" borderId="0" xfId="0" applyNumberFormat="1" applyFont="1" applyFill="1" applyAlignment="1">
      <alignment horizontal="right"/>
    </xf>
    <xf numFmtId="183" fontId="14" fillId="5" borderId="0" xfId="0" applyNumberFormat="1" applyFont="1" applyFill="1" applyAlignment="1">
      <alignment horizontal="left" indent="1"/>
    </xf>
    <xf numFmtId="183" fontId="18" fillId="5" borderId="0" xfId="0" applyNumberFormat="1" applyFont="1" applyFill="1"/>
    <xf numFmtId="183" fontId="18" fillId="5" borderId="0" xfId="1" applyNumberFormat="1" applyFont="1" applyFill="1" applyBorder="1" applyAlignment="1">
      <alignment horizontal="right"/>
    </xf>
    <xf numFmtId="0" fontId="35" fillId="5" borderId="0" xfId="0" applyFont="1" applyFill="1" applyAlignment="1">
      <alignment horizontal="center" vertical="center" wrapText="1"/>
    </xf>
    <xf numFmtId="37" fontId="14" fillId="13" borderId="5" xfId="1" applyNumberFormat="1" applyFont="1" applyFill="1" applyBorder="1" applyAlignment="1">
      <alignment horizontal="left" indent="1"/>
    </xf>
    <xf numFmtId="37" fontId="14" fillId="13" borderId="5" xfId="0" applyNumberFormat="1" applyFont="1" applyFill="1" applyBorder="1" applyAlignment="1">
      <alignment horizontal="left" indent="1"/>
    </xf>
    <xf numFmtId="39" fontId="14" fillId="5" borderId="0" xfId="0" applyNumberFormat="1" applyFont="1" applyFill="1" applyAlignment="1">
      <alignment horizontal="right"/>
    </xf>
    <xf numFmtId="39" fontId="14" fillId="5" borderId="6" xfId="0" applyNumberFormat="1" applyFont="1" applyFill="1" applyBorder="1" applyAlignment="1">
      <alignment horizontal="right"/>
    </xf>
    <xf numFmtId="173" fontId="14" fillId="5" borderId="8" xfId="1" applyNumberFormat="1" applyFont="1" applyFill="1" applyBorder="1" applyAlignment="1">
      <alignment horizontal="right"/>
    </xf>
    <xf numFmtId="39" fontId="14" fillId="5" borderId="5" xfId="0" applyNumberFormat="1" applyFont="1" applyFill="1" applyBorder="1"/>
    <xf numFmtId="173" fontId="14" fillId="5" borderId="9" xfId="1" applyNumberFormat="1" applyFont="1" applyFill="1" applyBorder="1" applyAlignment="1">
      <alignment horizontal="right"/>
    </xf>
    <xf numFmtId="39" fontId="14" fillId="5" borderId="5" xfId="0" applyNumberFormat="1" applyFont="1" applyFill="1" applyBorder="1" applyAlignment="1">
      <alignment horizontal="right"/>
    </xf>
    <xf numFmtId="173" fontId="14" fillId="5" borderId="7" xfId="1" applyNumberFormat="1" applyFont="1" applyFill="1" applyBorder="1" applyAlignment="1">
      <alignment horizontal="right"/>
    </xf>
    <xf numFmtId="39" fontId="14" fillId="5" borderId="62" xfId="0" applyNumberFormat="1" applyFont="1" applyFill="1" applyBorder="1" applyAlignment="1">
      <alignment horizontal="right"/>
    </xf>
    <xf numFmtId="173" fontId="14" fillId="5" borderId="61" xfId="1" applyNumberFormat="1" applyFont="1" applyFill="1" applyBorder="1" applyAlignment="1">
      <alignment horizontal="right"/>
    </xf>
    <xf numFmtId="173" fontId="14" fillId="5" borderId="0" xfId="0" applyNumberFormat="1" applyFont="1" applyFill="1" applyAlignment="1">
      <alignment horizontal="right"/>
    </xf>
    <xf numFmtId="37" fontId="18" fillId="5" borderId="2" xfId="0" applyNumberFormat="1" applyFont="1" applyFill="1" applyBorder="1"/>
    <xf numFmtId="5" fontId="0" fillId="5" borderId="0" xfId="0" applyNumberFormat="1" applyFill="1"/>
    <xf numFmtId="5" fontId="0" fillId="5" borderId="0" xfId="0" applyNumberFormat="1" applyFill="1" applyAlignment="1">
      <alignment horizontal="left"/>
    </xf>
    <xf numFmtId="5" fontId="31" fillId="5" borderId="0" xfId="1" applyNumberFormat="1" applyFont="1" applyFill="1" applyBorder="1" applyAlignment="1"/>
    <xf numFmtId="10" fontId="14" fillId="5" borderId="0" xfId="0" applyNumberFormat="1" applyFont="1" applyFill="1"/>
    <xf numFmtId="7" fontId="14" fillId="5" borderId="0" xfId="0" applyNumberFormat="1" applyFont="1" applyFill="1"/>
    <xf numFmtId="0" fontId="35" fillId="5" borderId="0" xfId="0" applyFont="1" applyFill="1" applyAlignment="1">
      <alignment vertical="center" wrapText="1"/>
    </xf>
    <xf numFmtId="184" fontId="14" fillId="5" borderId="0" xfId="0" applyNumberFormat="1" applyFont="1" applyFill="1" applyAlignment="1">
      <alignment horizontal="right"/>
    </xf>
    <xf numFmtId="7" fontId="18" fillId="5" borderId="0" xfId="0" applyNumberFormat="1" applyFont="1" applyFill="1"/>
    <xf numFmtId="5" fontId="28" fillId="5" borderId="0" xfId="0" applyNumberFormat="1" applyFont="1" applyFill="1" applyAlignment="1">
      <alignment horizontal="right"/>
    </xf>
    <xf numFmtId="5" fontId="14" fillId="5" borderId="0" xfId="1" applyNumberFormat="1" applyFont="1" applyFill="1" applyBorder="1"/>
    <xf numFmtId="173" fontId="14" fillId="5" borderId="3" xfId="1" applyNumberFormat="1" applyFont="1" applyFill="1" applyBorder="1" applyAlignment="1">
      <alignment horizontal="right"/>
    </xf>
    <xf numFmtId="173" fontId="14" fillId="5" borderId="4" xfId="1" applyNumberFormat="1" applyFont="1" applyFill="1" applyBorder="1" applyAlignment="1">
      <alignment horizontal="right"/>
    </xf>
    <xf numFmtId="5" fontId="14" fillId="0" borderId="6" xfId="0" applyNumberFormat="1" applyFont="1" applyBorder="1" applyAlignment="1">
      <alignment horizontal="right"/>
    </xf>
    <xf numFmtId="7" fontId="14" fillId="0" borderId="0" xfId="0" applyNumberFormat="1" applyFont="1" applyAlignment="1">
      <alignment horizontal="right"/>
    </xf>
    <xf numFmtId="7" fontId="14" fillId="0" borderId="62" xfId="0" applyNumberFormat="1" applyFont="1" applyBorder="1" applyAlignment="1">
      <alignment horizontal="right"/>
    </xf>
    <xf numFmtId="7" fontId="14" fillId="0" borderId="6" xfId="0" applyNumberFormat="1" applyFont="1" applyBorder="1" applyAlignment="1">
      <alignment horizontal="right"/>
    </xf>
    <xf numFmtId="174" fontId="14" fillId="5" borderId="0" xfId="0" applyNumberFormat="1" applyFont="1" applyFill="1"/>
    <xf numFmtId="174" fontId="14" fillId="5" borderId="0" xfId="1" applyNumberFormat="1" applyFont="1" applyFill="1" applyBorder="1" applyAlignment="1"/>
    <xf numFmtId="5" fontId="14" fillId="0" borderId="0" xfId="1" applyNumberFormat="1" applyFont="1" applyFill="1" applyBorder="1"/>
    <xf numFmtId="5" fontId="14" fillId="0" borderId="0" xfId="1" applyNumberFormat="1" applyFont="1" applyFill="1" applyBorder="1" applyAlignment="1">
      <alignment horizontal="right"/>
    </xf>
    <xf numFmtId="5" fontId="14" fillId="0" borderId="0" xfId="1" applyNumberFormat="1" applyFont="1" applyFill="1" applyBorder="1" applyAlignment="1"/>
    <xf numFmtId="5" fontId="14" fillId="0" borderId="0" xfId="0" applyNumberFormat="1" applyFont="1" applyAlignment="1">
      <alignment horizontal="left" indent="1"/>
    </xf>
    <xf numFmtId="5" fontId="8" fillId="0" borderId="0" xfId="0" applyNumberFormat="1" applyFont="1" applyAlignment="1">
      <alignment horizontal="right"/>
    </xf>
    <xf numFmtId="170" fontId="15" fillId="2" borderId="0" xfId="0" applyNumberFormat="1" applyFont="1" applyFill="1" applyAlignment="1">
      <alignment horizontal="center"/>
    </xf>
    <xf numFmtId="9" fontId="14" fillId="5" borderId="0" xfId="1" applyFont="1" applyFill="1" applyBorder="1"/>
    <xf numFmtId="173" fontId="14" fillId="5" borderId="0" xfId="1" applyNumberFormat="1" applyFont="1" applyFill="1" applyBorder="1" applyAlignment="1"/>
    <xf numFmtId="0" fontId="12" fillId="0" borderId="0" xfId="0" applyFont="1"/>
    <xf numFmtId="0" fontId="13" fillId="0" borderId="22" xfId="0" applyFont="1" applyBorder="1"/>
    <xf numFmtId="167" fontId="15" fillId="0" borderId="0" xfId="0" applyNumberFormat="1" applyFont="1" applyAlignment="1">
      <alignment horizontal="center"/>
    </xf>
    <xf numFmtId="167" fontId="15" fillId="0" borderId="19" xfId="0" applyNumberFormat="1" applyFont="1" applyBorder="1" applyAlignment="1">
      <alignment horizontal="center"/>
    </xf>
    <xf numFmtId="167" fontId="15" fillId="0" borderId="20" xfId="0" applyNumberFormat="1" applyFont="1" applyBorder="1" applyAlignment="1">
      <alignment horizontal="center"/>
    </xf>
    <xf numFmtId="174" fontId="18" fillId="5" borderId="24" xfId="0" applyNumberFormat="1" applyFont="1" applyFill="1" applyBorder="1"/>
    <xf numFmtId="174" fontId="14" fillId="5" borderId="24" xfId="1" applyNumberFormat="1" applyFont="1" applyFill="1" applyBorder="1" applyAlignment="1"/>
    <xf numFmtId="5" fontId="14" fillId="5" borderId="24" xfId="1" applyNumberFormat="1" applyFont="1" applyFill="1" applyBorder="1" applyAlignment="1"/>
    <xf numFmtId="5" fontId="14" fillId="5" borderId="24" xfId="0" applyNumberFormat="1" applyFont="1" applyFill="1" applyBorder="1"/>
    <xf numFmtId="5" fontId="12" fillId="5" borderId="0" xfId="0" applyNumberFormat="1" applyFont="1" applyFill="1"/>
    <xf numFmtId="5" fontId="33" fillId="5" borderId="0" xfId="0" applyNumberFormat="1" applyFont="1" applyFill="1"/>
    <xf numFmtId="0" fontId="13" fillId="5" borderId="0" xfId="0" applyFont="1" applyFill="1" applyAlignment="1">
      <alignment horizontal="right"/>
    </xf>
    <xf numFmtId="5" fontId="37" fillId="5" borderId="0" xfId="0" applyNumberFormat="1" applyFont="1" applyFill="1"/>
    <xf numFmtId="5" fontId="34" fillId="5" borderId="0" xfId="0" applyNumberFormat="1" applyFont="1" applyFill="1"/>
    <xf numFmtId="170" fontId="15" fillId="5" borderId="0" xfId="0" applyNumberFormat="1" applyFont="1" applyFill="1" applyAlignment="1">
      <alignment horizontal="center"/>
    </xf>
    <xf numFmtId="169" fontId="15" fillId="14" borderId="0" xfId="0" applyNumberFormat="1" applyFont="1" applyFill="1" applyAlignment="1">
      <alignment horizontal="center"/>
    </xf>
    <xf numFmtId="169" fontId="15" fillId="5" borderId="0" xfId="0" applyNumberFormat="1" applyFont="1" applyFill="1" applyAlignment="1">
      <alignment horizontal="center"/>
    </xf>
    <xf numFmtId="167" fontId="15" fillId="5" borderId="0" xfId="0" applyNumberFormat="1" applyFont="1" applyFill="1" applyAlignment="1">
      <alignment horizontal="center"/>
    </xf>
    <xf numFmtId="5" fontId="14" fillId="2" borderId="19" xfId="0" applyNumberFormat="1" applyFont="1" applyFill="1" applyBorder="1"/>
    <xf numFmtId="5" fontId="32" fillId="5" borderId="0" xfId="0" applyNumberFormat="1" applyFont="1" applyFill="1"/>
    <xf numFmtId="5" fontId="33" fillId="5" borderId="0" xfId="0" applyNumberFormat="1" applyFont="1" applyFill="1" applyAlignment="1">
      <alignment horizontal="right"/>
    </xf>
    <xf numFmtId="5" fontId="38" fillId="5" borderId="0" xfId="0" applyNumberFormat="1" applyFont="1" applyFill="1"/>
    <xf numFmtId="5" fontId="18" fillId="15" borderId="2" xfId="0" applyNumberFormat="1" applyFont="1" applyFill="1" applyBorder="1"/>
    <xf numFmtId="7" fontId="18" fillId="6" borderId="2" xfId="0" applyNumberFormat="1" applyFont="1" applyFill="1" applyBorder="1"/>
    <xf numFmtId="7" fontId="18" fillId="6" borderId="3" xfId="0" applyNumberFormat="1" applyFont="1" applyFill="1" applyBorder="1"/>
    <xf numFmtId="180" fontId="33" fillId="3" borderId="4" xfId="1" applyNumberFormat="1" applyFont="1" applyFill="1" applyBorder="1" applyAlignment="1">
      <alignment horizontal="right"/>
    </xf>
    <xf numFmtId="37" fontId="28" fillId="0" borderId="0" xfId="1" applyNumberFormat="1" applyFont="1" applyFill="1" applyBorder="1" applyAlignment="1">
      <alignment horizontal="left" indent="2"/>
    </xf>
    <xf numFmtId="7" fontId="28" fillId="0" borderId="2" xfId="1" applyNumberFormat="1" applyFont="1" applyFill="1" applyBorder="1" applyAlignment="1">
      <alignment horizontal="left"/>
    </xf>
    <xf numFmtId="7" fontId="28" fillId="0" borderId="5" xfId="1" applyNumberFormat="1" applyFont="1" applyFill="1" applyBorder="1" applyAlignment="1">
      <alignment horizontal="left"/>
    </xf>
    <xf numFmtId="7" fontId="28" fillId="0" borderId="7" xfId="1" applyNumberFormat="1" applyFont="1" applyFill="1" applyBorder="1" applyAlignment="1">
      <alignment horizontal="left"/>
    </xf>
    <xf numFmtId="173" fontId="18" fillId="0" borderId="4" xfId="1" applyNumberFormat="1" applyFont="1" applyBorder="1"/>
    <xf numFmtId="173" fontId="18" fillId="0" borderId="6" xfId="1" applyNumberFormat="1" applyFont="1" applyBorder="1"/>
    <xf numFmtId="173" fontId="18" fillId="0" borderId="9" xfId="1" applyNumberFormat="1" applyFont="1" applyBorder="1"/>
    <xf numFmtId="37" fontId="34" fillId="3" borderId="0" xfId="0" applyNumberFormat="1" applyFont="1" applyFill="1" applyAlignment="1">
      <alignment horizontal="left"/>
    </xf>
    <xf numFmtId="37" fontId="23" fillId="3" borderId="0" xfId="0" applyNumberFormat="1" applyFont="1" applyFill="1" applyAlignment="1">
      <alignment horizontal="right"/>
    </xf>
    <xf numFmtId="37" fontId="23" fillId="2" borderId="0" xfId="0" applyNumberFormat="1" applyFont="1" applyFill="1" applyAlignment="1">
      <alignment horizontal="right"/>
    </xf>
    <xf numFmtId="37" fontId="23" fillId="16" borderId="0" xfId="0" applyNumberFormat="1" applyFont="1" applyFill="1" applyAlignment="1">
      <alignment horizontal="right"/>
    </xf>
    <xf numFmtId="7" fontId="23" fillId="6" borderId="56" xfId="1" applyNumberFormat="1" applyFont="1" applyFill="1" applyBorder="1" applyAlignment="1">
      <alignment horizontal="left" indent="1"/>
    </xf>
    <xf numFmtId="173" fontId="23" fillId="6" borderId="3" xfId="1" applyNumberFormat="1" applyFont="1" applyFill="1" applyBorder="1" applyAlignment="1">
      <alignment horizontal="right"/>
    </xf>
    <xf numFmtId="173" fontId="23" fillId="6" borderId="4" xfId="1" applyNumberFormat="1" applyFont="1" applyFill="1" applyBorder="1" applyAlignment="1">
      <alignment horizontal="right"/>
    </xf>
    <xf numFmtId="7" fontId="23" fillId="6" borderId="3" xfId="1" applyNumberFormat="1" applyFont="1" applyFill="1" applyBorder="1" applyAlignment="1">
      <alignment horizontal="right"/>
    </xf>
    <xf numFmtId="5" fontId="34" fillId="2" borderId="42" xfId="0" applyNumberFormat="1" applyFont="1" applyFill="1" applyBorder="1"/>
    <xf numFmtId="7" fontId="28" fillId="0" borderId="0" xfId="1" applyNumberFormat="1" applyFont="1" applyFill="1" applyBorder="1" applyAlignment="1">
      <alignment horizontal="left" indent="2"/>
    </xf>
    <xf numFmtId="7" fontId="14" fillId="5" borderId="0" xfId="1" applyNumberFormat="1" applyFont="1" applyFill="1" applyBorder="1" applyAlignment="1">
      <alignment horizontal="right"/>
    </xf>
    <xf numFmtId="37" fontId="34" fillId="5" borderId="0" xfId="0" applyNumberFormat="1" applyFont="1" applyFill="1" applyAlignment="1">
      <alignment horizontal="left"/>
    </xf>
    <xf numFmtId="37" fontId="23" fillId="5" borderId="0" xfId="0" applyNumberFormat="1" applyFont="1" applyFill="1" applyAlignment="1">
      <alignment horizontal="right"/>
    </xf>
    <xf numFmtId="37" fontId="34" fillId="3" borderId="36" xfId="0" applyNumberFormat="1" applyFont="1" applyFill="1" applyBorder="1" applyAlignment="1">
      <alignment horizontal="left"/>
    </xf>
    <xf numFmtId="37" fontId="23" fillId="2" borderId="67" xfId="0" applyNumberFormat="1" applyFont="1" applyFill="1" applyBorder="1" applyAlignment="1">
      <alignment horizontal="right"/>
    </xf>
    <xf numFmtId="37" fontId="34" fillId="2" borderId="67" xfId="0" applyNumberFormat="1" applyFont="1" applyFill="1" applyBorder="1" applyAlignment="1">
      <alignment horizontal="left"/>
    </xf>
    <xf numFmtId="37" fontId="34" fillId="3" borderId="67" xfId="0" applyNumberFormat="1" applyFont="1" applyFill="1" applyBorder="1" applyAlignment="1">
      <alignment horizontal="right"/>
    </xf>
    <xf numFmtId="37" fontId="23" fillId="4" borderId="67" xfId="0" applyNumberFormat="1" applyFont="1" applyFill="1" applyBorder="1" applyAlignment="1">
      <alignment horizontal="right"/>
    </xf>
    <xf numFmtId="5" fontId="14" fillId="2" borderId="67" xfId="0" applyNumberFormat="1" applyFont="1" applyFill="1" applyBorder="1"/>
    <xf numFmtId="5" fontId="14" fillId="3" borderId="67" xfId="0" applyNumberFormat="1" applyFont="1" applyFill="1" applyBorder="1"/>
    <xf numFmtId="5" fontId="34" fillId="2" borderId="67" xfId="0" applyNumberFormat="1" applyFont="1" applyFill="1" applyBorder="1"/>
    <xf numFmtId="2" fontId="14" fillId="5" borderId="5" xfId="0" applyNumberFormat="1" applyFont="1" applyFill="1" applyBorder="1" applyAlignment="1">
      <alignment horizontal="right"/>
    </xf>
    <xf numFmtId="37" fontId="28" fillId="5" borderId="7" xfId="0" applyNumberFormat="1" applyFont="1" applyFill="1" applyBorder="1" applyAlignment="1">
      <alignment horizontal="left" indent="1"/>
    </xf>
    <xf numFmtId="5" fontId="28" fillId="5" borderId="7" xfId="0" applyNumberFormat="1" applyFont="1" applyFill="1" applyBorder="1" applyAlignment="1">
      <alignment horizontal="left" indent="1"/>
    </xf>
    <xf numFmtId="5" fontId="33" fillId="3" borderId="3" xfId="0" applyNumberFormat="1" applyFont="1" applyFill="1" applyBorder="1" applyAlignment="1">
      <alignment horizontal="right"/>
    </xf>
    <xf numFmtId="5" fontId="34" fillId="2" borderId="19" xfId="0" applyNumberFormat="1" applyFont="1" applyFill="1" applyBorder="1"/>
    <xf numFmtId="5" fontId="33" fillId="2" borderId="44" xfId="0" applyNumberFormat="1" applyFont="1" applyFill="1" applyBorder="1"/>
    <xf numFmtId="5" fontId="14" fillId="0" borderId="68" xfId="0" applyNumberFormat="1" applyFont="1" applyBorder="1"/>
    <xf numFmtId="5" fontId="14" fillId="0" borderId="69" xfId="0" applyNumberFormat="1" applyFont="1" applyBorder="1"/>
    <xf numFmtId="5" fontId="14" fillId="0" borderId="70" xfId="0" applyNumberFormat="1" applyFont="1" applyBorder="1"/>
    <xf numFmtId="5" fontId="33" fillId="3" borderId="4" xfId="0" applyNumberFormat="1" applyFont="1" applyFill="1" applyBorder="1" applyAlignment="1">
      <alignment horizontal="right"/>
    </xf>
    <xf numFmtId="5" fontId="18" fillId="5" borderId="5" xfId="0" applyNumberFormat="1" applyFont="1" applyFill="1" applyBorder="1" applyAlignment="1">
      <alignment horizontal="left"/>
    </xf>
    <xf numFmtId="5" fontId="33" fillId="3" borderId="6" xfId="0" applyNumberFormat="1" applyFont="1" applyFill="1" applyBorder="1" applyAlignment="1">
      <alignment horizontal="right"/>
    </xf>
    <xf numFmtId="173" fontId="14" fillId="5" borderId="24" xfId="1" applyNumberFormat="1" applyFont="1" applyFill="1" applyBorder="1" applyAlignment="1">
      <alignment horizontal="right"/>
    </xf>
    <xf numFmtId="173" fontId="14" fillId="5" borderId="65" xfId="1" applyNumberFormat="1" applyFont="1" applyFill="1" applyBorder="1" applyAlignment="1">
      <alignment horizontal="right"/>
    </xf>
    <xf numFmtId="0" fontId="14" fillId="5" borderId="24" xfId="1" applyNumberFormat="1" applyFont="1" applyFill="1" applyBorder="1" applyAlignment="1">
      <alignment horizontal="right"/>
    </xf>
    <xf numFmtId="173" fontId="14" fillId="5" borderId="25" xfId="1" applyNumberFormat="1" applyFont="1" applyFill="1" applyBorder="1" applyAlignment="1">
      <alignment horizontal="right"/>
    </xf>
    <xf numFmtId="5" fontId="18" fillId="5" borderId="23" xfId="0" applyNumberFormat="1" applyFont="1" applyFill="1" applyBorder="1" applyAlignment="1">
      <alignment horizontal="left"/>
    </xf>
    <xf numFmtId="9" fontId="14" fillId="5" borderId="24" xfId="1" applyFont="1" applyFill="1" applyBorder="1" applyAlignment="1">
      <alignment horizontal="right"/>
    </xf>
    <xf numFmtId="9" fontId="33" fillId="3" borderId="24" xfId="1" applyFont="1" applyFill="1" applyBorder="1" applyAlignment="1">
      <alignment horizontal="right"/>
    </xf>
    <xf numFmtId="9" fontId="33" fillId="3" borderId="25" xfId="1" applyFont="1" applyFill="1" applyBorder="1" applyAlignment="1">
      <alignment horizontal="right"/>
    </xf>
    <xf numFmtId="37" fontId="34" fillId="2" borderId="36" xfId="0" applyNumberFormat="1" applyFont="1" applyFill="1" applyBorder="1" applyAlignment="1">
      <alignment horizontal="left"/>
    </xf>
    <xf numFmtId="167" fontId="34" fillId="2" borderId="36" xfId="0" applyNumberFormat="1" applyFont="1" applyFill="1" applyBorder="1" applyAlignment="1">
      <alignment horizontal="left"/>
    </xf>
    <xf numFmtId="10" fontId="0" fillId="0" borderId="0" xfId="0" applyNumberFormat="1" applyAlignment="1">
      <alignment horizontal="center"/>
    </xf>
    <xf numFmtId="10" fontId="0" fillId="0" borderId="0" xfId="0" applyNumberFormat="1"/>
    <xf numFmtId="185" fontId="0" fillId="0" borderId="0" xfId="0" applyNumberFormat="1"/>
    <xf numFmtId="0" fontId="43" fillId="0" borderId="1" xfId="0" applyFont="1" applyBorder="1" applyAlignment="1">
      <alignment horizontal="center" vertical="top"/>
    </xf>
    <xf numFmtId="183" fontId="28" fillId="5" borderId="0" xfId="1" applyNumberFormat="1" applyFont="1" applyFill="1" applyBorder="1" applyAlignment="1"/>
    <xf numFmtId="183" fontId="28" fillId="5" borderId="0" xfId="1" applyNumberFormat="1" applyFont="1" applyFill="1" applyBorder="1" applyAlignment="1">
      <alignment horizontal="right"/>
    </xf>
    <xf numFmtId="183" fontId="14" fillId="5" borderId="0" xfId="1" applyNumberFormat="1" applyFont="1" applyFill="1" applyBorder="1" applyAlignment="1"/>
    <xf numFmtId="183" fontId="28" fillId="5" borderId="0" xfId="1" applyNumberFormat="1" applyFont="1" applyFill="1" applyBorder="1" applyAlignment="1">
      <alignment horizontal="left"/>
    </xf>
    <xf numFmtId="183" fontId="23" fillId="5" borderId="0" xfId="1" applyNumberFormat="1" applyFont="1" applyFill="1" applyBorder="1" applyAlignment="1">
      <alignment horizontal="right"/>
    </xf>
    <xf numFmtId="183" fontId="23" fillId="5" borderId="0" xfId="1" applyNumberFormat="1" applyFont="1" applyFill="1" applyBorder="1" applyAlignment="1">
      <alignment horizontal="left"/>
    </xf>
    <xf numFmtId="183" fontId="23" fillId="5" borderId="0" xfId="1" applyNumberFormat="1" applyFont="1" applyFill="1" applyBorder="1" applyAlignment="1"/>
    <xf numFmtId="183" fontId="28" fillId="5" borderId="0" xfId="0" applyNumberFormat="1" applyFont="1" applyFill="1"/>
    <xf numFmtId="5" fontId="23" fillId="0" borderId="0" xfId="1" applyNumberFormat="1" applyFont="1" applyFill="1" applyBorder="1" applyAlignment="1"/>
    <xf numFmtId="5" fontId="23" fillId="0" borderId="0" xfId="1" applyNumberFormat="1" applyFont="1" applyFill="1" applyBorder="1" applyAlignment="1">
      <alignment horizontal="right"/>
    </xf>
    <xf numFmtId="5" fontId="28" fillId="0" borderId="0" xfId="1" applyNumberFormat="1" applyFont="1" applyFill="1" applyBorder="1" applyAlignment="1">
      <alignment horizontal="right"/>
    </xf>
    <xf numFmtId="5" fontId="44" fillId="0" borderId="0" xfId="0" applyNumberFormat="1" applyFont="1" applyAlignment="1">
      <alignment horizontal="right"/>
    </xf>
    <xf numFmtId="183" fontId="31" fillId="5" borderId="0" xfId="1" applyNumberFormat="1" applyFont="1" applyFill="1" applyBorder="1" applyAlignment="1"/>
    <xf numFmtId="173" fontId="18" fillId="6" borderId="24" xfId="1" applyNumberFormat="1" applyFont="1" applyFill="1" applyBorder="1" applyAlignment="1">
      <alignment horizontal="right"/>
    </xf>
    <xf numFmtId="173" fontId="18" fillId="6" borderId="25" xfId="1" applyNumberFormat="1" applyFont="1" applyFill="1" applyBorder="1" applyAlignment="1">
      <alignment horizontal="right"/>
    </xf>
    <xf numFmtId="186" fontId="0" fillId="0" borderId="0" xfId="0" applyNumberFormat="1"/>
    <xf numFmtId="10" fontId="14" fillId="5" borderId="0" xfId="0" applyNumberFormat="1" applyFont="1" applyFill="1" applyAlignment="1">
      <alignment horizontal="right"/>
    </xf>
    <xf numFmtId="5" fontId="18" fillId="5" borderId="23" xfId="0" applyNumberFormat="1" applyFont="1" applyFill="1" applyBorder="1"/>
    <xf numFmtId="5" fontId="14" fillId="5" borderId="7" xfId="0" applyNumberFormat="1" applyFont="1" applyFill="1" applyBorder="1" applyAlignment="1">
      <alignment horizontal="left" indent="2"/>
    </xf>
    <xf numFmtId="5" fontId="31" fillId="5" borderId="2" xfId="0" applyNumberFormat="1" applyFont="1" applyFill="1" applyBorder="1" applyAlignment="1">
      <alignment horizontal="left" indent="1"/>
    </xf>
    <xf numFmtId="5" fontId="31" fillId="5" borderId="71" xfId="0" applyNumberFormat="1" applyFont="1" applyFill="1" applyBorder="1" applyAlignment="1">
      <alignment horizontal="left" indent="1"/>
    </xf>
    <xf numFmtId="5" fontId="14" fillId="5" borderId="72" xfId="0" applyNumberFormat="1" applyFont="1" applyFill="1" applyBorder="1" applyAlignment="1">
      <alignment horizontal="right"/>
    </xf>
    <xf numFmtId="0" fontId="31" fillId="6" borderId="2" xfId="0" applyFont="1" applyFill="1" applyBorder="1"/>
    <xf numFmtId="173" fontId="14" fillId="6" borderId="3" xfId="1" applyNumberFormat="1" applyFont="1" applyFill="1" applyBorder="1" applyAlignment="1">
      <alignment horizontal="right"/>
    </xf>
    <xf numFmtId="173" fontId="14" fillId="5" borderId="0" xfId="0" applyNumberFormat="1" applyFont="1" applyFill="1"/>
    <xf numFmtId="173" fontId="14" fillId="5" borderId="0" xfId="1" applyNumberFormat="1" applyFont="1" applyFill="1"/>
    <xf numFmtId="173" fontId="14" fillId="5" borderId="5" xfId="1" applyNumberFormat="1" applyFont="1" applyFill="1" applyBorder="1" applyAlignment="1">
      <alignment horizontal="left"/>
    </xf>
    <xf numFmtId="5" fontId="18" fillId="5" borderId="23" xfId="0" applyNumberFormat="1" applyFont="1" applyFill="1" applyBorder="1" applyAlignment="1">
      <alignment horizontal="left" indent="1"/>
    </xf>
    <xf numFmtId="180" fontId="14" fillId="5" borderId="24" xfId="0" applyNumberFormat="1" applyFont="1" applyFill="1" applyBorder="1" applyAlignment="1">
      <alignment horizontal="right"/>
    </xf>
    <xf numFmtId="5" fontId="14" fillId="5" borderId="25" xfId="0" applyNumberFormat="1" applyFont="1" applyFill="1" applyBorder="1"/>
    <xf numFmtId="5" fontId="14" fillId="5" borderId="23" xfId="0" applyNumberFormat="1" applyFont="1" applyFill="1" applyBorder="1" applyAlignment="1">
      <alignment horizontal="left" indent="1"/>
    </xf>
    <xf numFmtId="0" fontId="45" fillId="3" borderId="0" xfId="0" applyFont="1" applyFill="1"/>
    <xf numFmtId="0" fontId="45" fillId="3" borderId="22" xfId="0" applyFont="1" applyFill="1" applyBorder="1"/>
    <xf numFmtId="167" fontId="15" fillId="2" borderId="3" xfId="0" applyNumberFormat="1" applyFont="1" applyFill="1" applyBorder="1" applyAlignment="1">
      <alignment horizontal="center"/>
    </xf>
    <xf numFmtId="5" fontId="31" fillId="6" borderId="75" xfId="0" applyNumberFormat="1" applyFont="1" applyFill="1" applyBorder="1"/>
    <xf numFmtId="5" fontId="14" fillId="6" borderId="76" xfId="0" applyNumberFormat="1" applyFont="1" applyFill="1" applyBorder="1"/>
    <xf numFmtId="180" fontId="14" fillId="6" borderId="76" xfId="0" applyNumberFormat="1" applyFont="1" applyFill="1" applyBorder="1" applyAlignment="1">
      <alignment horizontal="right"/>
    </xf>
    <xf numFmtId="5" fontId="14" fillId="5" borderId="57" xfId="0" applyNumberFormat="1" applyFont="1" applyFill="1" applyBorder="1"/>
    <xf numFmtId="5" fontId="14" fillId="5" borderId="1" xfId="0" applyNumberFormat="1" applyFont="1" applyFill="1" applyBorder="1"/>
    <xf numFmtId="180" fontId="14" fillId="6" borderId="75" xfId="0" applyNumberFormat="1" applyFont="1" applyFill="1" applyBorder="1" applyAlignment="1">
      <alignment horizontal="right"/>
    </xf>
    <xf numFmtId="180" fontId="14" fillId="6" borderId="78" xfId="0" applyNumberFormat="1" applyFont="1" applyFill="1" applyBorder="1" applyAlignment="1">
      <alignment horizontal="right"/>
    </xf>
    <xf numFmtId="166" fontId="9" fillId="5" borderId="0" xfId="0" applyNumberFormat="1" applyFont="1" applyFill="1" applyAlignment="1">
      <alignment horizontal="center"/>
    </xf>
    <xf numFmtId="5" fontId="14" fillId="5" borderId="80" xfId="0" applyNumberFormat="1" applyFont="1" applyFill="1" applyBorder="1"/>
    <xf numFmtId="7" fontId="14" fillId="5" borderId="81" xfId="1" applyNumberFormat="1" applyFont="1" applyFill="1" applyBorder="1" applyAlignment="1"/>
    <xf numFmtId="5" fontId="14" fillId="5" borderId="81" xfId="0" applyNumberFormat="1" applyFont="1" applyFill="1" applyBorder="1"/>
    <xf numFmtId="5" fontId="18" fillId="5" borderId="81" xfId="0" applyNumberFormat="1" applyFont="1" applyFill="1" applyBorder="1"/>
    <xf numFmtId="5" fontId="14" fillId="5" borderId="82" xfId="0" applyNumberFormat="1" applyFont="1" applyFill="1" applyBorder="1"/>
    <xf numFmtId="10" fontId="14" fillId="5" borderId="81" xfId="1" applyNumberFormat="1" applyFont="1" applyFill="1" applyBorder="1" applyAlignment="1">
      <alignment horizontal="right"/>
    </xf>
    <xf numFmtId="10" fontId="14" fillId="5" borderId="81" xfId="1" applyNumberFormat="1" applyFont="1" applyFill="1" applyBorder="1"/>
    <xf numFmtId="173" fontId="14" fillId="5" borderId="81" xfId="1" applyNumberFormat="1" applyFont="1" applyFill="1" applyBorder="1"/>
    <xf numFmtId="39" fontId="14" fillId="5" borderId="81" xfId="0" applyNumberFormat="1" applyFont="1" applyFill="1" applyBorder="1"/>
    <xf numFmtId="10" fontId="14" fillId="5" borderId="81" xfId="0" applyNumberFormat="1" applyFont="1" applyFill="1" applyBorder="1"/>
    <xf numFmtId="173" fontId="18" fillId="6" borderId="79" xfId="1" applyNumberFormat="1" applyFont="1" applyFill="1" applyBorder="1" applyAlignment="1">
      <alignment horizontal="right"/>
    </xf>
    <xf numFmtId="173" fontId="14" fillId="6" borderId="80" xfId="1" applyNumberFormat="1" applyFont="1" applyFill="1" applyBorder="1" applyAlignment="1">
      <alignment horizontal="right"/>
    </xf>
    <xf numFmtId="5" fontId="14" fillId="5" borderId="79" xfId="0" applyNumberFormat="1" applyFont="1" applyFill="1" applyBorder="1" applyAlignment="1">
      <alignment horizontal="right"/>
    </xf>
    <xf numFmtId="5" fontId="14" fillId="5" borderId="82" xfId="0" applyNumberFormat="1" applyFont="1" applyFill="1" applyBorder="1" applyAlignment="1">
      <alignment horizontal="right"/>
    </xf>
    <xf numFmtId="173" fontId="14" fillId="6" borderId="75" xfId="1" applyNumberFormat="1" applyFont="1" applyFill="1" applyBorder="1" applyAlignment="1">
      <alignment horizontal="right"/>
    </xf>
    <xf numFmtId="173" fontId="14" fillId="6" borderId="76" xfId="1" applyNumberFormat="1" applyFont="1" applyFill="1" applyBorder="1" applyAlignment="1">
      <alignment horizontal="right"/>
    </xf>
    <xf numFmtId="173" fontId="14" fillId="6" borderId="78" xfId="1" applyNumberFormat="1" applyFont="1" applyFill="1" applyBorder="1" applyAlignment="1">
      <alignment horizontal="right"/>
    </xf>
    <xf numFmtId="173" fontId="14" fillId="6" borderId="77" xfId="1" applyNumberFormat="1" applyFont="1" applyFill="1" applyBorder="1"/>
    <xf numFmtId="173" fontId="14" fillId="6" borderId="74" xfId="1" applyNumberFormat="1" applyFont="1" applyFill="1" applyBorder="1"/>
    <xf numFmtId="10" fontId="14" fillId="5" borderId="5" xfId="0" applyNumberFormat="1" applyFont="1" applyFill="1" applyBorder="1" applyAlignment="1">
      <alignment horizontal="right"/>
    </xf>
    <xf numFmtId="10" fontId="14" fillId="5" borderId="6" xfId="0" applyNumberFormat="1" applyFont="1" applyFill="1" applyBorder="1" applyAlignment="1">
      <alignment horizontal="right"/>
    </xf>
    <xf numFmtId="10" fontId="14" fillId="5" borderId="57" xfId="0" applyNumberFormat="1" applyFont="1" applyFill="1" applyBorder="1"/>
    <xf numFmtId="10" fontId="14" fillId="5" borderId="5" xfId="1" applyNumberFormat="1" applyFont="1" applyFill="1" applyBorder="1" applyAlignment="1">
      <alignment horizontal="right"/>
    </xf>
    <xf numFmtId="10" fontId="14" fillId="5" borderId="7" xfId="0" applyNumberFormat="1" applyFont="1" applyFill="1" applyBorder="1" applyAlignment="1">
      <alignment horizontal="right"/>
    </xf>
    <xf numFmtId="10" fontId="14" fillId="5" borderId="8" xfId="0" applyNumberFormat="1" applyFont="1" applyFill="1" applyBorder="1" applyAlignment="1">
      <alignment horizontal="right"/>
    </xf>
    <xf numFmtId="10" fontId="14" fillId="5" borderId="9" xfId="0" applyNumberFormat="1" applyFont="1" applyFill="1" applyBorder="1" applyAlignment="1">
      <alignment horizontal="right"/>
    </xf>
    <xf numFmtId="10" fontId="14" fillId="5" borderId="8" xfId="0" applyNumberFormat="1" applyFont="1" applyFill="1" applyBorder="1"/>
    <xf numFmtId="10" fontId="14" fillId="5" borderId="58" xfId="0" applyNumberFormat="1" applyFont="1" applyFill="1" applyBorder="1"/>
    <xf numFmtId="10" fontId="14" fillId="5" borderId="0" xfId="1" applyNumberFormat="1" applyFont="1" applyFill="1"/>
    <xf numFmtId="10" fontId="28" fillId="5" borderId="82" xfId="1" applyNumberFormat="1" applyFont="1" applyFill="1" applyBorder="1"/>
    <xf numFmtId="10" fontId="28" fillId="5" borderId="8" xfId="1" applyNumberFormat="1" applyFont="1" applyFill="1" applyBorder="1"/>
    <xf numFmtId="10" fontId="28" fillId="5" borderId="9" xfId="1" applyNumberFormat="1" applyFont="1" applyFill="1" applyBorder="1"/>
    <xf numFmtId="7" fontId="14" fillId="5" borderId="3" xfId="0" applyNumberFormat="1" applyFont="1" applyFill="1" applyBorder="1"/>
    <xf numFmtId="7" fontId="14" fillId="5" borderId="4" xfId="0" applyNumberFormat="1" applyFont="1" applyFill="1" applyBorder="1"/>
    <xf numFmtId="7" fontId="14" fillId="5" borderId="6" xfId="1" applyNumberFormat="1" applyFont="1" applyFill="1" applyBorder="1" applyAlignment="1"/>
    <xf numFmtId="7" fontId="14" fillId="5" borderId="6" xfId="0" applyNumberFormat="1" applyFont="1" applyFill="1" applyBorder="1"/>
    <xf numFmtId="187" fontId="0" fillId="0" borderId="0" xfId="0" applyNumberFormat="1"/>
    <xf numFmtId="10" fontId="0" fillId="0" borderId="0" xfId="1" applyNumberFormat="1" applyFont="1"/>
    <xf numFmtId="44" fontId="14" fillId="0" borderId="0" xfId="6" applyFont="1"/>
    <xf numFmtId="12" fontId="14" fillId="0" borderId="0" xfId="0" applyNumberFormat="1" applyFont="1"/>
    <xf numFmtId="13" fontId="14" fillId="0" borderId="0" xfId="0" applyNumberFormat="1" applyFont="1" applyAlignment="1">
      <alignment horizontal="right"/>
    </xf>
    <xf numFmtId="5" fontId="33" fillId="2" borderId="27" xfId="0" applyNumberFormat="1" applyFont="1" applyFill="1" applyBorder="1"/>
    <xf numFmtId="170" fontId="15" fillId="2" borderId="84" xfId="0" applyNumberFormat="1" applyFont="1" applyFill="1" applyBorder="1" applyAlignment="1">
      <alignment horizontal="center"/>
    </xf>
    <xf numFmtId="169" fontId="15" fillId="4" borderId="84" xfId="0" applyNumberFormat="1" applyFont="1" applyFill="1" applyBorder="1" applyAlignment="1">
      <alignment horizontal="center"/>
    </xf>
    <xf numFmtId="169" fontId="15" fillId="3" borderId="84" xfId="0" applyNumberFormat="1" applyFont="1" applyFill="1" applyBorder="1" applyAlignment="1">
      <alignment horizontal="center"/>
    </xf>
    <xf numFmtId="169" fontId="15" fillId="3" borderId="85" xfId="0" applyNumberFormat="1" applyFont="1" applyFill="1" applyBorder="1" applyAlignment="1">
      <alignment horizontal="center"/>
    </xf>
    <xf numFmtId="5" fontId="14" fillId="0" borderId="86" xfId="0" applyNumberFormat="1" applyFont="1" applyBorder="1"/>
    <xf numFmtId="5" fontId="14" fillId="0" borderId="87" xfId="0" applyNumberFormat="1" applyFont="1" applyBorder="1"/>
    <xf numFmtId="5" fontId="14" fillId="0" borderId="88" xfId="0" applyNumberFormat="1" applyFont="1" applyBorder="1"/>
    <xf numFmtId="173" fontId="14" fillId="0" borderId="89" xfId="1" applyNumberFormat="1" applyFont="1" applyBorder="1"/>
    <xf numFmtId="39" fontId="14" fillId="0" borderId="24" xfId="0" applyNumberFormat="1" applyFont="1" applyBorder="1"/>
    <xf numFmtId="39" fontId="14" fillId="0" borderId="89" xfId="0" applyNumberFormat="1" applyFont="1" applyBorder="1"/>
    <xf numFmtId="5" fontId="14" fillId="0" borderId="90" xfId="0" applyNumberFormat="1" applyFont="1" applyBorder="1"/>
    <xf numFmtId="7" fontId="14" fillId="0" borderId="38" xfId="0" applyNumberFormat="1" applyFont="1" applyBorder="1"/>
    <xf numFmtId="7" fontId="14" fillId="0" borderId="91" xfId="0" applyNumberFormat="1" applyFont="1" applyBorder="1"/>
    <xf numFmtId="173" fontId="46" fillId="0" borderId="0" xfId="1" applyNumberFormat="1" applyFont="1" applyFill="1" applyBorder="1" applyAlignment="1" applyProtection="1">
      <alignment horizontal="center"/>
      <protection locked="0" hidden="1"/>
    </xf>
    <xf numFmtId="188" fontId="14" fillId="5" borderId="81" xfId="0" applyNumberFormat="1" applyFont="1" applyFill="1" applyBorder="1"/>
    <xf numFmtId="5" fontId="14" fillId="5" borderId="0" xfId="1" applyNumberFormat="1" applyFont="1" applyFill="1"/>
    <xf numFmtId="5" fontId="2" fillId="5" borderId="24" xfId="0" applyNumberFormat="1" applyFont="1" applyFill="1" applyBorder="1"/>
    <xf numFmtId="39" fontId="14" fillId="5" borderId="5" xfId="1" applyNumberFormat="1" applyFont="1" applyFill="1" applyBorder="1" applyAlignment="1">
      <alignment horizontal="right"/>
    </xf>
    <xf numFmtId="39" fontId="14" fillId="5" borderId="0" xfId="1" applyNumberFormat="1" applyFont="1" applyFill="1" applyBorder="1" applyAlignment="1">
      <alignment horizontal="right"/>
    </xf>
    <xf numFmtId="39" fontId="14" fillId="5" borderId="6" xfId="1" applyNumberFormat="1" applyFont="1" applyFill="1" applyBorder="1" applyAlignment="1">
      <alignment horizontal="right"/>
    </xf>
    <xf numFmtId="39" fontId="14" fillId="5" borderId="2" xfId="1" applyNumberFormat="1" applyFont="1" applyFill="1" applyBorder="1" applyAlignment="1">
      <alignment horizontal="right"/>
    </xf>
    <xf numFmtId="39" fontId="14" fillId="5" borderId="3" xfId="1" applyNumberFormat="1" applyFont="1" applyFill="1" applyBorder="1" applyAlignment="1">
      <alignment horizontal="right"/>
    </xf>
    <xf numFmtId="39" fontId="14" fillId="5" borderId="4" xfId="1" applyNumberFormat="1" applyFont="1" applyFill="1" applyBorder="1" applyAlignment="1">
      <alignment horizontal="right"/>
    </xf>
    <xf numFmtId="184" fontId="14" fillId="0" borderId="0" xfId="0" applyNumberFormat="1" applyFont="1"/>
    <xf numFmtId="5" fontId="31" fillId="0" borderId="5" xfId="0" applyNumberFormat="1" applyFont="1" applyBorder="1"/>
    <xf numFmtId="5" fontId="14" fillId="0" borderId="7" xfId="0" applyNumberFormat="1" applyFont="1" applyBorder="1" applyAlignment="1">
      <alignment horizontal="left" indent="1"/>
    </xf>
    <xf numFmtId="189" fontId="14" fillId="5" borderId="0" xfId="1" applyNumberFormat="1" applyFont="1" applyFill="1" applyAlignment="1">
      <alignment horizontal="right"/>
    </xf>
    <xf numFmtId="173" fontId="28" fillId="5" borderId="0" xfId="1" applyNumberFormat="1" applyFont="1" applyFill="1" applyBorder="1"/>
    <xf numFmtId="10" fontId="28" fillId="5" borderId="0" xfId="1" applyNumberFormat="1" applyFont="1" applyFill="1"/>
    <xf numFmtId="1" fontId="10" fillId="0" borderId="0" xfId="0" applyNumberFormat="1" applyFont="1"/>
    <xf numFmtId="1" fontId="9" fillId="0" borderId="0" xfId="0" applyNumberFormat="1" applyFont="1" applyAlignment="1">
      <alignment horizontal="center"/>
    </xf>
    <xf numFmtId="1" fontId="10" fillId="5" borderId="0" xfId="0" applyNumberFormat="1" applyFont="1" applyFill="1"/>
    <xf numFmtId="1" fontId="9" fillId="5" borderId="0" xfId="0" applyNumberFormat="1" applyFont="1" applyFill="1" applyAlignment="1">
      <alignment horizontal="center"/>
    </xf>
    <xf numFmtId="169" fontId="15" fillId="5" borderId="21" xfId="0" applyNumberFormat="1" applyFont="1" applyFill="1" applyBorder="1" applyAlignment="1">
      <alignment horizontal="center"/>
    </xf>
    <xf numFmtId="0" fontId="13" fillId="0" borderId="0" xfId="0" applyFont="1"/>
    <xf numFmtId="170" fontId="15" fillId="0" borderId="36" xfId="0" applyNumberFormat="1" applyFont="1" applyBorder="1"/>
    <xf numFmtId="170" fontId="15" fillId="0" borderId="37" xfId="0" applyNumberFormat="1" applyFont="1" applyBorder="1"/>
    <xf numFmtId="170" fontId="15" fillId="0" borderId="39" xfId="0" applyNumberFormat="1" applyFont="1" applyBorder="1"/>
    <xf numFmtId="168" fontId="15" fillId="0" borderId="19" xfId="0" applyNumberFormat="1" applyFont="1" applyBorder="1"/>
    <xf numFmtId="168" fontId="15" fillId="0" borderId="20" xfId="0" applyNumberFormat="1" applyFont="1" applyBorder="1"/>
    <xf numFmtId="168" fontId="15" fillId="0" borderId="21" xfId="0" applyNumberFormat="1" applyFont="1" applyBorder="1"/>
    <xf numFmtId="170" fontId="15" fillId="0" borderId="35" xfId="0" applyNumberFormat="1" applyFont="1" applyBorder="1"/>
    <xf numFmtId="0" fontId="12" fillId="3" borderId="39" xfId="0" applyFont="1" applyFill="1" applyBorder="1"/>
    <xf numFmtId="0" fontId="12" fillId="3" borderId="35" xfId="0" applyFont="1" applyFill="1" applyBorder="1"/>
    <xf numFmtId="0" fontId="13" fillId="3" borderId="21" xfId="0" applyFont="1" applyFill="1" applyBorder="1"/>
    <xf numFmtId="170" fontId="15" fillId="3" borderId="0" xfId="0" applyNumberFormat="1" applyFont="1" applyFill="1"/>
    <xf numFmtId="173" fontId="28" fillId="5" borderId="0" xfId="1" applyNumberFormat="1" applyFont="1" applyFill="1" applyBorder="1" applyAlignment="1">
      <alignment horizontal="right"/>
    </xf>
    <xf numFmtId="167" fontId="37" fillId="3" borderId="21" xfId="0" applyNumberFormat="1" applyFont="1" applyFill="1" applyBorder="1"/>
    <xf numFmtId="174" fontId="14" fillId="5" borderId="3" xfId="0" applyNumberFormat="1" applyFont="1" applyFill="1" applyBorder="1"/>
    <xf numFmtId="9" fontId="14" fillId="5" borderId="5" xfId="1" applyFont="1" applyFill="1" applyBorder="1"/>
    <xf numFmtId="9" fontId="14" fillId="5" borderId="7" xfId="1" applyFont="1" applyFill="1" applyBorder="1"/>
    <xf numFmtId="174" fontId="14" fillId="5" borderId="8" xfId="0" applyNumberFormat="1" applyFont="1" applyFill="1" applyBorder="1"/>
    <xf numFmtId="173" fontId="14" fillId="5" borderId="8" xfId="1" applyNumberFormat="1" applyFont="1" applyFill="1" applyBorder="1"/>
    <xf numFmtId="9" fontId="31" fillId="5" borderId="2" xfId="1" applyFont="1" applyFill="1" applyBorder="1"/>
    <xf numFmtId="7" fontId="14" fillId="5" borderId="3" xfId="0" applyNumberFormat="1" applyFont="1" applyFill="1" applyBorder="1" applyAlignment="1">
      <alignment horizontal="right"/>
    </xf>
    <xf numFmtId="174" fontId="14" fillId="5" borderId="5" xfId="0" applyNumberFormat="1" applyFont="1" applyFill="1" applyBorder="1"/>
    <xf numFmtId="174" fontId="14" fillId="5" borderId="7" xfId="0" applyNumberFormat="1" applyFont="1" applyFill="1" applyBorder="1"/>
    <xf numFmtId="173" fontId="14" fillId="5" borderId="9" xfId="1" applyNumberFormat="1" applyFont="1" applyFill="1" applyBorder="1"/>
    <xf numFmtId="170" fontId="37" fillId="3" borderId="43" xfId="0" applyNumberFormat="1" applyFont="1" applyFill="1" applyBorder="1"/>
    <xf numFmtId="170" fontId="33" fillId="3" borderId="22" xfId="0" applyNumberFormat="1" applyFont="1" applyFill="1" applyBorder="1"/>
    <xf numFmtId="5" fontId="14" fillId="9" borderId="3" xfId="0" applyNumberFormat="1" applyFont="1" applyFill="1" applyBorder="1"/>
    <xf numFmtId="173" fontId="18" fillId="5" borderId="0" xfId="1" applyNumberFormat="1" applyFont="1" applyFill="1" applyAlignment="1">
      <alignment horizontal="right"/>
    </xf>
    <xf numFmtId="173" fontId="14" fillId="5" borderId="5" xfId="1" applyNumberFormat="1" applyFont="1" applyFill="1" applyBorder="1" applyAlignment="1"/>
    <xf numFmtId="173" fontId="14" fillId="5" borderId="7" xfId="1" applyNumberFormat="1" applyFont="1" applyFill="1" applyBorder="1"/>
    <xf numFmtId="173" fontId="14" fillId="5" borderId="6" xfId="1" applyNumberFormat="1" applyFont="1" applyFill="1" applyBorder="1" applyAlignment="1"/>
    <xf numFmtId="0" fontId="33" fillId="2" borderId="0" xfId="0" applyFont="1" applyFill="1"/>
    <xf numFmtId="174" fontId="14" fillId="5" borderId="6" xfId="0" applyNumberFormat="1" applyFont="1" applyFill="1" applyBorder="1"/>
    <xf numFmtId="190" fontId="14" fillId="5" borderId="6" xfId="0" applyNumberFormat="1" applyFont="1" applyFill="1" applyBorder="1" applyAlignment="1">
      <alignment horizontal="right"/>
    </xf>
    <xf numFmtId="5" fontId="14" fillId="5" borderId="23" xfId="0" applyNumberFormat="1" applyFont="1" applyFill="1" applyBorder="1" applyAlignment="1">
      <alignment horizontal="left"/>
    </xf>
    <xf numFmtId="173" fontId="14" fillId="5" borderId="24" xfId="1" applyNumberFormat="1" applyFont="1" applyFill="1" applyBorder="1"/>
    <xf numFmtId="173" fontId="14" fillId="5" borderId="93" xfId="0" applyNumberFormat="1" applyFont="1" applyFill="1" applyBorder="1" applyAlignment="1">
      <alignment horizontal="right"/>
    </xf>
    <xf numFmtId="173" fontId="14" fillId="5" borderId="24" xfId="0" applyNumberFormat="1" applyFont="1" applyFill="1" applyBorder="1" applyAlignment="1">
      <alignment horizontal="right"/>
    </xf>
    <xf numFmtId="173" fontId="14" fillId="5" borderId="25" xfId="0" applyNumberFormat="1" applyFont="1" applyFill="1" applyBorder="1" applyAlignment="1">
      <alignment horizontal="right"/>
    </xf>
    <xf numFmtId="169" fontId="15" fillId="3" borderId="96" xfId="0" applyNumberFormat="1" applyFont="1" applyFill="1" applyBorder="1" applyAlignment="1">
      <alignment horizontal="center"/>
    </xf>
    <xf numFmtId="183" fontId="14" fillId="0" borderId="0" xfId="0" applyNumberFormat="1" applyFont="1"/>
    <xf numFmtId="10" fontId="14" fillId="5" borderId="26" xfId="0" applyNumberFormat="1" applyFont="1" applyFill="1" applyBorder="1"/>
    <xf numFmtId="10" fontId="14" fillId="5" borderId="26" xfId="0" applyNumberFormat="1" applyFont="1" applyFill="1" applyBorder="1" applyAlignment="1">
      <alignment horizontal="right"/>
    </xf>
    <xf numFmtId="10" fontId="14" fillId="5" borderId="6" xfId="0" applyNumberFormat="1" applyFont="1" applyFill="1" applyBorder="1"/>
    <xf numFmtId="5" fontId="14" fillId="0" borderId="97" xfId="1" applyNumberFormat="1" applyFont="1" applyFill="1" applyBorder="1" applyAlignment="1"/>
    <xf numFmtId="5" fontId="14" fillId="0" borderId="35" xfId="1" applyNumberFormat="1" applyFont="1" applyFill="1" applyBorder="1" applyAlignment="1"/>
    <xf numFmtId="5" fontId="14" fillId="0" borderId="98" xfId="1" applyNumberFormat="1" applyFont="1" applyFill="1" applyBorder="1" applyAlignment="1"/>
    <xf numFmtId="5" fontId="14" fillId="0" borderId="101" xfId="0" applyNumberFormat="1" applyFont="1" applyBorder="1"/>
    <xf numFmtId="5" fontId="14" fillId="0" borderId="102" xfId="0" applyNumberFormat="1" applyFont="1" applyBorder="1"/>
    <xf numFmtId="5" fontId="18" fillId="5" borderId="101" xfId="0" applyNumberFormat="1" applyFont="1" applyFill="1" applyBorder="1"/>
    <xf numFmtId="5" fontId="18" fillId="5" borderId="102" xfId="0" applyNumberFormat="1" applyFont="1" applyFill="1" applyBorder="1"/>
    <xf numFmtId="173" fontId="28" fillId="5" borderId="99" xfId="1" applyNumberFormat="1" applyFont="1" applyFill="1" applyBorder="1" applyAlignment="1">
      <alignment horizontal="right"/>
    </xf>
    <xf numFmtId="173" fontId="28" fillId="5" borderId="100" xfId="1" applyNumberFormat="1" applyFont="1" applyFill="1" applyBorder="1" applyAlignment="1">
      <alignment horizontal="right"/>
    </xf>
    <xf numFmtId="5" fontId="14" fillId="5" borderId="99" xfId="1" applyNumberFormat="1" applyFont="1" applyFill="1" applyBorder="1" applyAlignment="1">
      <alignment horizontal="right"/>
    </xf>
    <xf numFmtId="5" fontId="14" fillId="5" borderId="100" xfId="1" applyNumberFormat="1" applyFont="1" applyFill="1" applyBorder="1" applyAlignment="1">
      <alignment horizontal="right"/>
    </xf>
    <xf numFmtId="5" fontId="14" fillId="0" borderId="99" xfId="1" applyNumberFormat="1" applyFont="1" applyFill="1" applyBorder="1" applyAlignment="1"/>
    <xf numFmtId="5" fontId="14" fillId="0" borderId="100" xfId="0" applyNumberFormat="1" applyFont="1" applyBorder="1"/>
    <xf numFmtId="10" fontId="28" fillId="5" borderId="99" xfId="1" applyNumberFormat="1" applyFont="1" applyFill="1" applyBorder="1"/>
    <xf numFmtId="10" fontId="28" fillId="5" borderId="0" xfId="1" applyNumberFormat="1" applyFont="1" applyFill="1" applyBorder="1"/>
    <xf numFmtId="10" fontId="28" fillId="5" borderId="100" xfId="1" applyNumberFormat="1" applyFont="1" applyFill="1" applyBorder="1"/>
    <xf numFmtId="173" fontId="14" fillId="0" borderId="99" xfId="1" applyNumberFormat="1" applyFont="1" applyFill="1" applyBorder="1" applyAlignment="1"/>
    <xf numFmtId="173" fontId="14" fillId="0" borderId="100" xfId="1" applyNumberFormat="1" applyFont="1" applyFill="1" applyBorder="1" applyAlignment="1"/>
    <xf numFmtId="5" fontId="14" fillId="0" borderId="99" xfId="1" applyNumberFormat="1" applyFont="1" applyFill="1" applyBorder="1" applyAlignment="1">
      <alignment horizontal="right"/>
    </xf>
    <xf numFmtId="5" fontId="14" fillId="0" borderId="100" xfId="1" applyNumberFormat="1" applyFont="1" applyFill="1" applyBorder="1" applyAlignment="1">
      <alignment horizontal="right"/>
    </xf>
    <xf numFmtId="5" fontId="14" fillId="9" borderId="103" xfId="1" applyNumberFormat="1" applyFont="1" applyFill="1" applyBorder="1" applyAlignment="1"/>
    <xf numFmtId="5" fontId="14" fillId="9" borderId="104" xfId="0" applyNumberFormat="1" applyFont="1" applyFill="1" applyBorder="1"/>
    <xf numFmtId="5" fontId="14" fillId="9" borderId="99" xfId="1" applyNumberFormat="1" applyFont="1" applyFill="1" applyBorder="1" applyAlignment="1"/>
    <xf numFmtId="5" fontId="14" fillId="9" borderId="0" xfId="0" applyNumberFormat="1" applyFont="1" applyFill="1"/>
    <xf numFmtId="5" fontId="14" fillId="9" borderId="100" xfId="0" applyNumberFormat="1" applyFont="1" applyFill="1" applyBorder="1"/>
    <xf numFmtId="5" fontId="18" fillId="9" borderId="99" xfId="1" applyNumberFormat="1" applyFont="1" applyFill="1" applyBorder="1" applyAlignment="1"/>
    <xf numFmtId="5" fontId="14" fillId="9" borderId="105" xfId="0" applyNumberFormat="1" applyFont="1" applyFill="1" applyBorder="1" applyAlignment="1">
      <alignment horizontal="right"/>
    </xf>
    <xf numFmtId="5" fontId="14" fillId="9" borderId="69" xfId="0" applyNumberFormat="1" applyFont="1" applyFill="1" applyBorder="1" applyAlignment="1">
      <alignment horizontal="right"/>
    </xf>
    <xf numFmtId="5" fontId="14" fillId="9" borderId="106" xfId="0" applyNumberFormat="1" applyFont="1" applyFill="1" applyBorder="1" applyAlignment="1">
      <alignment horizontal="right"/>
    </xf>
    <xf numFmtId="5" fontId="14" fillId="0" borderId="99" xfId="0" applyNumberFormat="1" applyFont="1" applyBorder="1"/>
    <xf numFmtId="5" fontId="14" fillId="9" borderId="103" xfId="0" applyNumberFormat="1" applyFont="1" applyFill="1" applyBorder="1"/>
    <xf numFmtId="5" fontId="14" fillId="9" borderId="99" xfId="0" applyNumberFormat="1" applyFont="1" applyFill="1" applyBorder="1"/>
    <xf numFmtId="5" fontId="14" fillId="9" borderId="105" xfId="0" applyNumberFormat="1" applyFont="1" applyFill="1" applyBorder="1"/>
    <xf numFmtId="5" fontId="14" fillId="9" borderId="69" xfId="0" applyNumberFormat="1" applyFont="1" applyFill="1" applyBorder="1"/>
    <xf numFmtId="5" fontId="14" fillId="9" borderId="106" xfId="0" applyNumberFormat="1" applyFont="1" applyFill="1" applyBorder="1"/>
    <xf numFmtId="7" fontId="33" fillId="3" borderId="0" xfId="0" applyNumberFormat="1" applyFont="1" applyFill="1" applyAlignment="1">
      <alignment horizontal="left"/>
    </xf>
    <xf numFmtId="174" fontId="14" fillId="5" borderId="99" xfId="1" applyNumberFormat="1" applyFont="1" applyFill="1" applyBorder="1" applyAlignment="1"/>
    <xf numFmtId="5" fontId="14" fillId="5" borderId="100" xfId="1" applyNumberFormat="1" applyFont="1" applyFill="1" applyBorder="1" applyAlignment="1"/>
    <xf numFmtId="173" fontId="28" fillId="5" borderId="100" xfId="1" applyNumberFormat="1" applyFont="1" applyFill="1" applyBorder="1"/>
    <xf numFmtId="9" fontId="14" fillId="5" borderId="99" xfId="1" applyFont="1" applyFill="1" applyBorder="1"/>
    <xf numFmtId="9" fontId="28" fillId="5" borderId="99" xfId="1" applyFont="1" applyFill="1" applyBorder="1" applyAlignment="1">
      <alignment horizontal="left" indent="1"/>
    </xf>
    <xf numFmtId="173" fontId="14" fillId="5" borderId="99" xfId="1" applyNumberFormat="1" applyFont="1" applyFill="1" applyBorder="1" applyAlignment="1"/>
    <xf numFmtId="5" fontId="14" fillId="5" borderId="100" xfId="1" applyNumberFormat="1" applyFont="1" applyFill="1" applyBorder="1"/>
    <xf numFmtId="5" fontId="14" fillId="5" borderId="100" xfId="0" applyNumberFormat="1" applyFont="1" applyFill="1" applyBorder="1"/>
    <xf numFmtId="174" fontId="14" fillId="5" borderId="99" xfId="0" applyNumberFormat="1" applyFont="1" applyFill="1" applyBorder="1"/>
    <xf numFmtId="174" fontId="18" fillId="5" borderId="99" xfId="0" applyNumberFormat="1" applyFont="1" applyFill="1" applyBorder="1" applyAlignment="1">
      <alignment horizontal="left" indent="1"/>
    </xf>
    <xf numFmtId="173" fontId="14" fillId="5" borderId="100" xfId="1" applyNumberFormat="1" applyFont="1" applyFill="1" applyBorder="1" applyAlignment="1">
      <alignment horizontal="right"/>
    </xf>
    <xf numFmtId="180" fontId="14" fillId="5" borderId="100" xfId="0" applyNumberFormat="1" applyFont="1" applyFill="1" applyBorder="1"/>
    <xf numFmtId="9" fontId="14" fillId="5" borderId="101" xfId="1" applyFont="1" applyFill="1" applyBorder="1"/>
    <xf numFmtId="5" fontId="14" fillId="5" borderId="102" xfId="1" applyNumberFormat="1" applyFont="1" applyFill="1" applyBorder="1" applyAlignment="1"/>
    <xf numFmtId="9" fontId="18" fillId="5" borderId="101" xfId="1" applyFont="1" applyFill="1" applyBorder="1"/>
    <xf numFmtId="9" fontId="18" fillId="6" borderId="111" xfId="1" applyFont="1" applyFill="1" applyBorder="1" applyAlignment="1">
      <alignment horizontal="left"/>
    </xf>
    <xf numFmtId="174" fontId="18" fillId="6" borderId="112" xfId="0" applyNumberFormat="1" applyFont="1" applyFill="1" applyBorder="1"/>
    <xf numFmtId="5" fontId="18" fillId="6" borderId="112" xfId="0" applyNumberFormat="1" applyFont="1" applyFill="1" applyBorder="1" applyAlignment="1">
      <alignment horizontal="right"/>
    </xf>
    <xf numFmtId="5" fontId="18" fillId="6" borderId="113" xfId="0" applyNumberFormat="1" applyFont="1" applyFill="1" applyBorder="1" applyAlignment="1">
      <alignment horizontal="right"/>
    </xf>
    <xf numFmtId="174" fontId="28" fillId="6" borderId="99" xfId="0" applyNumberFormat="1" applyFont="1" applyFill="1" applyBorder="1" applyAlignment="1">
      <alignment horizontal="left" indent="1"/>
    </xf>
    <xf numFmtId="174" fontId="14" fillId="6" borderId="0" xfId="0" applyNumberFormat="1" applyFont="1" applyFill="1"/>
    <xf numFmtId="173" fontId="28" fillId="6" borderId="0" xfId="1" applyNumberFormat="1" applyFont="1" applyFill="1" applyBorder="1"/>
    <xf numFmtId="173" fontId="28" fillId="6" borderId="100" xfId="1" applyNumberFormat="1" applyFont="1" applyFill="1" applyBorder="1"/>
    <xf numFmtId="173" fontId="48" fillId="6" borderId="99" xfId="1" applyNumberFormat="1" applyFont="1" applyFill="1" applyBorder="1"/>
    <xf numFmtId="173" fontId="48" fillId="6" borderId="100" xfId="1" applyNumberFormat="1" applyFont="1" applyFill="1" applyBorder="1"/>
    <xf numFmtId="173" fontId="14" fillId="6" borderId="99" xfId="0" applyNumberFormat="1" applyFont="1" applyFill="1" applyBorder="1"/>
    <xf numFmtId="173" fontId="14" fillId="6" borderId="0" xfId="0" applyNumberFormat="1" applyFont="1" applyFill="1"/>
    <xf numFmtId="173" fontId="14" fillId="6" borderId="100" xfId="0" applyNumberFormat="1" applyFont="1" applyFill="1" applyBorder="1"/>
    <xf numFmtId="39" fontId="14" fillId="6" borderId="99" xfId="0" applyNumberFormat="1" applyFont="1" applyFill="1" applyBorder="1"/>
    <xf numFmtId="39" fontId="14" fillId="6" borderId="0" xfId="0" applyNumberFormat="1" applyFont="1" applyFill="1"/>
    <xf numFmtId="39" fontId="14" fillId="6" borderId="100" xfId="0" applyNumberFormat="1" applyFont="1" applyFill="1" applyBorder="1"/>
    <xf numFmtId="39" fontId="47" fillId="6" borderId="99" xfId="1" applyNumberFormat="1" applyFont="1" applyFill="1" applyBorder="1" applyAlignment="1"/>
    <xf numFmtId="39" fontId="47" fillId="6" borderId="100" xfId="0" applyNumberFormat="1" applyFont="1" applyFill="1" applyBorder="1"/>
    <xf numFmtId="9" fontId="28" fillId="6" borderId="99" xfId="1" applyFont="1" applyFill="1" applyBorder="1" applyAlignment="1">
      <alignment horizontal="left" indent="1"/>
    </xf>
    <xf numFmtId="174" fontId="14" fillId="6" borderId="0" xfId="1" applyNumberFormat="1" applyFont="1" applyFill="1" applyBorder="1" applyAlignment="1"/>
    <xf numFmtId="173" fontId="28" fillId="6" borderId="100" xfId="1" applyNumberFormat="1" applyFont="1" applyFill="1" applyBorder="1" applyAlignment="1"/>
    <xf numFmtId="2" fontId="14" fillId="6" borderId="0" xfId="0" applyNumberFormat="1" applyFont="1" applyFill="1"/>
    <xf numFmtId="2" fontId="14" fillId="6" borderId="100" xfId="0" applyNumberFormat="1" applyFont="1" applyFill="1" applyBorder="1"/>
    <xf numFmtId="173" fontId="28" fillId="5" borderId="0" xfId="1" applyNumberFormat="1" applyFont="1" applyFill="1" applyAlignment="1"/>
    <xf numFmtId="5" fontId="32" fillId="5" borderId="0" xfId="0" applyNumberFormat="1" applyFont="1" applyFill="1" applyAlignment="1">
      <alignment horizontal="left"/>
    </xf>
    <xf numFmtId="169" fontId="52" fillId="5" borderId="0" xfId="0" applyNumberFormat="1" applyFont="1" applyFill="1" applyAlignment="1">
      <alignment horizontal="center"/>
    </xf>
    <xf numFmtId="5" fontId="14" fillId="0" borderId="0" xfId="0" applyNumberFormat="1" applyFont="1" applyAlignment="1">
      <alignment horizontal="center"/>
    </xf>
    <xf numFmtId="167" fontId="51" fillId="5" borderId="0" xfId="0" applyNumberFormat="1" applyFont="1" applyFill="1" applyAlignment="1">
      <alignment horizontal="center"/>
    </xf>
    <xf numFmtId="167" fontId="14" fillId="5" borderId="0" xfId="0" applyNumberFormat="1" applyFont="1" applyFill="1" applyAlignment="1">
      <alignment horizontal="left"/>
    </xf>
    <xf numFmtId="167" fontId="51" fillId="2" borderId="19" xfId="0" applyNumberFormat="1" applyFont="1" applyFill="1" applyBorder="1" applyAlignment="1">
      <alignment horizontal="center"/>
    </xf>
    <xf numFmtId="167" fontId="51" fillId="2" borderId="20" xfId="0" applyNumberFormat="1" applyFont="1" applyFill="1" applyBorder="1" applyAlignment="1">
      <alignment horizontal="center"/>
    </xf>
    <xf numFmtId="0" fontId="14" fillId="5" borderId="0" xfId="0" applyFont="1" applyFill="1" applyAlignment="1">
      <alignment horizontal="left"/>
    </xf>
    <xf numFmtId="5" fontId="14" fillId="0" borderId="0" xfId="1" applyNumberFormat="1" applyFont="1" applyFill="1" applyBorder="1" applyAlignment="1">
      <alignment horizontal="center"/>
    </xf>
    <xf numFmtId="173" fontId="51" fillId="5" borderId="0" xfId="1" applyNumberFormat="1" applyFont="1" applyFill="1" applyAlignment="1">
      <alignment horizontal="center"/>
    </xf>
    <xf numFmtId="173" fontId="14" fillId="5" borderId="0" xfId="1" applyNumberFormat="1" applyFont="1" applyFill="1" applyAlignment="1">
      <alignment horizontal="center"/>
    </xf>
    <xf numFmtId="39" fontId="14" fillId="0" borderId="0" xfId="1" applyNumberFormat="1" applyFont="1" applyFill="1" applyBorder="1" applyAlignment="1">
      <alignment horizontal="center"/>
    </xf>
    <xf numFmtId="9" fontId="18" fillId="6" borderId="101" xfId="1" applyFont="1" applyFill="1" applyBorder="1"/>
    <xf numFmtId="174" fontId="18" fillId="6" borderId="24" xfId="0" applyNumberFormat="1" applyFont="1" applyFill="1" applyBorder="1"/>
    <xf numFmtId="5" fontId="18" fillId="6" borderId="24" xfId="0" applyNumberFormat="1" applyFont="1" applyFill="1" applyBorder="1"/>
    <xf numFmtId="5" fontId="18" fillId="6" borderId="102" xfId="0" applyNumberFormat="1" applyFont="1" applyFill="1" applyBorder="1"/>
    <xf numFmtId="174" fontId="14" fillId="6" borderId="24" xfId="0" applyNumberFormat="1" applyFont="1" applyFill="1" applyBorder="1"/>
    <xf numFmtId="174" fontId="18" fillId="6" borderId="109" xfId="0" applyNumberFormat="1" applyFont="1" applyFill="1" applyBorder="1"/>
    <xf numFmtId="174" fontId="14" fillId="6" borderId="8" xfId="1" applyNumberFormat="1" applyFont="1" applyFill="1" applyBorder="1" applyAlignment="1">
      <alignment horizontal="right"/>
    </xf>
    <xf numFmtId="5" fontId="14" fillId="6" borderId="8" xfId="1" applyNumberFormat="1" applyFont="1" applyFill="1" applyBorder="1" applyAlignment="1">
      <alignment horizontal="right"/>
    </xf>
    <xf numFmtId="5" fontId="14" fillId="6" borderId="110" xfId="1" applyNumberFormat="1" applyFont="1" applyFill="1" applyBorder="1" applyAlignment="1">
      <alignment horizontal="right"/>
    </xf>
    <xf numFmtId="5" fontId="14" fillId="5" borderId="2" xfId="0" applyNumberFormat="1" applyFont="1" applyFill="1" applyBorder="1" applyAlignment="1">
      <alignment horizontal="left"/>
    </xf>
    <xf numFmtId="5" fontId="14" fillId="5" borderId="7" xfId="0" applyNumberFormat="1" applyFont="1" applyFill="1" applyBorder="1" applyAlignment="1">
      <alignment horizontal="left"/>
    </xf>
    <xf numFmtId="5" fontId="18" fillId="5" borderId="7" xfId="0" applyNumberFormat="1" applyFont="1" applyFill="1" applyBorder="1" applyAlignment="1">
      <alignment horizontal="left"/>
    </xf>
    <xf numFmtId="7" fontId="14" fillId="5" borderId="3" xfId="1" applyNumberFormat="1" applyFont="1" applyFill="1" applyBorder="1" applyAlignment="1">
      <alignment horizontal="right"/>
    </xf>
    <xf numFmtId="184" fontId="14" fillId="5" borderId="4" xfId="1" applyNumberFormat="1" applyFont="1" applyFill="1" applyBorder="1" applyAlignment="1">
      <alignment horizontal="right"/>
    </xf>
    <xf numFmtId="184" fontId="14" fillId="5" borderId="6" xfId="0" applyNumberFormat="1" applyFont="1" applyFill="1" applyBorder="1"/>
    <xf numFmtId="184" fontId="14" fillId="5" borderId="6" xfId="1" applyNumberFormat="1" applyFont="1" applyFill="1" applyBorder="1" applyAlignment="1">
      <alignment horizontal="right"/>
    </xf>
    <xf numFmtId="10" fontId="14" fillId="5" borderId="8" xfId="1" applyNumberFormat="1" applyFont="1" applyFill="1" applyBorder="1" applyAlignment="1">
      <alignment horizontal="right"/>
    </xf>
    <xf numFmtId="10" fontId="14" fillId="5" borderId="9" xfId="1" applyNumberFormat="1" applyFont="1" applyFill="1" applyBorder="1" applyAlignment="1">
      <alignment horizontal="right"/>
    </xf>
    <xf numFmtId="173" fontId="14" fillId="5" borderId="25" xfId="1" applyNumberFormat="1" applyFont="1" applyFill="1" applyBorder="1"/>
    <xf numFmtId="0" fontId="14" fillId="5" borderId="7" xfId="0" applyFont="1" applyFill="1" applyBorder="1"/>
    <xf numFmtId="2" fontId="14" fillId="5" borderId="8" xfId="0" applyNumberFormat="1" applyFont="1" applyFill="1" applyBorder="1" applyAlignment="1">
      <alignment horizontal="right"/>
    </xf>
    <xf numFmtId="37" fontId="32" fillId="5" borderId="2" xfId="0" applyNumberFormat="1" applyFont="1" applyFill="1" applyBorder="1"/>
    <xf numFmtId="167" fontId="34" fillId="2" borderId="114" xfId="0" applyNumberFormat="1" applyFont="1" applyFill="1" applyBorder="1" applyAlignment="1">
      <alignment horizontal="left"/>
    </xf>
    <xf numFmtId="167" fontId="15" fillId="2" borderId="117" xfId="0" applyNumberFormat="1" applyFont="1" applyFill="1" applyBorder="1" applyAlignment="1">
      <alignment horizontal="center"/>
    </xf>
    <xf numFmtId="167" fontId="15" fillId="3" borderId="118" xfId="0" applyNumberFormat="1" applyFont="1" applyFill="1" applyBorder="1" applyAlignment="1">
      <alignment horizontal="center"/>
    </xf>
    <xf numFmtId="37" fontId="14" fillId="5" borderId="99" xfId="0" applyNumberFormat="1" applyFont="1" applyFill="1" applyBorder="1" applyAlignment="1">
      <alignment horizontal="left"/>
    </xf>
    <xf numFmtId="5" fontId="14" fillId="5" borderId="100" xfId="0" applyNumberFormat="1" applyFont="1" applyFill="1" applyBorder="1" applyAlignment="1">
      <alignment horizontal="right"/>
    </xf>
    <xf numFmtId="5" fontId="14" fillId="5" borderId="99" xfId="0" applyNumberFormat="1" applyFont="1" applyFill="1" applyBorder="1" applyAlignment="1">
      <alignment horizontal="right"/>
    </xf>
    <xf numFmtId="5" fontId="14" fillId="5" borderId="99" xfId="0" applyNumberFormat="1" applyFont="1" applyFill="1" applyBorder="1" applyAlignment="1">
      <alignment horizontal="left"/>
    </xf>
    <xf numFmtId="5" fontId="14" fillId="5" borderId="105" xfId="0" applyNumberFormat="1" applyFont="1" applyFill="1" applyBorder="1" applyAlignment="1">
      <alignment horizontal="left"/>
    </xf>
    <xf numFmtId="5" fontId="14" fillId="5" borderId="69" xfId="0" applyNumberFormat="1" applyFont="1" applyFill="1" applyBorder="1" applyAlignment="1">
      <alignment horizontal="right"/>
    </xf>
    <xf numFmtId="5" fontId="14" fillId="5" borderId="106" xfId="0" applyNumberFormat="1" applyFont="1" applyFill="1" applyBorder="1" applyAlignment="1">
      <alignment horizontal="right"/>
    </xf>
    <xf numFmtId="5" fontId="14" fillId="5" borderId="105" xfId="0" applyNumberFormat="1" applyFont="1" applyFill="1" applyBorder="1" applyAlignment="1">
      <alignment horizontal="right"/>
    </xf>
    <xf numFmtId="37" fontId="14" fillId="5" borderId="7" xfId="0" applyNumberFormat="1" applyFont="1" applyFill="1" applyBorder="1" applyAlignment="1">
      <alignment horizontal="left"/>
    </xf>
    <xf numFmtId="173" fontId="14" fillId="5" borderId="120" xfId="0" applyNumberFormat="1" applyFont="1" applyFill="1" applyBorder="1"/>
    <xf numFmtId="10" fontId="14" fillId="5" borderId="119" xfId="0" applyNumberFormat="1" applyFont="1" applyFill="1" applyBorder="1"/>
    <xf numFmtId="10" fontId="14" fillId="5" borderId="120" xfId="0" applyNumberFormat="1" applyFont="1" applyFill="1" applyBorder="1"/>
    <xf numFmtId="10" fontId="14" fillId="5" borderId="24" xfId="1" applyNumberFormat="1" applyFont="1" applyFill="1" applyBorder="1"/>
    <xf numFmtId="10" fontId="14" fillId="5" borderId="25" xfId="1" applyNumberFormat="1" applyFont="1" applyFill="1" applyBorder="1"/>
    <xf numFmtId="169" fontId="15" fillId="4" borderId="121" xfId="0" applyNumberFormat="1" applyFont="1" applyFill="1" applyBorder="1" applyAlignment="1">
      <alignment horizontal="center"/>
    </xf>
    <xf numFmtId="169" fontId="15" fillId="3" borderId="122" xfId="0" applyNumberFormat="1" applyFont="1" applyFill="1" applyBorder="1" applyAlignment="1">
      <alignment horizontal="center"/>
    </xf>
    <xf numFmtId="169" fontId="15" fillId="3" borderId="123" xfId="0" applyNumberFormat="1" applyFont="1" applyFill="1" applyBorder="1" applyAlignment="1">
      <alignment horizontal="center"/>
    </xf>
    <xf numFmtId="5" fontId="18" fillId="5" borderId="8" xfId="0" applyNumberFormat="1" applyFont="1" applyFill="1" applyBorder="1"/>
    <xf numFmtId="5" fontId="18" fillId="5" borderId="9" xfId="0" applyNumberFormat="1" applyFont="1" applyFill="1" applyBorder="1"/>
    <xf numFmtId="2" fontId="14" fillId="5" borderId="0" xfId="1" applyNumberFormat="1" applyFont="1" applyFill="1" applyBorder="1" applyAlignment="1">
      <alignment horizontal="right"/>
    </xf>
    <xf numFmtId="5" fontId="14" fillId="0" borderId="8" xfId="1" applyNumberFormat="1" applyFont="1" applyFill="1" applyBorder="1" applyAlignment="1"/>
    <xf numFmtId="5" fontId="33" fillId="3" borderId="35" xfId="0" applyNumberFormat="1" applyFont="1" applyFill="1" applyBorder="1" applyAlignment="1">
      <alignment horizontal="center"/>
    </xf>
    <xf numFmtId="5" fontId="33" fillId="3" borderId="125" xfId="0" applyNumberFormat="1" applyFont="1" applyFill="1" applyBorder="1" applyAlignment="1">
      <alignment horizontal="center"/>
    </xf>
    <xf numFmtId="5" fontId="14" fillId="2" borderId="124" xfId="0" applyNumberFormat="1" applyFont="1" applyFill="1" applyBorder="1"/>
    <xf numFmtId="7" fontId="12" fillId="3" borderId="0" xfId="0" applyNumberFormat="1" applyFont="1" applyFill="1"/>
    <xf numFmtId="0" fontId="33" fillId="3" borderId="0" xfId="0" applyFont="1" applyFill="1"/>
    <xf numFmtId="166" fontId="13" fillId="3" borderId="22" xfId="0" applyNumberFormat="1" applyFont="1" applyFill="1" applyBorder="1" applyAlignment="1">
      <alignment horizontal="right"/>
    </xf>
    <xf numFmtId="191" fontId="13" fillId="3" borderId="22" xfId="0" applyNumberFormat="1" applyFont="1" applyFill="1" applyBorder="1" applyAlignment="1">
      <alignment horizontal="left"/>
    </xf>
    <xf numFmtId="7" fontId="13" fillId="3" borderId="0" xfId="0" applyNumberFormat="1" applyFont="1" applyFill="1"/>
    <xf numFmtId="7" fontId="13" fillId="3" borderId="22" xfId="0" applyNumberFormat="1" applyFont="1" applyFill="1" applyBorder="1"/>
    <xf numFmtId="5" fontId="10" fillId="3" borderId="0" xfId="0" applyNumberFormat="1" applyFont="1" applyFill="1"/>
    <xf numFmtId="5" fontId="13" fillId="3" borderId="0" xfId="0" applyNumberFormat="1" applyFont="1" applyFill="1" applyAlignment="1">
      <alignment horizontal="right"/>
    </xf>
    <xf numFmtId="5" fontId="13" fillId="3" borderId="22" xfId="0" applyNumberFormat="1" applyFont="1" applyFill="1" applyBorder="1" applyAlignment="1">
      <alignment horizontal="right"/>
    </xf>
    <xf numFmtId="0" fontId="8" fillId="3" borderId="0" xfId="0" applyFont="1" applyFill="1"/>
    <xf numFmtId="168" fontId="9" fillId="3" borderId="0" xfId="0" applyNumberFormat="1" applyFont="1" applyFill="1"/>
    <xf numFmtId="168" fontId="13" fillId="3" borderId="0" xfId="0" applyNumberFormat="1" applyFont="1" applyFill="1" applyAlignment="1">
      <alignment horizontal="right"/>
    </xf>
    <xf numFmtId="7" fontId="13" fillId="3" borderId="0" xfId="0" applyNumberFormat="1" applyFont="1" applyFill="1" applyAlignment="1">
      <alignment horizontal="right"/>
    </xf>
    <xf numFmtId="0" fontId="13" fillId="3" borderId="22" xfId="0" applyFont="1" applyFill="1" applyBorder="1" applyAlignment="1">
      <alignment horizontal="left"/>
    </xf>
    <xf numFmtId="7" fontId="13" fillId="3" borderId="22" xfId="0" applyNumberFormat="1" applyFont="1" applyFill="1" applyBorder="1" applyAlignment="1">
      <alignment horizontal="right"/>
    </xf>
    <xf numFmtId="7" fontId="38" fillId="3" borderId="22" xfId="0" applyNumberFormat="1" applyFont="1" applyFill="1" applyBorder="1"/>
    <xf numFmtId="7" fontId="13" fillId="3" borderId="19" xfId="0" applyNumberFormat="1" applyFont="1" applyFill="1" applyBorder="1" applyAlignment="1">
      <alignment horizontal="left"/>
    </xf>
    <xf numFmtId="170" fontId="13" fillId="3" borderId="0" xfId="0" applyNumberFormat="1" applyFont="1" applyFill="1" applyAlignment="1">
      <alignment horizontal="right"/>
    </xf>
    <xf numFmtId="170" fontId="13" fillId="3" borderId="22" xfId="0" applyNumberFormat="1" applyFont="1" applyFill="1" applyBorder="1" applyAlignment="1">
      <alignment horizontal="right"/>
    </xf>
    <xf numFmtId="7" fontId="13" fillId="3" borderId="44" xfId="0" applyNumberFormat="1" applyFont="1" applyFill="1" applyBorder="1" applyAlignment="1">
      <alignment horizontal="left"/>
    </xf>
    <xf numFmtId="0" fontId="13" fillId="3" borderId="36" xfId="0" applyFont="1" applyFill="1" applyBorder="1"/>
    <xf numFmtId="0" fontId="13" fillId="3" borderId="35" xfId="0" applyFont="1" applyFill="1" applyBorder="1" applyAlignment="1">
      <alignment horizontal="right"/>
    </xf>
    <xf numFmtId="0" fontId="13" fillId="3" borderId="36" xfId="0" applyFont="1" applyFill="1" applyBorder="1" applyAlignment="1">
      <alignment horizontal="left"/>
    </xf>
    <xf numFmtId="191" fontId="13" fillId="3" borderId="0" xfId="0" applyNumberFormat="1" applyFont="1" applyFill="1" applyAlignment="1">
      <alignment horizontal="left"/>
    </xf>
    <xf numFmtId="191" fontId="13" fillId="3" borderId="0" xfId="0" applyNumberFormat="1" applyFont="1" applyFill="1" applyAlignment="1">
      <alignment horizontal="right"/>
    </xf>
    <xf numFmtId="191" fontId="13" fillId="3" borderId="22" xfId="0" applyNumberFormat="1" applyFont="1" applyFill="1" applyBorder="1" applyAlignment="1">
      <alignment horizontal="right"/>
    </xf>
    <xf numFmtId="5" fontId="28" fillId="5" borderId="0" xfId="1" applyNumberFormat="1" applyFont="1" applyFill="1" applyBorder="1"/>
    <xf numFmtId="5" fontId="28" fillId="5" borderId="0" xfId="1" applyNumberFormat="1" applyFont="1" applyFill="1" applyBorder="1" applyAlignment="1"/>
    <xf numFmtId="5" fontId="28" fillId="5" borderId="0" xfId="0" applyNumberFormat="1" applyFont="1" applyFill="1" applyAlignment="1">
      <alignment horizontal="left"/>
    </xf>
    <xf numFmtId="5" fontId="28" fillId="5" borderId="0" xfId="1" applyNumberFormat="1" applyFont="1" applyFill="1" applyBorder="1" applyAlignment="1">
      <alignment horizontal="left"/>
    </xf>
    <xf numFmtId="5" fontId="23" fillId="5" borderId="0" xfId="0" applyNumberFormat="1" applyFont="1" applyFill="1" applyAlignment="1">
      <alignment horizontal="left"/>
    </xf>
    <xf numFmtId="5" fontId="23" fillId="5" borderId="0" xfId="1" applyNumberFormat="1" applyFont="1" applyFill="1" applyBorder="1" applyAlignment="1">
      <alignment horizontal="right"/>
    </xf>
    <xf numFmtId="5" fontId="23" fillId="5" borderId="0" xfId="1" applyNumberFormat="1" applyFont="1" applyFill="1" applyBorder="1" applyAlignment="1">
      <alignment horizontal="left"/>
    </xf>
    <xf numFmtId="5" fontId="23" fillId="5" borderId="0" xfId="0" applyNumberFormat="1" applyFont="1" applyFill="1"/>
    <xf numFmtId="5" fontId="23" fillId="5" borderId="0" xfId="1" applyNumberFormat="1" applyFont="1" applyFill="1" applyBorder="1" applyAlignment="1"/>
    <xf numFmtId="5" fontId="29" fillId="5" borderId="0" xfId="0" applyNumberFormat="1" applyFont="1" applyFill="1" applyAlignment="1">
      <alignment horizontal="right"/>
    </xf>
    <xf numFmtId="5" fontId="30" fillId="5" borderId="0" xfId="0" applyNumberFormat="1" applyFont="1" applyFill="1" applyAlignment="1">
      <alignment horizontal="right"/>
    </xf>
    <xf numFmtId="10" fontId="28" fillId="5" borderId="0" xfId="1" applyNumberFormat="1" applyFont="1" applyFill="1" applyBorder="1" applyAlignment="1"/>
    <xf numFmtId="184" fontId="14" fillId="5" borderId="0" xfId="0" applyNumberFormat="1" applyFont="1" applyFill="1"/>
    <xf numFmtId="184" fontId="14" fillId="5" borderId="0" xfId="1" applyNumberFormat="1" applyFont="1" applyFill="1" applyBorder="1"/>
    <xf numFmtId="184" fontId="28" fillId="5" borderId="0" xfId="1" applyNumberFormat="1" applyFont="1" applyFill="1" applyBorder="1" applyAlignment="1">
      <alignment horizontal="right"/>
    </xf>
    <xf numFmtId="173" fontId="48" fillId="0" borderId="0" xfId="1" applyNumberFormat="1" applyFont="1" applyBorder="1"/>
    <xf numFmtId="173" fontId="48" fillId="0" borderId="4" xfId="1" applyNumberFormat="1" applyFont="1" applyBorder="1"/>
    <xf numFmtId="173" fontId="48" fillId="0" borderId="5" xfId="1" applyNumberFormat="1" applyFont="1" applyBorder="1"/>
    <xf numFmtId="173" fontId="48" fillId="0" borderId="6" xfId="1" applyNumberFormat="1" applyFont="1" applyBorder="1"/>
    <xf numFmtId="173" fontId="48" fillId="0" borderId="0" xfId="0" applyNumberFormat="1" applyFont="1"/>
    <xf numFmtId="173" fontId="48" fillId="0" borderId="8" xfId="1" applyNumberFormat="1" applyFont="1" applyBorder="1"/>
    <xf numFmtId="173" fontId="48" fillId="0" borderId="9" xfId="1" applyNumberFormat="1" applyFont="1" applyBorder="1"/>
    <xf numFmtId="173" fontId="48" fillId="0" borderId="7" xfId="1" applyNumberFormat="1" applyFont="1" applyBorder="1"/>
    <xf numFmtId="173" fontId="48" fillId="0" borderId="0" xfId="1" applyNumberFormat="1" applyFont="1" applyFill="1" applyBorder="1" applyAlignment="1"/>
    <xf numFmtId="173" fontId="48" fillId="0" borderId="6" xfId="1" applyNumberFormat="1" applyFont="1" applyFill="1" applyBorder="1" applyAlignment="1"/>
    <xf numFmtId="173" fontId="48" fillId="0" borderId="5" xfId="1" applyNumberFormat="1" applyFont="1" applyFill="1" applyBorder="1" applyAlignment="1"/>
    <xf numFmtId="173" fontId="48" fillId="0" borderId="0" xfId="1" applyNumberFormat="1" applyFont="1" applyBorder="1" applyAlignment="1">
      <alignment horizontal="right"/>
    </xf>
    <xf numFmtId="173" fontId="48" fillId="0" borderId="6" xfId="1" applyNumberFormat="1" applyFont="1" applyBorder="1" applyAlignment="1">
      <alignment horizontal="right"/>
    </xf>
    <xf numFmtId="173" fontId="48" fillId="0" borderId="5" xfId="1" applyNumberFormat="1" applyFont="1" applyBorder="1" applyAlignment="1">
      <alignment horizontal="right"/>
    </xf>
    <xf numFmtId="173" fontId="48" fillId="0" borderId="0" xfId="1" applyNumberFormat="1" applyFont="1" applyFill="1" applyBorder="1" applyAlignment="1">
      <alignment horizontal="right"/>
    </xf>
    <xf numFmtId="173" fontId="48" fillId="0" borderId="6" xfId="1" applyNumberFormat="1" applyFont="1" applyFill="1" applyBorder="1" applyAlignment="1">
      <alignment horizontal="right"/>
    </xf>
    <xf numFmtId="173" fontId="48" fillId="0" borderId="5" xfId="1" applyNumberFormat="1" applyFont="1" applyFill="1" applyBorder="1" applyAlignment="1">
      <alignment horizontal="right"/>
    </xf>
    <xf numFmtId="173" fontId="48" fillId="0" borderId="8" xfId="1" applyNumberFormat="1" applyFont="1" applyFill="1" applyBorder="1" applyAlignment="1">
      <alignment horizontal="right"/>
    </xf>
    <xf numFmtId="173" fontId="48" fillId="0" borderId="9" xfId="1" applyNumberFormat="1" applyFont="1" applyFill="1" applyBorder="1" applyAlignment="1">
      <alignment horizontal="right"/>
    </xf>
    <xf numFmtId="173" fontId="48" fillId="0" borderId="7" xfId="1" applyNumberFormat="1" applyFont="1" applyFill="1" applyBorder="1" applyAlignment="1">
      <alignment horizontal="right"/>
    </xf>
    <xf numFmtId="173" fontId="48" fillId="6" borderId="6" xfId="1" applyNumberFormat="1" applyFont="1" applyFill="1" applyBorder="1" applyAlignment="1">
      <alignment horizontal="right"/>
    </xf>
    <xf numFmtId="173" fontId="53" fillId="0" borderId="9" xfId="0" applyNumberFormat="1" applyFont="1" applyBorder="1" applyAlignment="1">
      <alignment horizontal="right"/>
    </xf>
    <xf numFmtId="173" fontId="48" fillId="0" borderId="0" xfId="1" applyNumberFormat="1" applyFont="1" applyFill="1" applyBorder="1"/>
    <xf numFmtId="173" fontId="48" fillId="0" borderId="6" xfId="1" applyNumberFormat="1" applyFont="1" applyFill="1" applyBorder="1"/>
    <xf numFmtId="173" fontId="48" fillId="0" borderId="5" xfId="1" applyNumberFormat="1" applyFont="1" applyFill="1" applyBorder="1"/>
    <xf numFmtId="5" fontId="47" fillId="13" borderId="0" xfId="1" applyNumberFormat="1" applyFont="1" applyFill="1" applyBorder="1" applyAlignment="1">
      <alignment horizontal="right"/>
    </xf>
    <xf numFmtId="5" fontId="47" fillId="5" borderId="6" xfId="1" applyNumberFormat="1" applyFont="1" applyFill="1" applyBorder="1" applyAlignment="1">
      <alignment horizontal="right"/>
    </xf>
    <xf numFmtId="5" fontId="47" fillId="5" borderId="5" xfId="1" applyNumberFormat="1" applyFont="1" applyFill="1" applyBorder="1" applyAlignment="1">
      <alignment horizontal="right"/>
    </xf>
    <xf numFmtId="5" fontId="47" fillId="5" borderId="0" xfId="1" applyNumberFormat="1" applyFont="1" applyFill="1" applyBorder="1" applyAlignment="1">
      <alignment horizontal="right"/>
    </xf>
    <xf numFmtId="5" fontId="47" fillId="13" borderId="0" xfId="0" applyNumberFormat="1" applyFont="1" applyFill="1" applyAlignment="1">
      <alignment horizontal="right"/>
    </xf>
    <xf numFmtId="5" fontId="47" fillId="5" borderId="6" xfId="0" applyNumberFormat="1" applyFont="1" applyFill="1" applyBorder="1" applyAlignment="1">
      <alignment horizontal="right"/>
    </xf>
    <xf numFmtId="5" fontId="47" fillId="5" borderId="5" xfId="0" applyNumberFormat="1" applyFont="1" applyFill="1" applyBorder="1" applyAlignment="1">
      <alignment horizontal="right"/>
    </xf>
    <xf numFmtId="5" fontId="47" fillId="5" borderId="0" xfId="0" applyNumberFormat="1" applyFont="1" applyFill="1" applyAlignment="1">
      <alignment horizontal="right"/>
    </xf>
    <xf numFmtId="5" fontId="47" fillId="7" borderId="0" xfId="0" applyNumberFormat="1" applyFont="1" applyFill="1" applyAlignment="1">
      <alignment horizontal="right"/>
    </xf>
    <xf numFmtId="5" fontId="47" fillId="7" borderId="6" xfId="0" applyNumberFormat="1" applyFont="1" applyFill="1" applyBorder="1" applyAlignment="1">
      <alignment horizontal="right"/>
    </xf>
    <xf numFmtId="5" fontId="47" fillId="7" borderId="5" xfId="0" applyNumberFormat="1" applyFont="1" applyFill="1" applyBorder="1" applyAlignment="1">
      <alignment horizontal="right"/>
    </xf>
    <xf numFmtId="5" fontId="47" fillId="7" borderId="0" xfId="1" applyNumberFormat="1" applyFont="1" applyFill="1" applyBorder="1" applyAlignment="1">
      <alignment horizontal="right"/>
    </xf>
    <xf numFmtId="5" fontId="47" fillId="7" borderId="6" xfId="1" applyNumberFormat="1" applyFont="1" applyFill="1" applyBorder="1" applyAlignment="1">
      <alignment horizontal="right"/>
    </xf>
    <xf numFmtId="5" fontId="47" fillId="7" borderId="5" xfId="1" applyNumberFormat="1" applyFont="1" applyFill="1" applyBorder="1" applyAlignment="1">
      <alignment horizontal="right"/>
    </xf>
    <xf numFmtId="39" fontId="47" fillId="5" borderId="0" xfId="0" applyNumberFormat="1" applyFont="1" applyFill="1" applyAlignment="1">
      <alignment horizontal="right"/>
    </xf>
    <xf numFmtId="39" fontId="47" fillId="5" borderId="6" xfId="0" applyNumberFormat="1" applyFont="1" applyFill="1" applyBorder="1" applyAlignment="1">
      <alignment horizontal="right"/>
    </xf>
    <xf numFmtId="39" fontId="47" fillId="5" borderId="0" xfId="1" applyNumberFormat="1" applyFont="1" applyFill="1" applyBorder="1" applyAlignment="1">
      <alignment horizontal="right"/>
    </xf>
    <xf numFmtId="39" fontId="47" fillId="5" borderId="6" xfId="1" applyNumberFormat="1" applyFont="1" applyFill="1" applyBorder="1" applyAlignment="1">
      <alignment horizontal="right"/>
    </xf>
    <xf numFmtId="178" fontId="47" fillId="5" borderId="0" xfId="1" applyNumberFormat="1" applyFont="1" applyFill="1" applyBorder="1" applyAlignment="1">
      <alignment horizontal="right"/>
    </xf>
    <xf numFmtId="178" fontId="47" fillId="5" borderId="6" xfId="1" applyNumberFormat="1" applyFont="1" applyFill="1" applyBorder="1" applyAlignment="1">
      <alignment horizontal="right"/>
    </xf>
    <xf numFmtId="178" fontId="47" fillId="5" borderId="5" xfId="1" applyNumberFormat="1" applyFont="1" applyFill="1" applyBorder="1" applyAlignment="1">
      <alignment horizontal="right"/>
    </xf>
    <xf numFmtId="173" fontId="47" fillId="5" borderId="0" xfId="1" applyNumberFormat="1" applyFont="1" applyFill="1" applyBorder="1" applyAlignment="1">
      <alignment horizontal="right"/>
    </xf>
    <xf numFmtId="173" fontId="47" fillId="5" borderId="6" xfId="1" applyNumberFormat="1" applyFont="1" applyFill="1" applyBorder="1" applyAlignment="1">
      <alignment horizontal="right"/>
    </xf>
    <xf numFmtId="173" fontId="47" fillId="5" borderId="5" xfId="1" applyNumberFormat="1" applyFont="1" applyFill="1" applyBorder="1" applyAlignment="1">
      <alignment horizontal="right"/>
    </xf>
    <xf numFmtId="179" fontId="47" fillId="5" borderId="0" xfId="0" applyNumberFormat="1" applyFont="1" applyFill="1" applyAlignment="1">
      <alignment horizontal="right"/>
    </xf>
    <xf numFmtId="179" fontId="47" fillId="5" borderId="6" xfId="0" applyNumberFormat="1" applyFont="1" applyFill="1" applyBorder="1" applyAlignment="1">
      <alignment horizontal="right"/>
    </xf>
    <xf numFmtId="179" fontId="47" fillId="5" borderId="5" xfId="0" applyNumberFormat="1" applyFont="1" applyFill="1" applyBorder="1" applyAlignment="1">
      <alignment horizontal="right"/>
    </xf>
    <xf numFmtId="177" fontId="47" fillId="5" borderId="0" xfId="0" applyNumberFormat="1" applyFont="1" applyFill="1" applyAlignment="1">
      <alignment horizontal="right"/>
    </xf>
    <xf numFmtId="177" fontId="47" fillId="5" borderId="6" xfId="0" applyNumberFormat="1" applyFont="1" applyFill="1" applyBorder="1" applyAlignment="1">
      <alignment horizontal="right"/>
    </xf>
    <xf numFmtId="177" fontId="47" fillId="5" borderId="5" xfId="0" applyNumberFormat="1" applyFont="1" applyFill="1" applyBorder="1" applyAlignment="1">
      <alignment horizontal="right"/>
    </xf>
    <xf numFmtId="5" fontId="47" fillId="5" borderId="24" xfId="0" applyNumberFormat="1" applyFont="1" applyFill="1" applyBorder="1" applyAlignment="1">
      <alignment horizontal="right"/>
    </xf>
    <xf numFmtId="5" fontId="47" fillId="5" borderId="25" xfId="0" applyNumberFormat="1" applyFont="1" applyFill="1" applyBorder="1" applyAlignment="1">
      <alignment horizontal="right"/>
    </xf>
    <xf numFmtId="5" fontId="47" fillId="5" borderId="23" xfId="0" applyNumberFormat="1" applyFont="1" applyFill="1" applyBorder="1" applyAlignment="1">
      <alignment horizontal="right"/>
    </xf>
    <xf numFmtId="5" fontId="47" fillId="5" borderId="4" xfId="0" applyNumberFormat="1" applyFont="1" applyFill="1" applyBorder="1" applyAlignment="1">
      <alignment horizontal="right"/>
    </xf>
    <xf numFmtId="5" fontId="47" fillId="5" borderId="2" xfId="0" applyNumberFormat="1" applyFont="1" applyFill="1" applyBorder="1" applyAlignment="1">
      <alignment horizontal="right"/>
    </xf>
    <xf numFmtId="5" fontId="47" fillId="5" borderId="3" xfId="0" applyNumberFormat="1" applyFont="1" applyFill="1" applyBorder="1" applyAlignment="1">
      <alignment horizontal="right"/>
    </xf>
    <xf numFmtId="39" fontId="47" fillId="5" borderId="5" xfId="0" applyNumberFormat="1" applyFont="1" applyFill="1" applyBorder="1" applyAlignment="1">
      <alignment horizontal="right"/>
    </xf>
    <xf numFmtId="173" fontId="47" fillId="5" borderId="8" xfId="1" applyNumberFormat="1" applyFont="1" applyFill="1" applyBorder="1" applyAlignment="1">
      <alignment horizontal="right"/>
    </xf>
    <xf numFmtId="173" fontId="47" fillId="5" borderId="9" xfId="1" applyNumberFormat="1" applyFont="1" applyFill="1" applyBorder="1" applyAlignment="1">
      <alignment horizontal="right"/>
    </xf>
    <xf numFmtId="173" fontId="47" fillId="5" borderId="7" xfId="1" applyNumberFormat="1" applyFont="1" applyFill="1" applyBorder="1" applyAlignment="1">
      <alignment horizontal="right"/>
    </xf>
    <xf numFmtId="9" fontId="14" fillId="5" borderId="3" xfId="1" applyFont="1" applyFill="1" applyBorder="1" applyAlignment="1">
      <alignment horizontal="right"/>
    </xf>
    <xf numFmtId="9" fontId="14" fillId="5" borderId="4" xfId="1" applyFont="1" applyFill="1" applyBorder="1" applyAlignment="1">
      <alignment horizontal="right"/>
    </xf>
    <xf numFmtId="9" fontId="14" fillId="5" borderId="126" xfId="1" applyFont="1" applyFill="1" applyBorder="1" applyAlignment="1">
      <alignment horizontal="right"/>
    </xf>
    <xf numFmtId="5" fontId="14" fillId="5" borderId="26" xfId="0" applyNumberFormat="1" applyFont="1" applyFill="1" applyBorder="1" applyAlignment="1">
      <alignment horizontal="right"/>
    </xf>
    <xf numFmtId="173" fontId="14" fillId="5" borderId="26" xfId="1" applyNumberFormat="1" applyFont="1" applyFill="1" applyBorder="1" applyAlignment="1">
      <alignment horizontal="right"/>
    </xf>
    <xf numFmtId="173" fontId="14" fillId="5" borderId="127" xfId="1" applyNumberFormat="1" applyFont="1" applyFill="1" applyBorder="1" applyAlignment="1">
      <alignment horizontal="right"/>
    </xf>
    <xf numFmtId="9" fontId="14" fillId="5" borderId="0" xfId="0" applyNumberFormat="1" applyFont="1" applyFill="1" applyAlignment="1">
      <alignment horizontal="right"/>
    </xf>
    <xf numFmtId="173" fontId="14" fillId="5" borderId="8" xfId="0" applyNumberFormat="1" applyFont="1" applyFill="1" applyBorder="1" applyAlignment="1">
      <alignment horizontal="right"/>
    </xf>
    <xf numFmtId="9" fontId="14" fillId="5" borderId="2" xfId="1" applyFont="1" applyFill="1" applyBorder="1" applyAlignment="1">
      <alignment horizontal="right"/>
    </xf>
    <xf numFmtId="173" fontId="14" fillId="5" borderId="5" xfId="0" applyNumberFormat="1" applyFont="1" applyFill="1" applyBorder="1" applyAlignment="1">
      <alignment horizontal="right"/>
    </xf>
    <xf numFmtId="173" fontId="14" fillId="5" borderId="7" xfId="0" applyNumberFormat="1" applyFont="1" applyFill="1" applyBorder="1" applyAlignment="1">
      <alignment horizontal="right"/>
    </xf>
    <xf numFmtId="173" fontId="47" fillId="5" borderId="0" xfId="0" applyNumberFormat="1" applyFont="1" applyFill="1" applyAlignment="1">
      <alignment horizontal="right"/>
    </xf>
    <xf numFmtId="173" fontId="47" fillId="5" borderId="5" xfId="0" applyNumberFormat="1" applyFont="1" applyFill="1" applyBorder="1" applyAlignment="1">
      <alignment horizontal="right"/>
    </xf>
    <xf numFmtId="173" fontId="47" fillId="5" borderId="8" xfId="0" applyNumberFormat="1" applyFont="1" applyFill="1" applyBorder="1" applyAlignment="1">
      <alignment horizontal="right"/>
    </xf>
    <xf numFmtId="173" fontId="47" fillId="5" borderId="7" xfId="0" applyNumberFormat="1" applyFont="1" applyFill="1" applyBorder="1" applyAlignment="1">
      <alignment horizontal="right"/>
    </xf>
    <xf numFmtId="2" fontId="47" fillId="5" borderId="0" xfId="0" applyNumberFormat="1" applyFont="1" applyFill="1" applyAlignment="1">
      <alignment horizontal="right"/>
    </xf>
    <xf numFmtId="2" fontId="47" fillId="5" borderId="6" xfId="0" applyNumberFormat="1" applyFont="1" applyFill="1" applyBorder="1" applyAlignment="1">
      <alignment horizontal="right"/>
    </xf>
    <xf numFmtId="2" fontId="47" fillId="5" borderId="8" xfId="0" applyNumberFormat="1" applyFont="1" applyFill="1" applyBorder="1" applyAlignment="1">
      <alignment horizontal="right"/>
    </xf>
    <xf numFmtId="2" fontId="47" fillId="5" borderId="9" xfId="0" applyNumberFormat="1" applyFont="1" applyFill="1" applyBorder="1" applyAlignment="1">
      <alignment horizontal="right"/>
    </xf>
    <xf numFmtId="5" fontId="47" fillId="5" borderId="8" xfId="0" applyNumberFormat="1" applyFont="1" applyFill="1" applyBorder="1" applyAlignment="1">
      <alignment horizontal="right"/>
    </xf>
    <xf numFmtId="5" fontId="47" fillId="5" borderId="9" xfId="0" applyNumberFormat="1" applyFont="1" applyFill="1" applyBorder="1" applyAlignment="1">
      <alignment horizontal="right"/>
    </xf>
    <xf numFmtId="5" fontId="47" fillId="5" borderId="100" xfId="0" applyNumberFormat="1" applyFont="1" applyFill="1" applyBorder="1" applyAlignment="1">
      <alignment horizontal="right"/>
    </xf>
    <xf numFmtId="5" fontId="47" fillId="5" borderId="99" xfId="0" applyNumberFormat="1" applyFont="1" applyFill="1" applyBorder="1" applyAlignment="1">
      <alignment horizontal="right"/>
    </xf>
    <xf numFmtId="5" fontId="47" fillId="5" borderId="69" xfId="0" applyNumberFormat="1" applyFont="1" applyFill="1" applyBorder="1" applyAlignment="1">
      <alignment horizontal="right"/>
    </xf>
    <xf numFmtId="5" fontId="47" fillId="5" borderId="106" xfId="0" applyNumberFormat="1" applyFont="1" applyFill="1" applyBorder="1" applyAlignment="1">
      <alignment horizontal="right"/>
    </xf>
    <xf numFmtId="5" fontId="47" fillId="5" borderId="105" xfId="0" applyNumberFormat="1" applyFont="1" applyFill="1" applyBorder="1" applyAlignment="1">
      <alignment horizontal="right"/>
    </xf>
    <xf numFmtId="5" fontId="47" fillId="5" borderId="83" xfId="0" applyNumberFormat="1" applyFont="1" applyFill="1" applyBorder="1" applyAlignment="1">
      <alignment horizontal="right"/>
    </xf>
    <xf numFmtId="5" fontId="47" fillId="5" borderId="72" xfId="0" applyNumberFormat="1" applyFont="1" applyFill="1" applyBorder="1" applyAlignment="1">
      <alignment horizontal="right"/>
    </xf>
    <xf numFmtId="5" fontId="47" fillId="5" borderId="73" xfId="0" applyNumberFormat="1" applyFont="1" applyFill="1" applyBorder="1" applyAlignment="1">
      <alignment horizontal="right"/>
    </xf>
    <xf numFmtId="173" fontId="47" fillId="5" borderId="81" xfId="1" applyNumberFormat="1" applyFont="1" applyFill="1" applyBorder="1" applyAlignment="1">
      <alignment horizontal="right"/>
    </xf>
    <xf numFmtId="173" fontId="47" fillId="5" borderId="0" xfId="1" applyNumberFormat="1" applyFont="1" applyFill="1" applyAlignment="1">
      <alignment horizontal="right"/>
    </xf>
    <xf numFmtId="173" fontId="47" fillId="5" borderId="0" xfId="1" applyNumberFormat="1" applyFont="1" applyFill="1"/>
    <xf numFmtId="10" fontId="47" fillId="5" borderId="81" xfId="0" applyNumberFormat="1" applyFont="1" applyFill="1" applyBorder="1" applyAlignment="1">
      <alignment horizontal="right"/>
    </xf>
    <xf numFmtId="5" fontId="47" fillId="5" borderId="80" xfId="0" applyNumberFormat="1" applyFont="1" applyFill="1" applyBorder="1" applyAlignment="1">
      <alignment horizontal="right"/>
    </xf>
    <xf numFmtId="5" fontId="47" fillId="5" borderId="81" xfId="0" applyNumberFormat="1" applyFont="1" applyFill="1" applyBorder="1" applyAlignment="1">
      <alignment horizontal="right"/>
    </xf>
    <xf numFmtId="5" fontId="47" fillId="5" borderId="81" xfId="1" applyNumberFormat="1" applyFont="1" applyFill="1" applyBorder="1" applyAlignment="1">
      <alignment horizontal="right"/>
    </xf>
    <xf numFmtId="5" fontId="47" fillId="5" borderId="8" xfId="1" applyNumberFormat="1" applyFont="1" applyFill="1" applyBorder="1" applyAlignment="1">
      <alignment horizontal="right"/>
    </xf>
    <xf numFmtId="5" fontId="47" fillId="5" borderId="9" xfId="1" applyNumberFormat="1" applyFont="1" applyFill="1" applyBorder="1" applyAlignment="1">
      <alignment horizontal="right"/>
    </xf>
    <xf numFmtId="173" fontId="47" fillId="6" borderId="3" xfId="1" applyNumberFormat="1" applyFont="1" applyFill="1" applyBorder="1" applyAlignment="1">
      <alignment horizontal="right"/>
    </xf>
    <xf numFmtId="173" fontId="47" fillId="6" borderId="4" xfId="1" applyNumberFormat="1" applyFont="1" applyFill="1" applyBorder="1" applyAlignment="1">
      <alignment horizontal="right"/>
    </xf>
    <xf numFmtId="10" fontId="47" fillId="5" borderId="119" xfId="1" applyNumberFormat="1" applyFont="1" applyFill="1" applyBorder="1"/>
    <xf numFmtId="10" fontId="47" fillId="5" borderId="0" xfId="1" applyNumberFormat="1" applyFont="1" applyFill="1" applyBorder="1"/>
    <xf numFmtId="10" fontId="47" fillId="5" borderId="6" xfId="1" applyNumberFormat="1" applyFont="1" applyFill="1" applyBorder="1"/>
    <xf numFmtId="10" fontId="47" fillId="5" borderId="0" xfId="1" applyNumberFormat="1" applyFont="1" applyFill="1"/>
    <xf numFmtId="10" fontId="47" fillId="17" borderId="0" xfId="1" applyNumberFormat="1" applyFont="1" applyFill="1"/>
    <xf numFmtId="39" fontId="47" fillId="5" borderId="0" xfId="0" applyNumberFormat="1" applyFont="1" applyFill="1"/>
    <xf numFmtId="39" fontId="47" fillId="5" borderId="6" xfId="0" applyNumberFormat="1" applyFont="1" applyFill="1" applyBorder="1"/>
    <xf numFmtId="10" fontId="47" fillId="5" borderId="0" xfId="0" applyNumberFormat="1" applyFont="1" applyFill="1"/>
    <xf numFmtId="173" fontId="47" fillId="5" borderId="6" xfId="1" applyNumberFormat="1" applyFont="1" applyFill="1" applyBorder="1"/>
    <xf numFmtId="2" fontId="47" fillId="5" borderId="0" xfId="0" applyNumberFormat="1" applyFont="1" applyFill="1"/>
    <xf numFmtId="180" fontId="47" fillId="5" borderId="0" xfId="1" applyNumberFormat="1" applyFont="1" applyFill="1" applyBorder="1" applyAlignment="1">
      <alignment horizontal="right"/>
    </xf>
    <xf numFmtId="180" fontId="47" fillId="5" borderId="6" xfId="1" applyNumberFormat="1" applyFont="1" applyFill="1" applyBorder="1" applyAlignment="1">
      <alignment horizontal="right"/>
    </xf>
    <xf numFmtId="180" fontId="47" fillId="5" borderId="0" xfId="0" applyNumberFormat="1" applyFont="1" applyFill="1"/>
    <xf numFmtId="180" fontId="47" fillId="5" borderId="6" xfId="0" applyNumberFormat="1" applyFont="1" applyFill="1" applyBorder="1"/>
    <xf numFmtId="2" fontId="47" fillId="5" borderId="8" xfId="0" applyNumberFormat="1" applyFont="1" applyFill="1" applyBorder="1"/>
    <xf numFmtId="180" fontId="47" fillId="5" borderId="8" xfId="0" applyNumberFormat="1" applyFont="1" applyFill="1" applyBorder="1"/>
    <xf numFmtId="180" fontId="47" fillId="5" borderId="9" xfId="0" applyNumberFormat="1" applyFont="1" applyFill="1" applyBorder="1"/>
    <xf numFmtId="173" fontId="47" fillId="0" borderId="14" xfId="1" applyNumberFormat="1" applyFont="1" applyBorder="1" applyAlignment="1">
      <alignment horizontal="center"/>
    </xf>
    <xf numFmtId="173" fontId="47" fillId="0" borderId="6" xfId="1" applyNumberFormat="1" applyFont="1" applyBorder="1" applyAlignment="1">
      <alignment horizontal="center"/>
    </xf>
    <xf numFmtId="173" fontId="47" fillId="5" borderId="14" xfId="1" applyNumberFormat="1" applyFont="1" applyFill="1" applyBorder="1" applyAlignment="1">
      <alignment horizontal="center"/>
    </xf>
    <xf numFmtId="173" fontId="47" fillId="5" borderId="6" xfId="1" applyNumberFormat="1" applyFont="1" applyFill="1" applyBorder="1" applyAlignment="1">
      <alignment horizontal="center"/>
    </xf>
    <xf numFmtId="173" fontId="48" fillId="5" borderId="14" xfId="1" applyNumberFormat="1" applyFont="1" applyFill="1" applyBorder="1" applyAlignment="1">
      <alignment horizontal="center"/>
    </xf>
    <xf numFmtId="39" fontId="47" fillId="0" borderId="14" xfId="0" applyNumberFormat="1" applyFont="1" applyBorder="1" applyAlignment="1">
      <alignment horizontal="center"/>
    </xf>
    <xf numFmtId="39" fontId="47" fillId="0" borderId="6" xfId="0" applyNumberFormat="1" applyFont="1" applyBorder="1" applyAlignment="1">
      <alignment horizontal="center"/>
    </xf>
    <xf numFmtId="39" fontId="47" fillId="0" borderId="14" xfId="1" applyNumberFormat="1" applyFont="1" applyFill="1" applyBorder="1" applyAlignment="1">
      <alignment horizontal="center"/>
    </xf>
    <xf numFmtId="39" fontId="47" fillId="0" borderId="6" xfId="1" applyNumberFormat="1" applyFont="1" applyFill="1" applyBorder="1" applyAlignment="1">
      <alignment horizontal="center"/>
    </xf>
    <xf numFmtId="39" fontId="47" fillId="0" borderId="17" xfId="1" applyNumberFormat="1" applyFont="1" applyFill="1" applyBorder="1" applyAlignment="1">
      <alignment horizontal="center"/>
    </xf>
    <xf numFmtId="39" fontId="47" fillId="0" borderId="9" xfId="1" applyNumberFormat="1" applyFont="1" applyFill="1" applyBorder="1" applyAlignment="1">
      <alignment horizontal="center"/>
    </xf>
    <xf numFmtId="180" fontId="14" fillId="5" borderId="0" xfId="1" applyNumberFormat="1" applyFont="1" applyFill="1" applyBorder="1"/>
    <xf numFmtId="180" fontId="14" fillId="5" borderId="6" xfId="1" applyNumberFormat="1" applyFont="1" applyFill="1" applyBorder="1"/>
    <xf numFmtId="8" fontId="0" fillId="0" borderId="0" xfId="0" applyNumberFormat="1"/>
    <xf numFmtId="0" fontId="16" fillId="0" borderId="2" xfId="0" applyFont="1" applyBorder="1"/>
    <xf numFmtId="0" fontId="16" fillId="0" borderId="3" xfId="0" applyFont="1" applyBorder="1"/>
    <xf numFmtId="0" fontId="0" fillId="0" borderId="3" xfId="0" applyBorder="1"/>
    <xf numFmtId="0" fontId="0" fillId="0" borderId="4" xfId="0" applyBorder="1"/>
    <xf numFmtId="0" fontId="16" fillId="0" borderId="5" xfId="0" applyFont="1" applyBorder="1"/>
    <xf numFmtId="0" fontId="0" fillId="0" borderId="6" xfId="0" applyBorder="1"/>
    <xf numFmtId="0" fontId="16" fillId="0" borderId="7" xfId="0" applyFont="1" applyBorder="1"/>
    <xf numFmtId="0" fontId="16" fillId="0" borderId="8" xfId="0" applyFont="1" applyBorder="1"/>
    <xf numFmtId="0" fontId="0" fillId="0" borderId="8" xfId="0" applyBorder="1"/>
    <xf numFmtId="0" fontId="0" fillId="0" borderId="9" xfId="0" applyBorder="1"/>
    <xf numFmtId="49" fontId="32" fillId="0" borderId="0" xfId="0" applyNumberFormat="1" applyFont="1" applyAlignment="1">
      <alignment horizontal="center"/>
    </xf>
    <xf numFmtId="49" fontId="32" fillId="5" borderId="20" xfId="0" applyNumberFormat="1" applyFont="1" applyFill="1" applyBorder="1" applyAlignment="1">
      <alignment horizontal="center"/>
    </xf>
    <xf numFmtId="180" fontId="47" fillId="7" borderId="0" xfId="0" applyNumberFormat="1" applyFont="1" applyFill="1"/>
    <xf numFmtId="180" fontId="47" fillId="7" borderId="6" xfId="0" applyNumberFormat="1" applyFont="1" applyFill="1" applyBorder="1"/>
    <xf numFmtId="180" fontId="47" fillId="7" borderId="5" xfId="0" applyNumberFormat="1" applyFont="1" applyFill="1" applyBorder="1"/>
    <xf numFmtId="180" fontId="47" fillId="7" borderId="8" xfId="0" applyNumberFormat="1" applyFont="1" applyFill="1" applyBorder="1"/>
    <xf numFmtId="180" fontId="47" fillId="7" borderId="9" xfId="0" applyNumberFormat="1" applyFont="1" applyFill="1" applyBorder="1"/>
    <xf numFmtId="180" fontId="47" fillId="7" borderId="7" xfId="0" applyNumberFormat="1" applyFont="1" applyFill="1" applyBorder="1"/>
    <xf numFmtId="0" fontId="22" fillId="0" borderId="23" xfId="2" applyFont="1" applyBorder="1" applyAlignment="1">
      <alignment horizontal="left"/>
    </xf>
    <xf numFmtId="0" fontId="22" fillId="0" borderId="25" xfId="2" applyFont="1" applyBorder="1" applyAlignment="1">
      <alignment horizontal="left"/>
    </xf>
    <xf numFmtId="171" fontId="17" fillId="0" borderId="23" xfId="0" applyNumberFormat="1" applyFont="1" applyBorder="1" applyAlignment="1">
      <alignment horizontal="left"/>
    </xf>
    <xf numFmtId="171" fontId="17" fillId="0" borderId="25" xfId="0" applyNumberFormat="1" applyFont="1" applyBorder="1" applyAlignment="1">
      <alignment horizontal="left"/>
    </xf>
    <xf numFmtId="0" fontId="17" fillId="0" borderId="23" xfId="0" applyFont="1" applyBorder="1" applyAlignment="1">
      <alignment horizontal="left"/>
    </xf>
    <xf numFmtId="0" fontId="17" fillId="0" borderId="25" xfId="0" applyFont="1" applyBorder="1" applyAlignment="1">
      <alignment horizontal="left"/>
    </xf>
    <xf numFmtId="7" fontId="17" fillId="0" borderId="23" xfId="0" applyNumberFormat="1" applyFont="1" applyBorder="1" applyAlignment="1">
      <alignment horizontal="left"/>
    </xf>
    <xf numFmtId="7" fontId="17" fillId="0" borderId="25" xfId="0" applyNumberFormat="1" applyFont="1" applyBorder="1" applyAlignment="1">
      <alignment horizontal="left"/>
    </xf>
    <xf numFmtId="14" fontId="17" fillId="0" borderId="23" xfId="0" applyNumberFormat="1" applyFont="1" applyBorder="1" applyAlignment="1">
      <alignment horizontal="left"/>
    </xf>
    <xf numFmtId="0" fontId="17" fillId="0" borderId="23" xfId="0" applyFont="1" applyBorder="1"/>
    <xf numFmtId="0" fontId="17" fillId="0" borderId="25" xfId="0" applyFont="1" applyBorder="1"/>
    <xf numFmtId="0" fontId="17" fillId="0" borderId="24" xfId="0" applyFont="1" applyBorder="1" applyAlignment="1">
      <alignment horizontal="left"/>
    </xf>
    <xf numFmtId="7" fontId="49" fillId="11" borderId="3" xfId="1" applyNumberFormat="1" applyFont="1" applyFill="1" applyBorder="1" applyAlignment="1">
      <alignment horizontal="center" wrapText="1"/>
    </xf>
    <xf numFmtId="7" fontId="49" fillId="11" borderId="4" xfId="1" applyNumberFormat="1" applyFont="1" applyFill="1" applyBorder="1" applyAlignment="1">
      <alignment horizontal="center" wrapText="1"/>
    </xf>
    <xf numFmtId="7" fontId="49" fillId="11" borderId="0" xfId="1" applyNumberFormat="1" applyFont="1" applyFill="1" applyBorder="1" applyAlignment="1">
      <alignment horizontal="center" wrapText="1"/>
    </xf>
    <xf numFmtId="7" fontId="49" fillId="11" borderId="6" xfId="1" applyNumberFormat="1" applyFont="1" applyFill="1" applyBorder="1" applyAlignment="1">
      <alignment horizontal="center" wrapText="1"/>
    </xf>
    <xf numFmtId="7" fontId="49" fillId="11" borderId="8" xfId="1" applyNumberFormat="1" applyFont="1" applyFill="1" applyBorder="1" applyAlignment="1">
      <alignment horizontal="center" wrapText="1"/>
    </xf>
    <xf numFmtId="7" fontId="49" fillId="11" borderId="9" xfId="1" applyNumberFormat="1" applyFont="1" applyFill="1" applyBorder="1" applyAlignment="1">
      <alignment horizontal="center" wrapText="1"/>
    </xf>
    <xf numFmtId="173" fontId="50" fillId="9" borderId="2" xfId="1" applyNumberFormat="1" applyFont="1" applyFill="1" applyBorder="1" applyAlignment="1">
      <alignment horizontal="center" vertical="center"/>
    </xf>
    <xf numFmtId="173" fontId="50" fillId="9" borderId="3" xfId="1" applyNumberFormat="1" applyFont="1" applyFill="1" applyBorder="1" applyAlignment="1">
      <alignment horizontal="center" vertical="center"/>
    </xf>
    <xf numFmtId="173" fontId="50" fillId="9" borderId="4" xfId="1" applyNumberFormat="1" applyFont="1" applyFill="1" applyBorder="1" applyAlignment="1">
      <alignment horizontal="center" vertical="center"/>
    </xf>
    <xf numFmtId="173" fontId="50" fillId="9" borderId="5" xfId="1" applyNumberFormat="1" applyFont="1" applyFill="1" applyBorder="1" applyAlignment="1">
      <alignment horizontal="center" vertical="center"/>
    </xf>
    <xf numFmtId="173" fontId="50" fillId="9" borderId="0" xfId="1" applyNumberFormat="1" applyFont="1" applyFill="1" applyBorder="1" applyAlignment="1">
      <alignment horizontal="center" vertical="center"/>
    </xf>
    <xf numFmtId="173" fontId="50" fillId="9" borderId="6" xfId="1" applyNumberFormat="1" applyFont="1" applyFill="1" applyBorder="1" applyAlignment="1">
      <alignment horizontal="center" vertical="center"/>
    </xf>
    <xf numFmtId="173" fontId="50" fillId="9" borderId="7" xfId="1" applyNumberFormat="1" applyFont="1" applyFill="1" applyBorder="1" applyAlignment="1">
      <alignment horizontal="center" vertical="center"/>
    </xf>
    <xf numFmtId="173" fontId="50" fillId="9" borderId="8" xfId="1" applyNumberFormat="1" applyFont="1" applyFill="1" applyBorder="1" applyAlignment="1">
      <alignment horizontal="center" vertical="center"/>
    </xf>
    <xf numFmtId="173" fontId="50" fillId="9" borderId="9" xfId="1" applyNumberFormat="1" applyFont="1" applyFill="1" applyBorder="1" applyAlignment="1">
      <alignment horizontal="center" vertical="center"/>
    </xf>
    <xf numFmtId="168" fontId="15" fillId="3" borderId="20" xfId="0" applyNumberFormat="1" applyFont="1" applyFill="1" applyBorder="1" applyAlignment="1">
      <alignment horizontal="center"/>
    </xf>
    <xf numFmtId="168" fontId="15" fillId="3" borderId="21" xfId="0" applyNumberFormat="1" applyFont="1" applyFill="1" applyBorder="1" applyAlignment="1">
      <alignment horizontal="center"/>
    </xf>
    <xf numFmtId="170" fontId="15" fillId="2" borderId="36" xfId="0" applyNumberFormat="1" applyFont="1" applyFill="1" applyBorder="1" applyAlignment="1">
      <alignment horizontal="center"/>
    </xf>
    <xf numFmtId="170" fontId="15" fillId="2" borderId="37" xfId="0" applyNumberFormat="1" applyFont="1" applyFill="1" applyBorder="1" applyAlignment="1">
      <alignment horizontal="center"/>
    </xf>
    <xf numFmtId="168" fontId="15" fillId="4" borderId="20" xfId="0" applyNumberFormat="1" applyFont="1" applyFill="1" applyBorder="1" applyAlignment="1">
      <alignment horizontal="center"/>
    </xf>
    <xf numFmtId="5" fontId="14" fillId="4" borderId="67" xfId="0" applyNumberFormat="1" applyFont="1" applyFill="1" applyBorder="1" applyAlignment="1">
      <alignment horizontal="center"/>
    </xf>
    <xf numFmtId="170" fontId="15" fillId="2" borderId="19" xfId="0" applyNumberFormat="1" applyFont="1" applyFill="1" applyBorder="1" applyAlignment="1">
      <alignment horizontal="center"/>
    </xf>
    <xf numFmtId="170" fontId="15" fillId="2" borderId="20" xfId="0" applyNumberFormat="1" applyFont="1" applyFill="1" applyBorder="1" applyAlignment="1">
      <alignment horizontal="center"/>
    </xf>
    <xf numFmtId="0" fontId="35" fillId="5" borderId="0" xfId="0" applyFont="1" applyFill="1" applyAlignment="1">
      <alignment horizontal="center" vertical="center" wrapText="1"/>
    </xf>
    <xf numFmtId="0" fontId="12" fillId="3" borderId="0" xfId="0" applyFont="1" applyFill="1" applyAlignment="1">
      <alignment horizontal="left"/>
    </xf>
    <xf numFmtId="0" fontId="13" fillId="3" borderId="0" xfId="0" applyFont="1" applyFill="1" applyAlignment="1">
      <alignment horizontal="left"/>
    </xf>
    <xf numFmtId="5" fontId="12" fillId="3" borderId="0" xfId="0" applyNumberFormat="1" applyFont="1" applyFill="1" applyAlignment="1">
      <alignment horizontal="left"/>
    </xf>
    <xf numFmtId="170" fontId="15" fillId="2" borderId="50" xfId="0" applyNumberFormat="1" applyFont="1" applyFill="1" applyBorder="1" applyAlignment="1">
      <alignment horizontal="center"/>
    </xf>
    <xf numFmtId="170" fontId="15" fillId="2" borderId="51" xfId="0" applyNumberFormat="1" applyFont="1" applyFill="1" applyBorder="1" applyAlignment="1">
      <alignment horizontal="center"/>
    </xf>
    <xf numFmtId="170" fontId="15" fillId="2" borderId="52" xfId="0" applyNumberFormat="1" applyFont="1" applyFill="1" applyBorder="1" applyAlignment="1">
      <alignment horizontal="center"/>
    </xf>
    <xf numFmtId="168" fontId="15" fillId="4" borderId="50" xfId="0" applyNumberFormat="1" applyFont="1" applyFill="1" applyBorder="1" applyAlignment="1">
      <alignment horizontal="center"/>
    </xf>
    <xf numFmtId="168" fontId="15" fillId="4" borderId="51" xfId="0" applyNumberFormat="1" applyFont="1" applyFill="1" applyBorder="1" applyAlignment="1">
      <alignment horizontal="center"/>
    </xf>
    <xf numFmtId="168" fontId="15" fillId="4" borderId="52" xfId="0" applyNumberFormat="1" applyFont="1" applyFill="1" applyBorder="1" applyAlignment="1">
      <alignment horizontal="center"/>
    </xf>
    <xf numFmtId="168" fontId="15" fillId="3" borderId="50" xfId="0" applyNumberFormat="1" applyFont="1" applyFill="1" applyBorder="1" applyAlignment="1">
      <alignment horizontal="center"/>
    </xf>
    <xf numFmtId="168" fontId="15" fillId="3" borderId="51" xfId="0" applyNumberFormat="1" applyFont="1" applyFill="1" applyBorder="1" applyAlignment="1">
      <alignment horizontal="center"/>
    </xf>
    <xf numFmtId="168" fontId="15" fillId="3" borderId="52" xfId="0" applyNumberFormat="1" applyFont="1" applyFill="1" applyBorder="1" applyAlignment="1">
      <alignment horizontal="center"/>
    </xf>
    <xf numFmtId="168" fontId="15" fillId="3" borderId="53" xfId="0" applyNumberFormat="1" applyFont="1" applyFill="1" applyBorder="1" applyAlignment="1">
      <alignment horizontal="center"/>
    </xf>
    <xf numFmtId="5" fontId="13" fillId="3" borderId="0" xfId="0" applyNumberFormat="1" applyFont="1" applyFill="1" applyAlignment="1">
      <alignment horizontal="left"/>
    </xf>
    <xf numFmtId="166" fontId="14" fillId="0" borderId="0" xfId="0" applyNumberFormat="1" applyFont="1" applyAlignment="1">
      <alignment horizontal="center"/>
    </xf>
    <xf numFmtId="168" fontId="15" fillId="4" borderId="43" xfId="0" applyNumberFormat="1" applyFont="1" applyFill="1" applyBorder="1" applyAlignment="1">
      <alignment horizontal="center"/>
    </xf>
    <xf numFmtId="168" fontId="15" fillId="4" borderId="22" xfId="0" applyNumberFormat="1" applyFont="1" applyFill="1" applyBorder="1" applyAlignment="1">
      <alignment horizontal="center"/>
    </xf>
    <xf numFmtId="168" fontId="15" fillId="4" borderId="44" xfId="0" applyNumberFormat="1" applyFont="1" applyFill="1" applyBorder="1" applyAlignment="1">
      <alignment horizontal="center"/>
    </xf>
    <xf numFmtId="168" fontId="15" fillId="3" borderId="43" xfId="0" applyNumberFormat="1" applyFont="1" applyFill="1" applyBorder="1" applyAlignment="1">
      <alignment horizontal="center"/>
    </xf>
    <xf numFmtId="168" fontId="15" fillId="3" borderId="22" xfId="0" applyNumberFormat="1" applyFont="1" applyFill="1" applyBorder="1" applyAlignment="1">
      <alignment horizontal="center"/>
    </xf>
    <xf numFmtId="168" fontId="15" fillId="3" borderId="44" xfId="0" applyNumberFormat="1" applyFont="1" applyFill="1" applyBorder="1" applyAlignment="1">
      <alignment horizontal="center"/>
    </xf>
    <xf numFmtId="170" fontId="15" fillId="2" borderId="40" xfId="0" applyNumberFormat="1" applyFont="1" applyFill="1" applyBorder="1" applyAlignment="1">
      <alignment horizontal="center"/>
    </xf>
    <xf numFmtId="170" fontId="15" fillId="2" borderId="41" xfId="0" applyNumberFormat="1" applyFont="1" applyFill="1" applyBorder="1" applyAlignment="1">
      <alignment horizontal="center"/>
    </xf>
    <xf numFmtId="170" fontId="15" fillId="2" borderId="42" xfId="0" applyNumberFormat="1" applyFont="1" applyFill="1" applyBorder="1" applyAlignment="1">
      <alignment horizontal="center"/>
    </xf>
    <xf numFmtId="168" fontId="15" fillId="3" borderId="45" xfId="0" applyNumberFormat="1" applyFont="1" applyFill="1" applyBorder="1" applyAlignment="1">
      <alignment horizontal="center"/>
    </xf>
    <xf numFmtId="168" fontId="15" fillId="3" borderId="40" xfId="0" applyNumberFormat="1" applyFont="1" applyFill="1" applyBorder="1" applyAlignment="1">
      <alignment horizontal="center"/>
    </xf>
    <xf numFmtId="170" fontId="15" fillId="2" borderId="45" xfId="0" applyNumberFormat="1" applyFont="1" applyFill="1" applyBorder="1" applyAlignment="1">
      <alignment horizontal="center"/>
    </xf>
    <xf numFmtId="168" fontId="15" fillId="4" borderId="45" xfId="0" applyNumberFormat="1" applyFont="1" applyFill="1" applyBorder="1" applyAlignment="1">
      <alignment horizontal="center"/>
    </xf>
    <xf numFmtId="168" fontId="15" fillId="3" borderId="0" xfId="0" applyNumberFormat="1" applyFont="1" applyFill="1" applyAlignment="1">
      <alignment horizontal="center"/>
    </xf>
    <xf numFmtId="167" fontId="33" fillId="3" borderId="0" xfId="0" applyNumberFormat="1" applyFont="1" applyFill="1" applyAlignment="1">
      <alignment horizontal="left"/>
    </xf>
    <xf numFmtId="168" fontId="15" fillId="8" borderId="0" xfId="0" applyNumberFormat="1" applyFont="1" applyFill="1" applyAlignment="1">
      <alignment horizontal="center"/>
    </xf>
    <xf numFmtId="170" fontId="15" fillId="4" borderId="37" xfId="0" applyNumberFormat="1" applyFont="1" applyFill="1" applyBorder="1" applyAlignment="1">
      <alignment horizontal="center"/>
    </xf>
    <xf numFmtId="170" fontId="15" fillId="3" borderId="37" xfId="0" applyNumberFormat="1" applyFont="1" applyFill="1" applyBorder="1" applyAlignment="1">
      <alignment horizontal="center"/>
    </xf>
    <xf numFmtId="168" fontId="33" fillId="3" borderId="0" xfId="0" applyNumberFormat="1" applyFont="1" applyFill="1" applyAlignment="1">
      <alignment horizontal="center"/>
    </xf>
    <xf numFmtId="0" fontId="41" fillId="7" borderId="0" xfId="0" applyFont="1" applyFill="1" applyAlignment="1">
      <alignment horizontal="center" wrapText="1"/>
    </xf>
    <xf numFmtId="5" fontId="23" fillId="5" borderId="5" xfId="0" applyNumberFormat="1" applyFont="1" applyFill="1" applyBorder="1" applyAlignment="1">
      <alignment horizontal="center" vertical="center" wrapText="1"/>
    </xf>
    <xf numFmtId="5" fontId="23" fillId="5" borderId="6" xfId="0" applyNumberFormat="1" applyFont="1" applyFill="1" applyBorder="1" applyAlignment="1">
      <alignment horizontal="center" vertical="center" wrapText="1"/>
    </xf>
    <xf numFmtId="168" fontId="15" fillId="3" borderId="115" xfId="0" applyNumberFormat="1" applyFont="1" applyFill="1" applyBorder="1" applyAlignment="1">
      <alignment horizontal="center"/>
    </xf>
    <xf numFmtId="168" fontId="15" fillId="3" borderId="116" xfId="0" applyNumberFormat="1" applyFont="1" applyFill="1" applyBorder="1" applyAlignment="1">
      <alignment horizontal="center"/>
    </xf>
    <xf numFmtId="170" fontId="15" fillId="2" borderId="115" xfId="0" applyNumberFormat="1" applyFont="1" applyFill="1" applyBorder="1" applyAlignment="1">
      <alignment horizontal="center"/>
    </xf>
    <xf numFmtId="168" fontId="15" fillId="4" borderId="115" xfId="0" applyNumberFormat="1" applyFont="1" applyFill="1" applyBorder="1" applyAlignment="1">
      <alignment horizontal="center"/>
    </xf>
    <xf numFmtId="173" fontId="33" fillId="3" borderId="3" xfId="1" applyNumberFormat="1" applyFont="1" applyFill="1" applyBorder="1" applyAlignment="1">
      <alignment horizontal="center" wrapText="1"/>
    </xf>
    <xf numFmtId="173" fontId="33" fillId="3" borderId="4" xfId="1" applyNumberFormat="1" applyFont="1" applyFill="1" applyBorder="1" applyAlignment="1">
      <alignment horizontal="center" wrapText="1"/>
    </xf>
    <xf numFmtId="5" fontId="33" fillId="3" borderId="94" xfId="0" applyNumberFormat="1" applyFont="1" applyFill="1" applyBorder="1" applyAlignment="1">
      <alignment horizontal="center"/>
    </xf>
    <xf numFmtId="5" fontId="33" fillId="3" borderId="92" xfId="0" applyNumberFormat="1" applyFont="1" applyFill="1" applyBorder="1" applyAlignment="1">
      <alignment horizontal="center"/>
    </xf>
    <xf numFmtId="5" fontId="33" fillId="3" borderId="95" xfId="0" applyNumberFormat="1" applyFont="1" applyFill="1" applyBorder="1" applyAlignment="1">
      <alignment horizontal="center"/>
    </xf>
    <xf numFmtId="5" fontId="33" fillId="2" borderId="40" xfId="0" applyNumberFormat="1" applyFont="1" applyFill="1" applyBorder="1" applyAlignment="1">
      <alignment horizontal="center"/>
    </xf>
    <xf numFmtId="5" fontId="33" fillId="2" borderId="41" xfId="0" applyNumberFormat="1" applyFont="1" applyFill="1" applyBorder="1" applyAlignment="1">
      <alignment horizontal="center"/>
    </xf>
    <xf numFmtId="5" fontId="33" fillId="2" borderId="42" xfId="0" applyNumberFormat="1" applyFont="1" applyFill="1" applyBorder="1" applyAlignment="1">
      <alignment horizontal="center"/>
    </xf>
    <xf numFmtId="168" fontId="15" fillId="3" borderId="41" xfId="0" applyNumberFormat="1" applyFont="1" applyFill="1" applyBorder="1" applyAlignment="1">
      <alignment horizontal="center"/>
    </xf>
    <xf numFmtId="5" fontId="33" fillId="2" borderId="52" xfId="0" applyNumberFormat="1" applyFont="1" applyFill="1" applyBorder="1" applyAlignment="1">
      <alignment horizontal="center" vertical="center" wrapText="1"/>
    </xf>
    <xf numFmtId="5" fontId="33" fillId="2" borderId="128" xfId="0" applyNumberFormat="1" applyFont="1" applyFill="1" applyBorder="1" applyAlignment="1">
      <alignment horizontal="center" vertical="center" wrapText="1"/>
    </xf>
    <xf numFmtId="5" fontId="33" fillId="3" borderId="128" xfId="0" applyNumberFormat="1" applyFont="1" applyFill="1" applyBorder="1" applyAlignment="1">
      <alignment horizontal="center" vertical="center" wrapText="1"/>
    </xf>
    <xf numFmtId="5" fontId="33" fillId="3" borderId="129" xfId="0" applyNumberFormat="1" applyFont="1" applyFill="1" applyBorder="1" applyAlignment="1">
      <alignment horizontal="center" vertical="center" wrapText="1"/>
    </xf>
    <xf numFmtId="168" fontId="15" fillId="3" borderId="39" xfId="0" applyNumberFormat="1" applyFont="1" applyFill="1" applyBorder="1" applyAlignment="1">
      <alignment horizontal="center"/>
    </xf>
    <xf numFmtId="168" fontId="15" fillId="3" borderId="35" xfId="0" applyNumberFormat="1" applyFont="1" applyFill="1" applyBorder="1" applyAlignment="1">
      <alignment horizontal="center"/>
    </xf>
    <xf numFmtId="168" fontId="15" fillId="3" borderId="36" xfId="0" applyNumberFormat="1" applyFont="1" applyFill="1" applyBorder="1" applyAlignment="1">
      <alignment horizontal="center"/>
    </xf>
    <xf numFmtId="168" fontId="15" fillId="5" borderId="0" xfId="0" applyNumberFormat="1" applyFont="1" applyFill="1" applyAlignment="1">
      <alignment horizontal="center"/>
    </xf>
    <xf numFmtId="5" fontId="33" fillId="3" borderId="2" xfId="0" applyNumberFormat="1" applyFont="1" applyFill="1" applyBorder="1" applyAlignment="1">
      <alignment horizontal="center"/>
    </xf>
    <xf numFmtId="5" fontId="33" fillId="3" borderId="3" xfId="0" applyNumberFormat="1" applyFont="1" applyFill="1" applyBorder="1" applyAlignment="1">
      <alignment horizontal="center"/>
    </xf>
    <xf numFmtId="5" fontId="33" fillId="3" borderId="4" xfId="0" applyNumberFormat="1" applyFont="1" applyFill="1" applyBorder="1" applyAlignment="1">
      <alignment horizontal="center"/>
    </xf>
    <xf numFmtId="170" fontId="51" fillId="5" borderId="0" xfId="0" applyNumberFormat="1" applyFont="1" applyFill="1" applyAlignment="1">
      <alignment horizontal="center"/>
    </xf>
    <xf numFmtId="5" fontId="14" fillId="5" borderId="0" xfId="0" applyNumberFormat="1" applyFont="1" applyFill="1" applyAlignment="1">
      <alignment horizontal="left"/>
    </xf>
    <xf numFmtId="0" fontId="14" fillId="5" borderId="0" xfId="0" applyFont="1" applyFill="1" applyAlignment="1">
      <alignment horizontal="left"/>
    </xf>
    <xf numFmtId="5" fontId="33" fillId="3" borderId="107" xfId="0" applyNumberFormat="1" applyFont="1" applyFill="1" applyBorder="1" applyAlignment="1">
      <alignment horizontal="center" wrapText="1"/>
    </xf>
    <xf numFmtId="5" fontId="33" fillId="3" borderId="41" xfId="0" applyNumberFormat="1" applyFont="1" applyFill="1" applyBorder="1" applyAlignment="1">
      <alignment horizontal="center" wrapText="1"/>
    </xf>
    <xf numFmtId="5" fontId="33" fillId="3" borderId="108" xfId="0" applyNumberFormat="1" applyFont="1" applyFill="1" applyBorder="1" applyAlignment="1">
      <alignment horizontal="center" wrapText="1"/>
    </xf>
    <xf numFmtId="5" fontId="33" fillId="3" borderId="107" xfId="0" applyNumberFormat="1" applyFont="1" applyFill="1" applyBorder="1" applyAlignment="1">
      <alignment horizontal="center"/>
    </xf>
    <xf numFmtId="5" fontId="33" fillId="3" borderId="41" xfId="0" applyNumberFormat="1" applyFont="1" applyFill="1" applyBorder="1" applyAlignment="1">
      <alignment horizontal="center"/>
    </xf>
    <xf numFmtId="5" fontId="33" fillId="3" borderId="108" xfId="0" applyNumberFormat="1" applyFont="1" applyFill="1" applyBorder="1" applyAlignment="1">
      <alignment horizontal="center"/>
    </xf>
    <xf numFmtId="7" fontId="33" fillId="3" borderId="2" xfId="0" applyNumberFormat="1" applyFont="1" applyFill="1" applyBorder="1" applyAlignment="1">
      <alignment horizontal="center" wrapText="1"/>
    </xf>
    <xf numFmtId="7" fontId="33" fillId="3" borderId="3" xfId="0" applyNumberFormat="1" applyFont="1" applyFill="1" applyBorder="1" applyAlignment="1">
      <alignment horizontal="center" wrapText="1"/>
    </xf>
    <xf numFmtId="7" fontId="33" fillId="3" borderId="4" xfId="0" applyNumberFormat="1" applyFont="1" applyFill="1" applyBorder="1" applyAlignment="1">
      <alignment horizontal="center" wrapText="1"/>
    </xf>
    <xf numFmtId="9" fontId="14" fillId="4" borderId="107" xfId="1" applyFont="1" applyFill="1" applyBorder="1" applyAlignment="1">
      <alignment horizontal="center" wrapText="1"/>
    </xf>
    <xf numFmtId="9" fontId="14" fillId="4" borderId="41" xfId="1" applyFont="1" applyFill="1" applyBorder="1" applyAlignment="1">
      <alignment horizontal="center" wrapText="1"/>
    </xf>
    <xf numFmtId="9" fontId="14" fillId="4" borderId="108" xfId="1" applyFont="1" applyFill="1" applyBorder="1" applyAlignment="1">
      <alignment horizontal="center" wrapText="1"/>
    </xf>
    <xf numFmtId="168" fontId="15" fillId="14" borderId="0" xfId="0" applyNumberFormat="1" applyFont="1" applyFill="1" applyAlignment="1">
      <alignment horizontal="center"/>
    </xf>
    <xf numFmtId="5" fontId="33" fillId="3" borderId="5" xfId="0" applyNumberFormat="1" applyFont="1" applyFill="1" applyBorder="1" applyAlignment="1">
      <alignment horizontal="center"/>
    </xf>
    <xf numFmtId="5" fontId="33" fillId="3" borderId="0" xfId="0" applyNumberFormat="1" applyFont="1" applyFill="1" applyAlignment="1">
      <alignment horizontal="center"/>
    </xf>
    <xf numFmtId="5" fontId="33" fillId="3" borderId="6" xfId="0" applyNumberFormat="1" applyFont="1" applyFill="1" applyBorder="1" applyAlignment="1">
      <alignment horizontal="center"/>
    </xf>
    <xf numFmtId="5" fontId="33" fillId="3" borderId="5" xfId="1" applyNumberFormat="1" applyFont="1" applyFill="1" applyBorder="1" applyAlignment="1">
      <alignment horizontal="center"/>
    </xf>
    <xf numFmtId="5" fontId="33" fillId="3" borderId="0" xfId="1" applyNumberFormat="1" applyFont="1" applyFill="1" applyBorder="1" applyAlignment="1">
      <alignment horizontal="center"/>
    </xf>
    <xf numFmtId="5" fontId="33" fillId="3" borderId="6" xfId="1" applyNumberFormat="1" applyFont="1" applyFill="1" applyBorder="1" applyAlignment="1">
      <alignment horizontal="center"/>
    </xf>
    <xf numFmtId="0" fontId="2" fillId="0" borderId="0" xfId="0" applyFont="1" applyAlignment="1">
      <alignment horizontal="center" vertical="center"/>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7" fillId="0" borderId="4" xfId="0" applyFont="1" applyBorder="1" applyAlignment="1">
      <alignment horizontal="center" vertical="center" wrapText="1"/>
    </xf>
    <xf numFmtId="0" fontId="7" fillId="0" borderId="5" xfId="0" applyFont="1" applyBorder="1" applyAlignment="1">
      <alignment horizontal="center" vertical="center" wrapText="1"/>
    </xf>
    <xf numFmtId="0" fontId="7" fillId="0" borderId="0" xfId="0" applyFont="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9" xfId="0" applyFont="1" applyBorder="1" applyAlignment="1">
      <alignment horizontal="center" vertical="center" wrapText="1"/>
    </xf>
  </cellXfs>
  <cellStyles count="7">
    <cellStyle name="Currency" xfId="6" builtinId="4"/>
    <cellStyle name="Hyperlink" xfId="2" builtinId="8"/>
    <cellStyle name="Normal" xfId="0" builtinId="0"/>
    <cellStyle name="Normal 2" xfId="3" xr:uid="{B8A36826-5809-4A2B-B061-7435BDE0D549}"/>
    <cellStyle name="Normal 3" xfId="4" xr:uid="{325521F5-0466-4636-BD32-39D31B8EF6D6}"/>
    <cellStyle name="Percent" xfId="1" builtinId="5"/>
    <cellStyle name="Percent 2" xfId="5" xr:uid="{A7EC2D2C-4132-4074-A3BC-6E027208A7EC}"/>
  </cellStyles>
  <dxfs count="2">
    <dxf>
      <font>
        <strike val="0"/>
        <color theme="0"/>
      </font>
    </dxf>
    <dxf>
      <font>
        <strike val="0"/>
        <color theme="0"/>
      </font>
    </dxf>
  </dxfs>
  <tableStyles count="0" defaultTableStyle="TableStyleMedium2" defaultPivotStyle="PivotStyleLight16"/>
  <colors>
    <mruColors>
      <color rgb="FF0000CC"/>
      <color rgb="FF000066"/>
      <color rgb="FF7A0019"/>
      <color rgb="FF00641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openxmlformats.org/officeDocument/2006/relationships/theme" Target="theme/theme1.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17" Type="http://schemas.openxmlformats.org/officeDocument/2006/relationships/calcChain" Target="calcChain.xml" /><Relationship Id="rId2" Type="http://schemas.openxmlformats.org/officeDocument/2006/relationships/worksheet" Target="worksheets/sheet2.xml" /><Relationship Id="rId16" Type="http://schemas.openxmlformats.org/officeDocument/2006/relationships/sheetMetadata" Target="metadata.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haredStrings" Target="sharedString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styles" Target="styles.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
<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7.xml.rels><?xml version="1.0" encoding="UTF-8" standalone="yes"?>
<Relationships xmlns="http://schemas.openxmlformats.org/package/2006/relationships"><Relationship Id="rId2" Type="http://schemas.microsoft.com/office/2011/relationships/chartColorStyle" Target="colors7.xml" /><Relationship Id="rId1" Type="http://schemas.microsoft.com/office/2011/relationships/chartStyle" Target="style7.xml" /></Relationships>
</file>

<file path=xl/charts/_rels/chart8.xml.rels><?xml version="1.0" encoding="UTF-8" standalone="yes"?>
<Relationships xmlns="http://schemas.openxmlformats.org/package/2006/relationships"><Relationship Id="rId2" Type="http://schemas.microsoft.com/office/2011/relationships/chartColorStyle" Target="colors8.xml" /><Relationship Id="rId1" Type="http://schemas.microsoft.com/office/2011/relationships/chartStyle" Target="style8.xml" /></Relationships>
</file>

<file path=xl/charts/_rels/chart9.xml.rels><?xml version="1.0" encoding="UTF-8" standalone="yes"?>
<Relationships xmlns="http://schemas.openxmlformats.org/package/2006/relationships"><Relationship Id="rId2" Type="http://schemas.microsoft.com/office/2011/relationships/chartColorStyle" Target="colors9.xml" /><Relationship Id="rId1" Type="http://schemas.microsoft.com/office/2011/relationships/chartStyle" Target="style9.xml" /></Relationships>
</file>

<file path=xl/charts/_rels/chart10.xml.rels><?xml version="1.0" encoding="UTF-8" standalone="yes"?>
<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Chart</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42348497771872E-2"/>
          <c:y val="8.6839753591603952E-2"/>
          <c:w val="0.92845712985990791"/>
          <c:h val="0.72267992210526255"/>
        </c:manualLayout>
      </c:layout>
      <c:lineChart>
        <c:grouping val="standard"/>
        <c:varyColors val="0"/>
        <c:ser>
          <c:idx val="0"/>
          <c:order val="0"/>
          <c:tx>
            <c:v>SAIA Share Price</c:v>
          </c:tx>
          <c:spPr>
            <a:ln w="28575" cap="rnd">
              <a:solidFill>
                <a:srgbClr val="7A0019"/>
              </a:solidFill>
              <a:round/>
            </a:ln>
            <a:effectLst/>
          </c:spPr>
          <c:marker>
            <c:symbol val="none"/>
          </c:marker>
          <c:dLbls>
            <c:dLbl>
              <c:idx val="1"/>
              <c:layout>
                <c:manualLayout>
                  <c:x val="-2.7366020524515283E-2"/>
                  <c:y val="0.19512195121951215"/>
                </c:manualLayout>
              </c:layout>
              <c:showLegendKey val="0"/>
              <c:showVal val="1"/>
              <c:showCatName val="0"/>
              <c:showSerName val="0"/>
              <c:showPercent val="0"/>
              <c:showBubbleSize val="0"/>
              <c:extLst>
                <c:ext xmlns:c15="http://schemas.microsoft.com/office/drawing/2012/chart" uri="{CE6537A1-D6FC-4f65-9D91-7224C49458BB}"/>
              </c:extLst>
            </c:dLbl>
            <c:dLbl>
              <c:idx val="209"/>
              <c:layout>
                <c:manualLayout>
                  <c:x val="9.1220068415051314E-3"/>
                  <c:y val="-3.5772357723577251E-2"/>
                </c:manualLayout>
              </c:layout>
              <c:showLegendKey val="0"/>
              <c:showVal val="1"/>
              <c:showCatName val="0"/>
              <c:showSerName val="0"/>
              <c:showPercent val="0"/>
              <c:showBubbleSize val="0"/>
              <c:extLst>
                <c:ext xmlns:c15="http://schemas.microsoft.com/office/drawing/2012/chart" uri="{CE6537A1-D6FC-4f65-9D91-7224C49458BB}"/>
              </c:extLst>
            </c:dLbl>
            <c:dLbl>
              <c:idx val="783"/>
              <c:layout>
                <c:manualLayout>
                  <c:x val="1.0642341315089319E-2"/>
                  <c:y val="-7.8048780487804878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Data!$B$39:$B$1046</c:f>
              <c:numCache>
                <c:formatCode>[$-409]mmm\-dd\-yyyy;@</c:formatCode>
                <c:ptCount val="1008"/>
                <c:pt idx="0">
                  <c:v>45660</c:v>
                </c:pt>
                <c:pt idx="1">
                  <c:v>45659</c:v>
                </c:pt>
                <c:pt idx="2">
                  <c:v>45657</c:v>
                </c:pt>
                <c:pt idx="3">
                  <c:v>45656</c:v>
                </c:pt>
                <c:pt idx="4">
                  <c:v>45653</c:v>
                </c:pt>
                <c:pt idx="5">
                  <c:v>45652</c:v>
                </c:pt>
                <c:pt idx="6">
                  <c:v>45650</c:v>
                </c:pt>
                <c:pt idx="7">
                  <c:v>45649</c:v>
                </c:pt>
                <c:pt idx="8">
                  <c:v>45646</c:v>
                </c:pt>
                <c:pt idx="9">
                  <c:v>45645</c:v>
                </c:pt>
                <c:pt idx="10">
                  <c:v>45644</c:v>
                </c:pt>
                <c:pt idx="11">
                  <c:v>45643</c:v>
                </c:pt>
                <c:pt idx="12">
                  <c:v>45642</c:v>
                </c:pt>
                <c:pt idx="13">
                  <c:v>45639</c:v>
                </c:pt>
                <c:pt idx="14">
                  <c:v>45638</c:v>
                </c:pt>
                <c:pt idx="15">
                  <c:v>45637</c:v>
                </c:pt>
                <c:pt idx="16">
                  <c:v>45636</c:v>
                </c:pt>
                <c:pt idx="17">
                  <c:v>45635</c:v>
                </c:pt>
                <c:pt idx="18">
                  <c:v>45632</c:v>
                </c:pt>
                <c:pt idx="19">
                  <c:v>45631</c:v>
                </c:pt>
                <c:pt idx="20">
                  <c:v>45630</c:v>
                </c:pt>
                <c:pt idx="21">
                  <c:v>45629</c:v>
                </c:pt>
                <c:pt idx="22">
                  <c:v>45628</c:v>
                </c:pt>
                <c:pt idx="23">
                  <c:v>45625</c:v>
                </c:pt>
                <c:pt idx="24">
                  <c:v>45623</c:v>
                </c:pt>
                <c:pt idx="25">
                  <c:v>45622</c:v>
                </c:pt>
                <c:pt idx="26">
                  <c:v>45621</c:v>
                </c:pt>
                <c:pt idx="27">
                  <c:v>45618</c:v>
                </c:pt>
                <c:pt idx="28">
                  <c:v>45617</c:v>
                </c:pt>
                <c:pt idx="29">
                  <c:v>45616</c:v>
                </c:pt>
                <c:pt idx="30">
                  <c:v>45615</c:v>
                </c:pt>
                <c:pt idx="31">
                  <c:v>45614</c:v>
                </c:pt>
                <c:pt idx="32">
                  <c:v>45611</c:v>
                </c:pt>
                <c:pt idx="33">
                  <c:v>45610</c:v>
                </c:pt>
                <c:pt idx="34">
                  <c:v>45609</c:v>
                </c:pt>
                <c:pt idx="35">
                  <c:v>45608</c:v>
                </c:pt>
                <c:pt idx="36">
                  <c:v>45607</c:v>
                </c:pt>
                <c:pt idx="37">
                  <c:v>45604</c:v>
                </c:pt>
                <c:pt idx="38">
                  <c:v>45603</c:v>
                </c:pt>
                <c:pt idx="39">
                  <c:v>45602</c:v>
                </c:pt>
                <c:pt idx="40">
                  <c:v>45601</c:v>
                </c:pt>
                <c:pt idx="41">
                  <c:v>45600</c:v>
                </c:pt>
                <c:pt idx="42">
                  <c:v>45597</c:v>
                </c:pt>
                <c:pt idx="43">
                  <c:v>45596</c:v>
                </c:pt>
                <c:pt idx="44">
                  <c:v>45595</c:v>
                </c:pt>
                <c:pt idx="45">
                  <c:v>45594</c:v>
                </c:pt>
                <c:pt idx="46">
                  <c:v>45593</c:v>
                </c:pt>
                <c:pt idx="47">
                  <c:v>45590</c:v>
                </c:pt>
                <c:pt idx="48">
                  <c:v>45589</c:v>
                </c:pt>
                <c:pt idx="49">
                  <c:v>45588</c:v>
                </c:pt>
                <c:pt idx="50">
                  <c:v>45587</c:v>
                </c:pt>
                <c:pt idx="51">
                  <c:v>45586</c:v>
                </c:pt>
                <c:pt idx="52">
                  <c:v>45583</c:v>
                </c:pt>
                <c:pt idx="53">
                  <c:v>45582</c:v>
                </c:pt>
                <c:pt idx="54">
                  <c:v>45581</c:v>
                </c:pt>
                <c:pt idx="55">
                  <c:v>45580</c:v>
                </c:pt>
                <c:pt idx="56">
                  <c:v>45579</c:v>
                </c:pt>
                <c:pt idx="57">
                  <c:v>45576</c:v>
                </c:pt>
                <c:pt idx="58">
                  <c:v>45575</c:v>
                </c:pt>
                <c:pt idx="59">
                  <c:v>45574</c:v>
                </c:pt>
                <c:pt idx="60">
                  <c:v>45573</c:v>
                </c:pt>
                <c:pt idx="61">
                  <c:v>45572</c:v>
                </c:pt>
                <c:pt idx="62">
                  <c:v>45569</c:v>
                </c:pt>
                <c:pt idx="63">
                  <c:v>45568</c:v>
                </c:pt>
                <c:pt idx="64">
                  <c:v>45567</c:v>
                </c:pt>
                <c:pt idx="65">
                  <c:v>45566</c:v>
                </c:pt>
                <c:pt idx="66">
                  <c:v>45565</c:v>
                </c:pt>
                <c:pt idx="67">
                  <c:v>45562</c:v>
                </c:pt>
                <c:pt idx="68">
                  <c:v>45561</c:v>
                </c:pt>
                <c:pt idx="69">
                  <c:v>45560</c:v>
                </c:pt>
                <c:pt idx="70">
                  <c:v>45559</c:v>
                </c:pt>
                <c:pt idx="71">
                  <c:v>45558</c:v>
                </c:pt>
                <c:pt idx="72">
                  <c:v>45555</c:v>
                </c:pt>
                <c:pt idx="73">
                  <c:v>45554</c:v>
                </c:pt>
                <c:pt idx="74">
                  <c:v>45553</c:v>
                </c:pt>
                <c:pt idx="75">
                  <c:v>45552</c:v>
                </c:pt>
                <c:pt idx="76">
                  <c:v>45551</c:v>
                </c:pt>
                <c:pt idx="77">
                  <c:v>45548</c:v>
                </c:pt>
                <c:pt idx="78">
                  <c:v>45547</c:v>
                </c:pt>
                <c:pt idx="79">
                  <c:v>45546</c:v>
                </c:pt>
                <c:pt idx="80">
                  <c:v>45545</c:v>
                </c:pt>
                <c:pt idx="81">
                  <c:v>45544</c:v>
                </c:pt>
                <c:pt idx="82">
                  <c:v>45541</c:v>
                </c:pt>
                <c:pt idx="83">
                  <c:v>45540</c:v>
                </c:pt>
                <c:pt idx="84">
                  <c:v>45539</c:v>
                </c:pt>
                <c:pt idx="85">
                  <c:v>45538</c:v>
                </c:pt>
                <c:pt idx="86">
                  <c:v>45534</c:v>
                </c:pt>
                <c:pt idx="87">
                  <c:v>45533</c:v>
                </c:pt>
                <c:pt idx="88">
                  <c:v>45532</c:v>
                </c:pt>
                <c:pt idx="89">
                  <c:v>45531</c:v>
                </c:pt>
                <c:pt idx="90">
                  <c:v>45530</c:v>
                </c:pt>
                <c:pt idx="91">
                  <c:v>45527</c:v>
                </c:pt>
                <c:pt idx="92">
                  <c:v>45526</c:v>
                </c:pt>
                <c:pt idx="93">
                  <c:v>45525</c:v>
                </c:pt>
                <c:pt idx="94">
                  <c:v>45524</c:v>
                </c:pt>
                <c:pt idx="95">
                  <c:v>45523</c:v>
                </c:pt>
                <c:pt idx="96">
                  <c:v>45520</c:v>
                </c:pt>
                <c:pt idx="97">
                  <c:v>45519</c:v>
                </c:pt>
                <c:pt idx="98">
                  <c:v>45518</c:v>
                </c:pt>
                <c:pt idx="99">
                  <c:v>45517</c:v>
                </c:pt>
                <c:pt idx="100">
                  <c:v>45516</c:v>
                </c:pt>
                <c:pt idx="101">
                  <c:v>45513</c:v>
                </c:pt>
                <c:pt idx="102">
                  <c:v>45512</c:v>
                </c:pt>
                <c:pt idx="103">
                  <c:v>45511</c:v>
                </c:pt>
                <c:pt idx="104">
                  <c:v>45510</c:v>
                </c:pt>
                <c:pt idx="105">
                  <c:v>45509</c:v>
                </c:pt>
                <c:pt idx="106">
                  <c:v>45506</c:v>
                </c:pt>
                <c:pt idx="107">
                  <c:v>45505</c:v>
                </c:pt>
                <c:pt idx="108">
                  <c:v>45504</c:v>
                </c:pt>
                <c:pt idx="109">
                  <c:v>45503</c:v>
                </c:pt>
                <c:pt idx="110">
                  <c:v>45502</c:v>
                </c:pt>
                <c:pt idx="111">
                  <c:v>45499</c:v>
                </c:pt>
                <c:pt idx="112">
                  <c:v>45498</c:v>
                </c:pt>
                <c:pt idx="113">
                  <c:v>45497</c:v>
                </c:pt>
                <c:pt idx="114">
                  <c:v>45496</c:v>
                </c:pt>
                <c:pt idx="115">
                  <c:v>45495</c:v>
                </c:pt>
                <c:pt idx="116">
                  <c:v>45492</c:v>
                </c:pt>
                <c:pt idx="117">
                  <c:v>45491</c:v>
                </c:pt>
                <c:pt idx="118">
                  <c:v>45490</c:v>
                </c:pt>
                <c:pt idx="119">
                  <c:v>45489</c:v>
                </c:pt>
                <c:pt idx="120">
                  <c:v>45488</c:v>
                </c:pt>
                <c:pt idx="121">
                  <c:v>45485</c:v>
                </c:pt>
                <c:pt idx="122">
                  <c:v>45484</c:v>
                </c:pt>
                <c:pt idx="123">
                  <c:v>45483</c:v>
                </c:pt>
                <c:pt idx="124">
                  <c:v>45482</c:v>
                </c:pt>
                <c:pt idx="125">
                  <c:v>45481</c:v>
                </c:pt>
                <c:pt idx="126">
                  <c:v>45478</c:v>
                </c:pt>
                <c:pt idx="127">
                  <c:v>45476</c:v>
                </c:pt>
                <c:pt idx="128">
                  <c:v>45475</c:v>
                </c:pt>
                <c:pt idx="129">
                  <c:v>45474</c:v>
                </c:pt>
                <c:pt idx="130">
                  <c:v>45471</c:v>
                </c:pt>
                <c:pt idx="131">
                  <c:v>45470</c:v>
                </c:pt>
                <c:pt idx="132">
                  <c:v>45469</c:v>
                </c:pt>
                <c:pt idx="133">
                  <c:v>45468</c:v>
                </c:pt>
                <c:pt idx="134">
                  <c:v>45467</c:v>
                </c:pt>
                <c:pt idx="135">
                  <c:v>45464</c:v>
                </c:pt>
                <c:pt idx="136">
                  <c:v>45463</c:v>
                </c:pt>
                <c:pt idx="137">
                  <c:v>45461</c:v>
                </c:pt>
                <c:pt idx="138">
                  <c:v>45460</c:v>
                </c:pt>
                <c:pt idx="139">
                  <c:v>45457</c:v>
                </c:pt>
                <c:pt idx="140">
                  <c:v>45456</c:v>
                </c:pt>
                <c:pt idx="141">
                  <c:v>45455</c:v>
                </c:pt>
                <c:pt idx="142">
                  <c:v>45454</c:v>
                </c:pt>
                <c:pt idx="143">
                  <c:v>45453</c:v>
                </c:pt>
                <c:pt idx="144">
                  <c:v>45450</c:v>
                </c:pt>
                <c:pt idx="145">
                  <c:v>45449</c:v>
                </c:pt>
                <c:pt idx="146">
                  <c:v>45448</c:v>
                </c:pt>
                <c:pt idx="147">
                  <c:v>45447</c:v>
                </c:pt>
                <c:pt idx="148">
                  <c:v>45446</c:v>
                </c:pt>
                <c:pt idx="149">
                  <c:v>45443</c:v>
                </c:pt>
                <c:pt idx="150">
                  <c:v>45442</c:v>
                </c:pt>
                <c:pt idx="151">
                  <c:v>45441</c:v>
                </c:pt>
                <c:pt idx="152">
                  <c:v>45440</c:v>
                </c:pt>
                <c:pt idx="153">
                  <c:v>45436</c:v>
                </c:pt>
                <c:pt idx="154">
                  <c:v>45435</c:v>
                </c:pt>
                <c:pt idx="155">
                  <c:v>45434</c:v>
                </c:pt>
                <c:pt idx="156">
                  <c:v>45433</c:v>
                </c:pt>
                <c:pt idx="157">
                  <c:v>45432</c:v>
                </c:pt>
                <c:pt idx="158">
                  <c:v>45429</c:v>
                </c:pt>
                <c:pt idx="159">
                  <c:v>45428</c:v>
                </c:pt>
                <c:pt idx="160">
                  <c:v>45427</c:v>
                </c:pt>
                <c:pt idx="161">
                  <c:v>45426</c:v>
                </c:pt>
                <c:pt idx="162">
                  <c:v>45425</c:v>
                </c:pt>
                <c:pt idx="163">
                  <c:v>45422</c:v>
                </c:pt>
                <c:pt idx="164">
                  <c:v>45421</c:v>
                </c:pt>
                <c:pt idx="165">
                  <c:v>45420</c:v>
                </c:pt>
                <c:pt idx="166">
                  <c:v>45419</c:v>
                </c:pt>
                <c:pt idx="167">
                  <c:v>45418</c:v>
                </c:pt>
                <c:pt idx="168">
                  <c:v>45415</c:v>
                </c:pt>
                <c:pt idx="169">
                  <c:v>45414</c:v>
                </c:pt>
                <c:pt idx="170">
                  <c:v>45413</c:v>
                </c:pt>
                <c:pt idx="171">
                  <c:v>45412</c:v>
                </c:pt>
                <c:pt idx="172">
                  <c:v>45411</c:v>
                </c:pt>
                <c:pt idx="173">
                  <c:v>45408</c:v>
                </c:pt>
                <c:pt idx="174">
                  <c:v>45407</c:v>
                </c:pt>
                <c:pt idx="175">
                  <c:v>45406</c:v>
                </c:pt>
                <c:pt idx="176">
                  <c:v>45405</c:v>
                </c:pt>
                <c:pt idx="177">
                  <c:v>45404</c:v>
                </c:pt>
                <c:pt idx="178">
                  <c:v>45401</c:v>
                </c:pt>
                <c:pt idx="179">
                  <c:v>45400</c:v>
                </c:pt>
                <c:pt idx="180">
                  <c:v>45399</c:v>
                </c:pt>
                <c:pt idx="181">
                  <c:v>45398</c:v>
                </c:pt>
                <c:pt idx="182">
                  <c:v>45397</c:v>
                </c:pt>
                <c:pt idx="183">
                  <c:v>45394</c:v>
                </c:pt>
                <c:pt idx="184">
                  <c:v>45393</c:v>
                </c:pt>
                <c:pt idx="185">
                  <c:v>45392</c:v>
                </c:pt>
                <c:pt idx="186">
                  <c:v>45391</c:v>
                </c:pt>
                <c:pt idx="187">
                  <c:v>45390</c:v>
                </c:pt>
                <c:pt idx="188">
                  <c:v>45387</c:v>
                </c:pt>
                <c:pt idx="189">
                  <c:v>45386</c:v>
                </c:pt>
                <c:pt idx="190">
                  <c:v>45385</c:v>
                </c:pt>
                <c:pt idx="191">
                  <c:v>45384</c:v>
                </c:pt>
                <c:pt idx="192">
                  <c:v>45383</c:v>
                </c:pt>
                <c:pt idx="193">
                  <c:v>45379</c:v>
                </c:pt>
                <c:pt idx="194">
                  <c:v>45378</c:v>
                </c:pt>
                <c:pt idx="195">
                  <c:v>45377</c:v>
                </c:pt>
                <c:pt idx="196">
                  <c:v>45376</c:v>
                </c:pt>
                <c:pt idx="197">
                  <c:v>45373</c:v>
                </c:pt>
                <c:pt idx="198">
                  <c:v>45372</c:v>
                </c:pt>
                <c:pt idx="199">
                  <c:v>45371</c:v>
                </c:pt>
                <c:pt idx="200">
                  <c:v>45370</c:v>
                </c:pt>
                <c:pt idx="201">
                  <c:v>45369</c:v>
                </c:pt>
                <c:pt idx="202">
                  <c:v>45366</c:v>
                </c:pt>
                <c:pt idx="203">
                  <c:v>45365</c:v>
                </c:pt>
                <c:pt idx="204">
                  <c:v>45364</c:v>
                </c:pt>
                <c:pt idx="205">
                  <c:v>45363</c:v>
                </c:pt>
                <c:pt idx="206">
                  <c:v>45362</c:v>
                </c:pt>
                <c:pt idx="207">
                  <c:v>45359</c:v>
                </c:pt>
                <c:pt idx="208">
                  <c:v>45358</c:v>
                </c:pt>
                <c:pt idx="209">
                  <c:v>45357</c:v>
                </c:pt>
                <c:pt idx="210">
                  <c:v>45356</c:v>
                </c:pt>
                <c:pt idx="211">
                  <c:v>45355</c:v>
                </c:pt>
                <c:pt idx="212">
                  <c:v>45352</c:v>
                </c:pt>
                <c:pt idx="213">
                  <c:v>45351</c:v>
                </c:pt>
                <c:pt idx="214">
                  <c:v>45350</c:v>
                </c:pt>
                <c:pt idx="215">
                  <c:v>45349</c:v>
                </c:pt>
                <c:pt idx="216">
                  <c:v>45348</c:v>
                </c:pt>
                <c:pt idx="217">
                  <c:v>45345</c:v>
                </c:pt>
                <c:pt idx="218">
                  <c:v>45344</c:v>
                </c:pt>
                <c:pt idx="219">
                  <c:v>45343</c:v>
                </c:pt>
                <c:pt idx="220">
                  <c:v>45342</c:v>
                </c:pt>
                <c:pt idx="221">
                  <c:v>45338</c:v>
                </c:pt>
                <c:pt idx="222">
                  <c:v>45337</c:v>
                </c:pt>
                <c:pt idx="223">
                  <c:v>45336</c:v>
                </c:pt>
                <c:pt idx="224">
                  <c:v>45335</c:v>
                </c:pt>
                <c:pt idx="225">
                  <c:v>45334</c:v>
                </c:pt>
                <c:pt idx="226">
                  <c:v>45331</c:v>
                </c:pt>
                <c:pt idx="227">
                  <c:v>45330</c:v>
                </c:pt>
                <c:pt idx="228">
                  <c:v>45329</c:v>
                </c:pt>
                <c:pt idx="229">
                  <c:v>45328</c:v>
                </c:pt>
                <c:pt idx="230">
                  <c:v>45327</c:v>
                </c:pt>
                <c:pt idx="231">
                  <c:v>45324</c:v>
                </c:pt>
                <c:pt idx="232">
                  <c:v>45323</c:v>
                </c:pt>
                <c:pt idx="233">
                  <c:v>45322</c:v>
                </c:pt>
                <c:pt idx="234">
                  <c:v>45321</c:v>
                </c:pt>
                <c:pt idx="235">
                  <c:v>45320</c:v>
                </c:pt>
                <c:pt idx="236">
                  <c:v>45317</c:v>
                </c:pt>
                <c:pt idx="237">
                  <c:v>45316</c:v>
                </c:pt>
                <c:pt idx="238">
                  <c:v>45315</c:v>
                </c:pt>
                <c:pt idx="239">
                  <c:v>45314</c:v>
                </c:pt>
                <c:pt idx="240">
                  <c:v>45313</c:v>
                </c:pt>
                <c:pt idx="241">
                  <c:v>45310</c:v>
                </c:pt>
                <c:pt idx="242">
                  <c:v>45309</c:v>
                </c:pt>
                <c:pt idx="243">
                  <c:v>45308</c:v>
                </c:pt>
                <c:pt idx="244">
                  <c:v>45307</c:v>
                </c:pt>
                <c:pt idx="245">
                  <c:v>45303</c:v>
                </c:pt>
                <c:pt idx="246">
                  <c:v>45302</c:v>
                </c:pt>
                <c:pt idx="247">
                  <c:v>45301</c:v>
                </c:pt>
                <c:pt idx="248">
                  <c:v>45300</c:v>
                </c:pt>
                <c:pt idx="249">
                  <c:v>45299</c:v>
                </c:pt>
                <c:pt idx="250">
                  <c:v>45296</c:v>
                </c:pt>
                <c:pt idx="251">
                  <c:v>45295</c:v>
                </c:pt>
                <c:pt idx="252">
                  <c:v>45294</c:v>
                </c:pt>
                <c:pt idx="253">
                  <c:v>45293</c:v>
                </c:pt>
                <c:pt idx="254">
                  <c:v>45289</c:v>
                </c:pt>
                <c:pt idx="255">
                  <c:v>45288</c:v>
                </c:pt>
                <c:pt idx="256">
                  <c:v>45287</c:v>
                </c:pt>
                <c:pt idx="257">
                  <c:v>45286</c:v>
                </c:pt>
                <c:pt idx="258">
                  <c:v>45282</c:v>
                </c:pt>
                <c:pt idx="259">
                  <c:v>45281</c:v>
                </c:pt>
                <c:pt idx="260">
                  <c:v>45280</c:v>
                </c:pt>
                <c:pt idx="261">
                  <c:v>45279</c:v>
                </c:pt>
                <c:pt idx="262">
                  <c:v>45278</c:v>
                </c:pt>
                <c:pt idx="263">
                  <c:v>45275</c:v>
                </c:pt>
                <c:pt idx="264">
                  <c:v>45274</c:v>
                </c:pt>
                <c:pt idx="265">
                  <c:v>45273</c:v>
                </c:pt>
                <c:pt idx="266">
                  <c:v>45272</c:v>
                </c:pt>
                <c:pt idx="267">
                  <c:v>45271</c:v>
                </c:pt>
                <c:pt idx="268">
                  <c:v>45268</c:v>
                </c:pt>
                <c:pt idx="269">
                  <c:v>45267</c:v>
                </c:pt>
                <c:pt idx="270">
                  <c:v>45266</c:v>
                </c:pt>
                <c:pt idx="271">
                  <c:v>45265</c:v>
                </c:pt>
                <c:pt idx="272">
                  <c:v>45264</c:v>
                </c:pt>
                <c:pt idx="273">
                  <c:v>45261</c:v>
                </c:pt>
                <c:pt idx="274">
                  <c:v>45260</c:v>
                </c:pt>
                <c:pt idx="275">
                  <c:v>45259</c:v>
                </c:pt>
                <c:pt idx="276">
                  <c:v>45258</c:v>
                </c:pt>
                <c:pt idx="277">
                  <c:v>45257</c:v>
                </c:pt>
                <c:pt idx="278">
                  <c:v>45254</c:v>
                </c:pt>
                <c:pt idx="279">
                  <c:v>45252</c:v>
                </c:pt>
                <c:pt idx="280">
                  <c:v>45251</c:v>
                </c:pt>
                <c:pt idx="281">
                  <c:v>45250</c:v>
                </c:pt>
                <c:pt idx="282">
                  <c:v>45247</c:v>
                </c:pt>
                <c:pt idx="283">
                  <c:v>45246</c:v>
                </c:pt>
                <c:pt idx="284">
                  <c:v>45245</c:v>
                </c:pt>
                <c:pt idx="285">
                  <c:v>45244</c:v>
                </c:pt>
                <c:pt idx="286">
                  <c:v>45243</c:v>
                </c:pt>
                <c:pt idx="287">
                  <c:v>45240</c:v>
                </c:pt>
                <c:pt idx="288">
                  <c:v>45239</c:v>
                </c:pt>
                <c:pt idx="289">
                  <c:v>45238</c:v>
                </c:pt>
                <c:pt idx="290">
                  <c:v>45237</c:v>
                </c:pt>
                <c:pt idx="291">
                  <c:v>45236</c:v>
                </c:pt>
                <c:pt idx="292">
                  <c:v>45233</c:v>
                </c:pt>
                <c:pt idx="293">
                  <c:v>45232</c:v>
                </c:pt>
                <c:pt idx="294">
                  <c:v>45231</c:v>
                </c:pt>
                <c:pt idx="295">
                  <c:v>45230</c:v>
                </c:pt>
                <c:pt idx="296">
                  <c:v>45229</c:v>
                </c:pt>
                <c:pt idx="297">
                  <c:v>45226</c:v>
                </c:pt>
                <c:pt idx="298">
                  <c:v>45225</c:v>
                </c:pt>
                <c:pt idx="299">
                  <c:v>45224</c:v>
                </c:pt>
                <c:pt idx="300">
                  <c:v>45223</c:v>
                </c:pt>
                <c:pt idx="301">
                  <c:v>45222</c:v>
                </c:pt>
                <c:pt idx="302">
                  <c:v>45219</c:v>
                </c:pt>
                <c:pt idx="303">
                  <c:v>45218</c:v>
                </c:pt>
                <c:pt idx="304">
                  <c:v>45217</c:v>
                </c:pt>
                <c:pt idx="305">
                  <c:v>45216</c:v>
                </c:pt>
                <c:pt idx="306">
                  <c:v>45215</c:v>
                </c:pt>
                <c:pt idx="307">
                  <c:v>45212</c:v>
                </c:pt>
                <c:pt idx="308">
                  <c:v>45211</c:v>
                </c:pt>
                <c:pt idx="309">
                  <c:v>45210</c:v>
                </c:pt>
                <c:pt idx="310">
                  <c:v>45209</c:v>
                </c:pt>
                <c:pt idx="311">
                  <c:v>45208</c:v>
                </c:pt>
                <c:pt idx="312">
                  <c:v>45205</c:v>
                </c:pt>
                <c:pt idx="313">
                  <c:v>45204</c:v>
                </c:pt>
                <c:pt idx="314">
                  <c:v>45203</c:v>
                </c:pt>
                <c:pt idx="315">
                  <c:v>45202</c:v>
                </c:pt>
                <c:pt idx="316">
                  <c:v>45201</c:v>
                </c:pt>
                <c:pt idx="317">
                  <c:v>45198</c:v>
                </c:pt>
                <c:pt idx="318">
                  <c:v>45197</c:v>
                </c:pt>
                <c:pt idx="319">
                  <c:v>45196</c:v>
                </c:pt>
                <c:pt idx="320">
                  <c:v>45195</c:v>
                </c:pt>
                <c:pt idx="321">
                  <c:v>45194</c:v>
                </c:pt>
                <c:pt idx="322">
                  <c:v>45191</c:v>
                </c:pt>
                <c:pt idx="323">
                  <c:v>45190</c:v>
                </c:pt>
                <c:pt idx="324">
                  <c:v>45189</c:v>
                </c:pt>
                <c:pt idx="325">
                  <c:v>45188</c:v>
                </c:pt>
                <c:pt idx="326">
                  <c:v>45187</c:v>
                </c:pt>
                <c:pt idx="327">
                  <c:v>45184</c:v>
                </c:pt>
                <c:pt idx="328">
                  <c:v>45183</c:v>
                </c:pt>
                <c:pt idx="329">
                  <c:v>45182</c:v>
                </c:pt>
                <c:pt idx="330">
                  <c:v>45181</c:v>
                </c:pt>
                <c:pt idx="331">
                  <c:v>45180</c:v>
                </c:pt>
                <c:pt idx="332">
                  <c:v>45177</c:v>
                </c:pt>
                <c:pt idx="333">
                  <c:v>45176</c:v>
                </c:pt>
                <c:pt idx="334">
                  <c:v>45175</c:v>
                </c:pt>
                <c:pt idx="335">
                  <c:v>45174</c:v>
                </c:pt>
                <c:pt idx="336">
                  <c:v>45170</c:v>
                </c:pt>
                <c:pt idx="337">
                  <c:v>45169</c:v>
                </c:pt>
                <c:pt idx="338">
                  <c:v>45168</c:v>
                </c:pt>
                <c:pt idx="339">
                  <c:v>45167</c:v>
                </c:pt>
                <c:pt idx="340">
                  <c:v>45166</c:v>
                </c:pt>
                <c:pt idx="341">
                  <c:v>45163</c:v>
                </c:pt>
                <c:pt idx="342">
                  <c:v>45162</c:v>
                </c:pt>
                <c:pt idx="343">
                  <c:v>45161</c:v>
                </c:pt>
                <c:pt idx="344">
                  <c:v>45160</c:v>
                </c:pt>
                <c:pt idx="345">
                  <c:v>45159</c:v>
                </c:pt>
                <c:pt idx="346">
                  <c:v>45156</c:v>
                </c:pt>
                <c:pt idx="347">
                  <c:v>45155</c:v>
                </c:pt>
                <c:pt idx="348">
                  <c:v>45154</c:v>
                </c:pt>
                <c:pt idx="349">
                  <c:v>45153</c:v>
                </c:pt>
                <c:pt idx="350">
                  <c:v>45152</c:v>
                </c:pt>
                <c:pt idx="351">
                  <c:v>45149</c:v>
                </c:pt>
                <c:pt idx="352">
                  <c:v>45148</c:v>
                </c:pt>
                <c:pt idx="353">
                  <c:v>45147</c:v>
                </c:pt>
                <c:pt idx="354">
                  <c:v>45146</c:v>
                </c:pt>
                <c:pt idx="355">
                  <c:v>45145</c:v>
                </c:pt>
                <c:pt idx="356">
                  <c:v>45142</c:v>
                </c:pt>
                <c:pt idx="357">
                  <c:v>45141</c:v>
                </c:pt>
                <c:pt idx="358">
                  <c:v>45140</c:v>
                </c:pt>
                <c:pt idx="359">
                  <c:v>45139</c:v>
                </c:pt>
                <c:pt idx="360">
                  <c:v>45138</c:v>
                </c:pt>
                <c:pt idx="361">
                  <c:v>45135</c:v>
                </c:pt>
                <c:pt idx="362">
                  <c:v>45134</c:v>
                </c:pt>
                <c:pt idx="363">
                  <c:v>45133</c:v>
                </c:pt>
                <c:pt idx="364">
                  <c:v>45132</c:v>
                </c:pt>
                <c:pt idx="365">
                  <c:v>45131</c:v>
                </c:pt>
                <c:pt idx="366">
                  <c:v>45128</c:v>
                </c:pt>
                <c:pt idx="367">
                  <c:v>45127</c:v>
                </c:pt>
                <c:pt idx="368">
                  <c:v>45126</c:v>
                </c:pt>
                <c:pt idx="369">
                  <c:v>45125</c:v>
                </c:pt>
                <c:pt idx="370">
                  <c:v>45124</c:v>
                </c:pt>
                <c:pt idx="371">
                  <c:v>45121</c:v>
                </c:pt>
                <c:pt idx="372">
                  <c:v>45120</c:v>
                </c:pt>
                <c:pt idx="373">
                  <c:v>45119</c:v>
                </c:pt>
                <c:pt idx="374">
                  <c:v>45118</c:v>
                </c:pt>
                <c:pt idx="375">
                  <c:v>45117</c:v>
                </c:pt>
                <c:pt idx="376">
                  <c:v>45114</c:v>
                </c:pt>
                <c:pt idx="377">
                  <c:v>45113</c:v>
                </c:pt>
                <c:pt idx="378">
                  <c:v>45112</c:v>
                </c:pt>
                <c:pt idx="379">
                  <c:v>45110</c:v>
                </c:pt>
                <c:pt idx="380">
                  <c:v>45107</c:v>
                </c:pt>
                <c:pt idx="381">
                  <c:v>45106</c:v>
                </c:pt>
                <c:pt idx="382">
                  <c:v>45105</c:v>
                </c:pt>
                <c:pt idx="383">
                  <c:v>45104</c:v>
                </c:pt>
                <c:pt idx="384">
                  <c:v>45103</c:v>
                </c:pt>
                <c:pt idx="385">
                  <c:v>45100</c:v>
                </c:pt>
                <c:pt idx="386">
                  <c:v>45099</c:v>
                </c:pt>
                <c:pt idx="387">
                  <c:v>45098</c:v>
                </c:pt>
                <c:pt idx="388">
                  <c:v>45097</c:v>
                </c:pt>
                <c:pt idx="389">
                  <c:v>45093</c:v>
                </c:pt>
                <c:pt idx="390">
                  <c:v>45092</c:v>
                </c:pt>
                <c:pt idx="391">
                  <c:v>45091</c:v>
                </c:pt>
                <c:pt idx="392">
                  <c:v>45090</c:v>
                </c:pt>
                <c:pt idx="393">
                  <c:v>45089</c:v>
                </c:pt>
                <c:pt idx="394">
                  <c:v>45086</c:v>
                </c:pt>
                <c:pt idx="395">
                  <c:v>45085</c:v>
                </c:pt>
                <c:pt idx="396">
                  <c:v>45084</c:v>
                </c:pt>
                <c:pt idx="397">
                  <c:v>45083</c:v>
                </c:pt>
                <c:pt idx="398">
                  <c:v>45082</c:v>
                </c:pt>
                <c:pt idx="399">
                  <c:v>45079</c:v>
                </c:pt>
                <c:pt idx="400">
                  <c:v>45078</c:v>
                </c:pt>
                <c:pt idx="401">
                  <c:v>45077</c:v>
                </c:pt>
                <c:pt idx="402">
                  <c:v>45076</c:v>
                </c:pt>
                <c:pt idx="403">
                  <c:v>45072</c:v>
                </c:pt>
                <c:pt idx="404">
                  <c:v>45071</c:v>
                </c:pt>
                <c:pt idx="405">
                  <c:v>45070</c:v>
                </c:pt>
                <c:pt idx="406">
                  <c:v>45069</c:v>
                </c:pt>
                <c:pt idx="407">
                  <c:v>45068</c:v>
                </c:pt>
                <c:pt idx="408">
                  <c:v>45065</c:v>
                </c:pt>
                <c:pt idx="409">
                  <c:v>45064</c:v>
                </c:pt>
                <c:pt idx="410">
                  <c:v>45063</c:v>
                </c:pt>
                <c:pt idx="411">
                  <c:v>45062</c:v>
                </c:pt>
                <c:pt idx="412">
                  <c:v>45061</c:v>
                </c:pt>
                <c:pt idx="413">
                  <c:v>45058</c:v>
                </c:pt>
                <c:pt idx="414">
                  <c:v>45057</c:v>
                </c:pt>
                <c:pt idx="415">
                  <c:v>45056</c:v>
                </c:pt>
                <c:pt idx="416">
                  <c:v>45055</c:v>
                </c:pt>
                <c:pt idx="417">
                  <c:v>45054</c:v>
                </c:pt>
                <c:pt idx="418">
                  <c:v>45051</c:v>
                </c:pt>
                <c:pt idx="419">
                  <c:v>45050</c:v>
                </c:pt>
                <c:pt idx="420">
                  <c:v>45049</c:v>
                </c:pt>
                <c:pt idx="421">
                  <c:v>45048</c:v>
                </c:pt>
                <c:pt idx="422">
                  <c:v>45047</c:v>
                </c:pt>
                <c:pt idx="423">
                  <c:v>45044</c:v>
                </c:pt>
                <c:pt idx="424">
                  <c:v>45043</c:v>
                </c:pt>
                <c:pt idx="425">
                  <c:v>45042</c:v>
                </c:pt>
                <c:pt idx="426">
                  <c:v>45041</c:v>
                </c:pt>
                <c:pt idx="427">
                  <c:v>45040</c:v>
                </c:pt>
                <c:pt idx="428">
                  <c:v>45037</c:v>
                </c:pt>
                <c:pt idx="429">
                  <c:v>45036</c:v>
                </c:pt>
                <c:pt idx="430">
                  <c:v>45035</c:v>
                </c:pt>
                <c:pt idx="431">
                  <c:v>45034</c:v>
                </c:pt>
                <c:pt idx="432">
                  <c:v>45033</c:v>
                </c:pt>
                <c:pt idx="433">
                  <c:v>45030</c:v>
                </c:pt>
                <c:pt idx="434">
                  <c:v>45029</c:v>
                </c:pt>
                <c:pt idx="435">
                  <c:v>45028</c:v>
                </c:pt>
                <c:pt idx="436">
                  <c:v>45027</c:v>
                </c:pt>
                <c:pt idx="437">
                  <c:v>45026</c:v>
                </c:pt>
                <c:pt idx="438">
                  <c:v>45022</c:v>
                </c:pt>
                <c:pt idx="439">
                  <c:v>45021</c:v>
                </c:pt>
                <c:pt idx="440">
                  <c:v>45020</c:v>
                </c:pt>
                <c:pt idx="441">
                  <c:v>45019</c:v>
                </c:pt>
                <c:pt idx="442">
                  <c:v>45016</c:v>
                </c:pt>
                <c:pt idx="443">
                  <c:v>45015</c:v>
                </c:pt>
                <c:pt idx="444">
                  <c:v>45014</c:v>
                </c:pt>
                <c:pt idx="445">
                  <c:v>45013</c:v>
                </c:pt>
                <c:pt idx="446">
                  <c:v>45012</c:v>
                </c:pt>
                <c:pt idx="447">
                  <c:v>45009</c:v>
                </c:pt>
                <c:pt idx="448">
                  <c:v>45008</c:v>
                </c:pt>
                <c:pt idx="449">
                  <c:v>45007</c:v>
                </c:pt>
                <c:pt idx="450">
                  <c:v>45006</c:v>
                </c:pt>
                <c:pt idx="451">
                  <c:v>45005</c:v>
                </c:pt>
                <c:pt idx="452">
                  <c:v>45002</c:v>
                </c:pt>
                <c:pt idx="453">
                  <c:v>45001</c:v>
                </c:pt>
                <c:pt idx="454">
                  <c:v>45000</c:v>
                </c:pt>
                <c:pt idx="455">
                  <c:v>44999</c:v>
                </c:pt>
                <c:pt idx="456">
                  <c:v>44998</c:v>
                </c:pt>
                <c:pt idx="457">
                  <c:v>44995</c:v>
                </c:pt>
                <c:pt idx="458">
                  <c:v>44994</c:v>
                </c:pt>
                <c:pt idx="459">
                  <c:v>44993</c:v>
                </c:pt>
                <c:pt idx="460">
                  <c:v>44992</c:v>
                </c:pt>
                <c:pt idx="461">
                  <c:v>44991</c:v>
                </c:pt>
                <c:pt idx="462">
                  <c:v>44988</c:v>
                </c:pt>
                <c:pt idx="463">
                  <c:v>44987</c:v>
                </c:pt>
                <c:pt idx="464">
                  <c:v>44986</c:v>
                </c:pt>
                <c:pt idx="465">
                  <c:v>44985</c:v>
                </c:pt>
                <c:pt idx="466">
                  <c:v>44984</c:v>
                </c:pt>
                <c:pt idx="467">
                  <c:v>44981</c:v>
                </c:pt>
                <c:pt idx="468">
                  <c:v>44980</c:v>
                </c:pt>
                <c:pt idx="469">
                  <c:v>44979</c:v>
                </c:pt>
                <c:pt idx="470">
                  <c:v>44978</c:v>
                </c:pt>
                <c:pt idx="471">
                  <c:v>44974</c:v>
                </c:pt>
                <c:pt idx="472">
                  <c:v>44973</c:v>
                </c:pt>
                <c:pt idx="473">
                  <c:v>44972</c:v>
                </c:pt>
                <c:pt idx="474">
                  <c:v>44971</c:v>
                </c:pt>
                <c:pt idx="475">
                  <c:v>44970</c:v>
                </c:pt>
                <c:pt idx="476">
                  <c:v>44967</c:v>
                </c:pt>
                <c:pt idx="477">
                  <c:v>44966</c:v>
                </c:pt>
                <c:pt idx="478">
                  <c:v>44965</c:v>
                </c:pt>
                <c:pt idx="479">
                  <c:v>44964</c:v>
                </c:pt>
                <c:pt idx="480">
                  <c:v>44963</c:v>
                </c:pt>
                <c:pt idx="481">
                  <c:v>44960</c:v>
                </c:pt>
                <c:pt idx="482">
                  <c:v>44959</c:v>
                </c:pt>
                <c:pt idx="483">
                  <c:v>44958</c:v>
                </c:pt>
                <c:pt idx="484">
                  <c:v>44957</c:v>
                </c:pt>
                <c:pt idx="485">
                  <c:v>44956</c:v>
                </c:pt>
                <c:pt idx="486">
                  <c:v>44953</c:v>
                </c:pt>
                <c:pt idx="487">
                  <c:v>44952</c:v>
                </c:pt>
                <c:pt idx="488">
                  <c:v>44951</c:v>
                </c:pt>
                <c:pt idx="489">
                  <c:v>44950</c:v>
                </c:pt>
                <c:pt idx="490">
                  <c:v>44949</c:v>
                </c:pt>
                <c:pt idx="491">
                  <c:v>44946</c:v>
                </c:pt>
                <c:pt idx="492">
                  <c:v>44945</c:v>
                </c:pt>
                <c:pt idx="493">
                  <c:v>44944</c:v>
                </c:pt>
                <c:pt idx="494">
                  <c:v>44943</c:v>
                </c:pt>
                <c:pt idx="495">
                  <c:v>44939</c:v>
                </c:pt>
                <c:pt idx="496">
                  <c:v>44938</c:v>
                </c:pt>
                <c:pt idx="497">
                  <c:v>44937</c:v>
                </c:pt>
                <c:pt idx="498">
                  <c:v>44936</c:v>
                </c:pt>
                <c:pt idx="499">
                  <c:v>44935</c:v>
                </c:pt>
                <c:pt idx="500">
                  <c:v>44932</c:v>
                </c:pt>
                <c:pt idx="501">
                  <c:v>44931</c:v>
                </c:pt>
                <c:pt idx="502">
                  <c:v>44930</c:v>
                </c:pt>
                <c:pt idx="503">
                  <c:v>44929</c:v>
                </c:pt>
                <c:pt idx="504">
                  <c:v>44925</c:v>
                </c:pt>
                <c:pt idx="505">
                  <c:v>44924</c:v>
                </c:pt>
                <c:pt idx="506">
                  <c:v>44923</c:v>
                </c:pt>
                <c:pt idx="507">
                  <c:v>44922</c:v>
                </c:pt>
                <c:pt idx="508">
                  <c:v>44918</c:v>
                </c:pt>
                <c:pt idx="509">
                  <c:v>44917</c:v>
                </c:pt>
                <c:pt idx="510">
                  <c:v>44916</c:v>
                </c:pt>
                <c:pt idx="511">
                  <c:v>44915</c:v>
                </c:pt>
                <c:pt idx="512">
                  <c:v>44914</c:v>
                </c:pt>
                <c:pt idx="513">
                  <c:v>44911</c:v>
                </c:pt>
                <c:pt idx="514">
                  <c:v>44910</c:v>
                </c:pt>
                <c:pt idx="515">
                  <c:v>44909</c:v>
                </c:pt>
                <c:pt idx="516">
                  <c:v>44908</c:v>
                </c:pt>
                <c:pt idx="517">
                  <c:v>44907</c:v>
                </c:pt>
                <c:pt idx="518">
                  <c:v>44904</c:v>
                </c:pt>
                <c:pt idx="519">
                  <c:v>44903</c:v>
                </c:pt>
                <c:pt idx="520">
                  <c:v>44902</c:v>
                </c:pt>
                <c:pt idx="521">
                  <c:v>44901</c:v>
                </c:pt>
                <c:pt idx="522">
                  <c:v>44900</c:v>
                </c:pt>
                <c:pt idx="523">
                  <c:v>44897</c:v>
                </c:pt>
                <c:pt idx="524">
                  <c:v>44896</c:v>
                </c:pt>
                <c:pt idx="525">
                  <c:v>44895</c:v>
                </c:pt>
                <c:pt idx="526">
                  <c:v>44894</c:v>
                </c:pt>
                <c:pt idx="527">
                  <c:v>44893</c:v>
                </c:pt>
                <c:pt idx="528">
                  <c:v>44890</c:v>
                </c:pt>
                <c:pt idx="529">
                  <c:v>44888</c:v>
                </c:pt>
                <c:pt idx="530">
                  <c:v>44887</c:v>
                </c:pt>
                <c:pt idx="531">
                  <c:v>44886</c:v>
                </c:pt>
                <c:pt idx="532">
                  <c:v>44883</c:v>
                </c:pt>
                <c:pt idx="533">
                  <c:v>44882</c:v>
                </c:pt>
                <c:pt idx="534">
                  <c:v>44881</c:v>
                </c:pt>
                <c:pt idx="535">
                  <c:v>44880</c:v>
                </c:pt>
                <c:pt idx="536">
                  <c:v>44879</c:v>
                </c:pt>
                <c:pt idx="537">
                  <c:v>44876</c:v>
                </c:pt>
                <c:pt idx="538">
                  <c:v>44875</c:v>
                </c:pt>
                <c:pt idx="539">
                  <c:v>44874</c:v>
                </c:pt>
                <c:pt idx="540">
                  <c:v>44873</c:v>
                </c:pt>
                <c:pt idx="541">
                  <c:v>44872</c:v>
                </c:pt>
                <c:pt idx="542">
                  <c:v>44869</c:v>
                </c:pt>
                <c:pt idx="543">
                  <c:v>44868</c:v>
                </c:pt>
                <c:pt idx="544">
                  <c:v>44867</c:v>
                </c:pt>
                <c:pt idx="545">
                  <c:v>44866</c:v>
                </c:pt>
                <c:pt idx="546">
                  <c:v>44865</c:v>
                </c:pt>
                <c:pt idx="547">
                  <c:v>44862</c:v>
                </c:pt>
                <c:pt idx="548">
                  <c:v>44861</c:v>
                </c:pt>
                <c:pt idx="549">
                  <c:v>44860</c:v>
                </c:pt>
                <c:pt idx="550">
                  <c:v>44859</c:v>
                </c:pt>
                <c:pt idx="551">
                  <c:v>44858</c:v>
                </c:pt>
                <c:pt idx="552">
                  <c:v>44855</c:v>
                </c:pt>
                <c:pt idx="553">
                  <c:v>44854</c:v>
                </c:pt>
                <c:pt idx="554">
                  <c:v>44853</c:v>
                </c:pt>
                <c:pt idx="555">
                  <c:v>44852</c:v>
                </c:pt>
                <c:pt idx="556">
                  <c:v>44851</c:v>
                </c:pt>
                <c:pt idx="557">
                  <c:v>44848</c:v>
                </c:pt>
                <c:pt idx="558">
                  <c:v>44847</c:v>
                </c:pt>
                <c:pt idx="559">
                  <c:v>44846</c:v>
                </c:pt>
                <c:pt idx="560">
                  <c:v>44845</c:v>
                </c:pt>
                <c:pt idx="561">
                  <c:v>44844</c:v>
                </c:pt>
                <c:pt idx="562">
                  <c:v>44841</c:v>
                </c:pt>
                <c:pt idx="563">
                  <c:v>44840</c:v>
                </c:pt>
                <c:pt idx="564">
                  <c:v>44839</c:v>
                </c:pt>
                <c:pt idx="565">
                  <c:v>44838</c:v>
                </c:pt>
                <c:pt idx="566">
                  <c:v>44837</c:v>
                </c:pt>
                <c:pt idx="567">
                  <c:v>44834</c:v>
                </c:pt>
                <c:pt idx="568">
                  <c:v>44833</c:v>
                </c:pt>
                <c:pt idx="569">
                  <c:v>44832</c:v>
                </c:pt>
                <c:pt idx="570">
                  <c:v>44831</c:v>
                </c:pt>
                <c:pt idx="571">
                  <c:v>44830</c:v>
                </c:pt>
                <c:pt idx="572">
                  <c:v>44827</c:v>
                </c:pt>
                <c:pt idx="573">
                  <c:v>44826</c:v>
                </c:pt>
                <c:pt idx="574">
                  <c:v>44825</c:v>
                </c:pt>
                <c:pt idx="575">
                  <c:v>44824</c:v>
                </c:pt>
                <c:pt idx="576">
                  <c:v>44823</c:v>
                </c:pt>
                <c:pt idx="577">
                  <c:v>44820</c:v>
                </c:pt>
                <c:pt idx="578">
                  <c:v>44819</c:v>
                </c:pt>
                <c:pt idx="579">
                  <c:v>44818</c:v>
                </c:pt>
                <c:pt idx="580">
                  <c:v>44817</c:v>
                </c:pt>
                <c:pt idx="581">
                  <c:v>44816</c:v>
                </c:pt>
                <c:pt idx="582">
                  <c:v>44813</c:v>
                </c:pt>
                <c:pt idx="583">
                  <c:v>44812</c:v>
                </c:pt>
                <c:pt idx="584">
                  <c:v>44811</c:v>
                </c:pt>
                <c:pt idx="585">
                  <c:v>44810</c:v>
                </c:pt>
                <c:pt idx="586">
                  <c:v>44806</c:v>
                </c:pt>
                <c:pt idx="587">
                  <c:v>44805</c:v>
                </c:pt>
                <c:pt idx="588">
                  <c:v>44804</c:v>
                </c:pt>
                <c:pt idx="589">
                  <c:v>44803</c:v>
                </c:pt>
                <c:pt idx="590">
                  <c:v>44802</c:v>
                </c:pt>
                <c:pt idx="591">
                  <c:v>44799</c:v>
                </c:pt>
                <c:pt idx="592">
                  <c:v>44798</c:v>
                </c:pt>
                <c:pt idx="593">
                  <c:v>44797</c:v>
                </c:pt>
                <c:pt idx="594">
                  <c:v>44796</c:v>
                </c:pt>
                <c:pt idx="595">
                  <c:v>44795</c:v>
                </c:pt>
                <c:pt idx="596">
                  <c:v>44792</c:v>
                </c:pt>
                <c:pt idx="597">
                  <c:v>44791</c:v>
                </c:pt>
                <c:pt idx="598">
                  <c:v>44790</c:v>
                </c:pt>
                <c:pt idx="599">
                  <c:v>44789</c:v>
                </c:pt>
                <c:pt idx="600">
                  <c:v>44788</c:v>
                </c:pt>
                <c:pt idx="601">
                  <c:v>44785</c:v>
                </c:pt>
                <c:pt idx="602">
                  <c:v>44784</c:v>
                </c:pt>
                <c:pt idx="603">
                  <c:v>44783</c:v>
                </c:pt>
                <c:pt idx="604">
                  <c:v>44782</c:v>
                </c:pt>
                <c:pt idx="605">
                  <c:v>44781</c:v>
                </c:pt>
                <c:pt idx="606">
                  <c:v>44778</c:v>
                </c:pt>
                <c:pt idx="607">
                  <c:v>44777</c:v>
                </c:pt>
                <c:pt idx="608">
                  <c:v>44776</c:v>
                </c:pt>
                <c:pt idx="609">
                  <c:v>44775</c:v>
                </c:pt>
                <c:pt idx="610">
                  <c:v>44774</c:v>
                </c:pt>
                <c:pt idx="611">
                  <c:v>44771</c:v>
                </c:pt>
                <c:pt idx="612">
                  <c:v>44770</c:v>
                </c:pt>
                <c:pt idx="613">
                  <c:v>44769</c:v>
                </c:pt>
                <c:pt idx="614">
                  <c:v>44768</c:v>
                </c:pt>
                <c:pt idx="615">
                  <c:v>44767</c:v>
                </c:pt>
                <c:pt idx="616">
                  <c:v>44764</c:v>
                </c:pt>
                <c:pt idx="617">
                  <c:v>44763</c:v>
                </c:pt>
                <c:pt idx="618">
                  <c:v>44762</c:v>
                </c:pt>
                <c:pt idx="619">
                  <c:v>44761</c:v>
                </c:pt>
                <c:pt idx="620">
                  <c:v>44760</c:v>
                </c:pt>
                <c:pt idx="621">
                  <c:v>44757</c:v>
                </c:pt>
                <c:pt idx="622">
                  <c:v>44756</c:v>
                </c:pt>
                <c:pt idx="623">
                  <c:v>44755</c:v>
                </c:pt>
                <c:pt idx="624">
                  <c:v>44754</c:v>
                </c:pt>
                <c:pt idx="625">
                  <c:v>44753</c:v>
                </c:pt>
                <c:pt idx="626">
                  <c:v>44750</c:v>
                </c:pt>
                <c:pt idx="627">
                  <c:v>44749</c:v>
                </c:pt>
                <c:pt idx="628">
                  <c:v>44748</c:v>
                </c:pt>
                <c:pt idx="629">
                  <c:v>44747</c:v>
                </c:pt>
                <c:pt idx="630">
                  <c:v>44743</c:v>
                </c:pt>
                <c:pt idx="631">
                  <c:v>44742</c:v>
                </c:pt>
                <c:pt idx="632">
                  <c:v>44741</c:v>
                </c:pt>
                <c:pt idx="633">
                  <c:v>44740</c:v>
                </c:pt>
                <c:pt idx="634">
                  <c:v>44739</c:v>
                </c:pt>
                <c:pt idx="635">
                  <c:v>44736</c:v>
                </c:pt>
                <c:pt idx="636">
                  <c:v>44735</c:v>
                </c:pt>
                <c:pt idx="637">
                  <c:v>44734</c:v>
                </c:pt>
                <c:pt idx="638">
                  <c:v>44733</c:v>
                </c:pt>
                <c:pt idx="639">
                  <c:v>44729</c:v>
                </c:pt>
                <c:pt idx="640">
                  <c:v>44728</c:v>
                </c:pt>
                <c:pt idx="641">
                  <c:v>44727</c:v>
                </c:pt>
                <c:pt idx="642">
                  <c:v>44726</c:v>
                </c:pt>
                <c:pt idx="643">
                  <c:v>44725</c:v>
                </c:pt>
                <c:pt idx="644">
                  <c:v>44722</c:v>
                </c:pt>
                <c:pt idx="645">
                  <c:v>44721</c:v>
                </c:pt>
                <c:pt idx="646">
                  <c:v>44720</c:v>
                </c:pt>
                <c:pt idx="647">
                  <c:v>44719</c:v>
                </c:pt>
                <c:pt idx="648">
                  <c:v>44718</c:v>
                </c:pt>
                <c:pt idx="649">
                  <c:v>44715</c:v>
                </c:pt>
                <c:pt idx="650">
                  <c:v>44714</c:v>
                </c:pt>
                <c:pt idx="651">
                  <c:v>44713</c:v>
                </c:pt>
                <c:pt idx="652">
                  <c:v>44712</c:v>
                </c:pt>
                <c:pt idx="653">
                  <c:v>44708</c:v>
                </c:pt>
                <c:pt idx="654">
                  <c:v>44707</c:v>
                </c:pt>
                <c:pt idx="655">
                  <c:v>44706</c:v>
                </c:pt>
                <c:pt idx="656">
                  <c:v>44705</c:v>
                </c:pt>
                <c:pt idx="657">
                  <c:v>44704</c:v>
                </c:pt>
                <c:pt idx="658">
                  <c:v>44701</c:v>
                </c:pt>
                <c:pt idx="659">
                  <c:v>44700</c:v>
                </c:pt>
                <c:pt idx="660">
                  <c:v>44699</c:v>
                </c:pt>
                <c:pt idx="661">
                  <c:v>44698</c:v>
                </c:pt>
                <c:pt idx="662">
                  <c:v>44697</c:v>
                </c:pt>
                <c:pt idx="663">
                  <c:v>44694</c:v>
                </c:pt>
                <c:pt idx="664">
                  <c:v>44693</c:v>
                </c:pt>
                <c:pt idx="665">
                  <c:v>44692</c:v>
                </c:pt>
                <c:pt idx="666">
                  <c:v>44691</c:v>
                </c:pt>
                <c:pt idx="667">
                  <c:v>44690</c:v>
                </c:pt>
                <c:pt idx="668">
                  <c:v>44687</c:v>
                </c:pt>
                <c:pt idx="669">
                  <c:v>44686</c:v>
                </c:pt>
                <c:pt idx="670">
                  <c:v>44685</c:v>
                </c:pt>
                <c:pt idx="671">
                  <c:v>44684</c:v>
                </c:pt>
                <c:pt idx="672">
                  <c:v>44683</c:v>
                </c:pt>
                <c:pt idx="673">
                  <c:v>44680</c:v>
                </c:pt>
                <c:pt idx="674">
                  <c:v>44679</c:v>
                </c:pt>
                <c:pt idx="675">
                  <c:v>44678</c:v>
                </c:pt>
                <c:pt idx="676">
                  <c:v>44677</c:v>
                </c:pt>
                <c:pt idx="677">
                  <c:v>44676</c:v>
                </c:pt>
                <c:pt idx="678">
                  <c:v>44673</c:v>
                </c:pt>
                <c:pt idx="679">
                  <c:v>44672</c:v>
                </c:pt>
                <c:pt idx="680">
                  <c:v>44671</c:v>
                </c:pt>
                <c:pt idx="681">
                  <c:v>44670</c:v>
                </c:pt>
                <c:pt idx="682">
                  <c:v>44669</c:v>
                </c:pt>
                <c:pt idx="683">
                  <c:v>44665</c:v>
                </c:pt>
                <c:pt idx="684">
                  <c:v>44664</c:v>
                </c:pt>
                <c:pt idx="685">
                  <c:v>44663</c:v>
                </c:pt>
                <c:pt idx="686">
                  <c:v>44662</c:v>
                </c:pt>
                <c:pt idx="687">
                  <c:v>44659</c:v>
                </c:pt>
                <c:pt idx="688">
                  <c:v>44658</c:v>
                </c:pt>
                <c:pt idx="689">
                  <c:v>44657</c:v>
                </c:pt>
                <c:pt idx="690">
                  <c:v>44656</c:v>
                </c:pt>
                <c:pt idx="691">
                  <c:v>44655</c:v>
                </c:pt>
                <c:pt idx="692">
                  <c:v>44652</c:v>
                </c:pt>
                <c:pt idx="693">
                  <c:v>44651</c:v>
                </c:pt>
                <c:pt idx="694">
                  <c:v>44650</c:v>
                </c:pt>
                <c:pt idx="695">
                  <c:v>44649</c:v>
                </c:pt>
                <c:pt idx="696">
                  <c:v>44648</c:v>
                </c:pt>
                <c:pt idx="697">
                  <c:v>44645</c:v>
                </c:pt>
                <c:pt idx="698">
                  <c:v>44644</c:v>
                </c:pt>
                <c:pt idx="699">
                  <c:v>44643</c:v>
                </c:pt>
                <c:pt idx="700">
                  <c:v>44642</c:v>
                </c:pt>
                <c:pt idx="701">
                  <c:v>44641</c:v>
                </c:pt>
                <c:pt idx="702">
                  <c:v>44638</c:v>
                </c:pt>
                <c:pt idx="703">
                  <c:v>44637</c:v>
                </c:pt>
                <c:pt idx="704">
                  <c:v>44636</c:v>
                </c:pt>
                <c:pt idx="705">
                  <c:v>44635</c:v>
                </c:pt>
                <c:pt idx="706">
                  <c:v>44634</c:v>
                </c:pt>
                <c:pt idx="707">
                  <c:v>44631</c:v>
                </c:pt>
                <c:pt idx="708">
                  <c:v>44630</c:v>
                </c:pt>
                <c:pt idx="709">
                  <c:v>44629</c:v>
                </c:pt>
                <c:pt idx="710">
                  <c:v>44628</c:v>
                </c:pt>
                <c:pt idx="711">
                  <c:v>44627</c:v>
                </c:pt>
                <c:pt idx="712">
                  <c:v>44624</c:v>
                </c:pt>
                <c:pt idx="713">
                  <c:v>44623</c:v>
                </c:pt>
                <c:pt idx="714">
                  <c:v>44622</c:v>
                </c:pt>
                <c:pt idx="715">
                  <c:v>44621</c:v>
                </c:pt>
                <c:pt idx="716">
                  <c:v>44620</c:v>
                </c:pt>
                <c:pt idx="717">
                  <c:v>44617</c:v>
                </c:pt>
                <c:pt idx="718">
                  <c:v>44616</c:v>
                </c:pt>
                <c:pt idx="719">
                  <c:v>44615</c:v>
                </c:pt>
                <c:pt idx="720">
                  <c:v>44614</c:v>
                </c:pt>
                <c:pt idx="721">
                  <c:v>44610</c:v>
                </c:pt>
                <c:pt idx="722">
                  <c:v>44609</c:v>
                </c:pt>
                <c:pt idx="723">
                  <c:v>44608</c:v>
                </c:pt>
                <c:pt idx="724">
                  <c:v>44607</c:v>
                </c:pt>
                <c:pt idx="725">
                  <c:v>44606</c:v>
                </c:pt>
                <c:pt idx="726">
                  <c:v>44603</c:v>
                </c:pt>
                <c:pt idx="727">
                  <c:v>44602</c:v>
                </c:pt>
                <c:pt idx="728">
                  <c:v>44601</c:v>
                </c:pt>
                <c:pt idx="729">
                  <c:v>44600</c:v>
                </c:pt>
                <c:pt idx="730">
                  <c:v>44599</c:v>
                </c:pt>
                <c:pt idx="731">
                  <c:v>44596</c:v>
                </c:pt>
                <c:pt idx="732">
                  <c:v>44595</c:v>
                </c:pt>
                <c:pt idx="733">
                  <c:v>44594</c:v>
                </c:pt>
                <c:pt idx="734">
                  <c:v>44593</c:v>
                </c:pt>
                <c:pt idx="735">
                  <c:v>44592</c:v>
                </c:pt>
                <c:pt idx="736">
                  <c:v>44589</c:v>
                </c:pt>
                <c:pt idx="737">
                  <c:v>44588</c:v>
                </c:pt>
                <c:pt idx="738">
                  <c:v>44587</c:v>
                </c:pt>
                <c:pt idx="739">
                  <c:v>44586</c:v>
                </c:pt>
                <c:pt idx="740">
                  <c:v>44585</c:v>
                </c:pt>
                <c:pt idx="741">
                  <c:v>44582</c:v>
                </c:pt>
                <c:pt idx="742">
                  <c:v>44581</c:v>
                </c:pt>
                <c:pt idx="743">
                  <c:v>44580</c:v>
                </c:pt>
                <c:pt idx="744">
                  <c:v>44579</c:v>
                </c:pt>
                <c:pt idx="745">
                  <c:v>44575</c:v>
                </c:pt>
                <c:pt idx="746">
                  <c:v>44574</c:v>
                </c:pt>
                <c:pt idx="747">
                  <c:v>44573</c:v>
                </c:pt>
                <c:pt idx="748">
                  <c:v>44572</c:v>
                </c:pt>
                <c:pt idx="749">
                  <c:v>44571</c:v>
                </c:pt>
                <c:pt idx="750">
                  <c:v>44568</c:v>
                </c:pt>
                <c:pt idx="751">
                  <c:v>44567</c:v>
                </c:pt>
                <c:pt idx="752">
                  <c:v>44566</c:v>
                </c:pt>
                <c:pt idx="753">
                  <c:v>44565</c:v>
                </c:pt>
                <c:pt idx="754">
                  <c:v>44564</c:v>
                </c:pt>
                <c:pt idx="755">
                  <c:v>44561</c:v>
                </c:pt>
                <c:pt idx="756">
                  <c:v>44560</c:v>
                </c:pt>
                <c:pt idx="757">
                  <c:v>44559</c:v>
                </c:pt>
                <c:pt idx="758">
                  <c:v>44558</c:v>
                </c:pt>
                <c:pt idx="759">
                  <c:v>44557</c:v>
                </c:pt>
                <c:pt idx="760">
                  <c:v>44553</c:v>
                </c:pt>
                <c:pt idx="761">
                  <c:v>44552</c:v>
                </c:pt>
                <c:pt idx="762">
                  <c:v>44551</c:v>
                </c:pt>
                <c:pt idx="763">
                  <c:v>44550</c:v>
                </c:pt>
                <c:pt idx="764">
                  <c:v>44547</c:v>
                </c:pt>
                <c:pt idx="765">
                  <c:v>44546</c:v>
                </c:pt>
                <c:pt idx="766">
                  <c:v>44545</c:v>
                </c:pt>
                <c:pt idx="767">
                  <c:v>44544</c:v>
                </c:pt>
                <c:pt idx="768">
                  <c:v>44543</c:v>
                </c:pt>
                <c:pt idx="769">
                  <c:v>44540</c:v>
                </c:pt>
                <c:pt idx="770">
                  <c:v>44539</c:v>
                </c:pt>
                <c:pt idx="771">
                  <c:v>44538</c:v>
                </c:pt>
                <c:pt idx="772">
                  <c:v>44537</c:v>
                </c:pt>
                <c:pt idx="773">
                  <c:v>44536</c:v>
                </c:pt>
                <c:pt idx="774">
                  <c:v>44533</c:v>
                </c:pt>
                <c:pt idx="775">
                  <c:v>44532</c:v>
                </c:pt>
                <c:pt idx="776">
                  <c:v>44531</c:v>
                </c:pt>
                <c:pt idx="777">
                  <c:v>44530</c:v>
                </c:pt>
                <c:pt idx="778">
                  <c:v>44529</c:v>
                </c:pt>
                <c:pt idx="779">
                  <c:v>44526</c:v>
                </c:pt>
                <c:pt idx="780">
                  <c:v>44524</c:v>
                </c:pt>
                <c:pt idx="781">
                  <c:v>44523</c:v>
                </c:pt>
                <c:pt idx="782">
                  <c:v>44522</c:v>
                </c:pt>
                <c:pt idx="783">
                  <c:v>44519</c:v>
                </c:pt>
                <c:pt idx="784">
                  <c:v>44518</c:v>
                </c:pt>
                <c:pt idx="785">
                  <c:v>44517</c:v>
                </c:pt>
                <c:pt idx="786">
                  <c:v>44516</c:v>
                </c:pt>
                <c:pt idx="787">
                  <c:v>44515</c:v>
                </c:pt>
                <c:pt idx="788">
                  <c:v>44512</c:v>
                </c:pt>
                <c:pt idx="789">
                  <c:v>44511</c:v>
                </c:pt>
                <c:pt idx="790">
                  <c:v>44510</c:v>
                </c:pt>
                <c:pt idx="791">
                  <c:v>44509</c:v>
                </c:pt>
                <c:pt idx="792">
                  <c:v>44508</c:v>
                </c:pt>
                <c:pt idx="793">
                  <c:v>44505</c:v>
                </c:pt>
                <c:pt idx="794">
                  <c:v>44504</c:v>
                </c:pt>
                <c:pt idx="795">
                  <c:v>44503</c:v>
                </c:pt>
                <c:pt idx="796">
                  <c:v>44502</c:v>
                </c:pt>
                <c:pt idx="797">
                  <c:v>44501</c:v>
                </c:pt>
                <c:pt idx="798">
                  <c:v>44498</c:v>
                </c:pt>
                <c:pt idx="799">
                  <c:v>44497</c:v>
                </c:pt>
                <c:pt idx="800">
                  <c:v>44496</c:v>
                </c:pt>
                <c:pt idx="801">
                  <c:v>44495</c:v>
                </c:pt>
                <c:pt idx="802">
                  <c:v>44494</c:v>
                </c:pt>
                <c:pt idx="803">
                  <c:v>44491</c:v>
                </c:pt>
                <c:pt idx="804">
                  <c:v>44490</c:v>
                </c:pt>
                <c:pt idx="805">
                  <c:v>44489</c:v>
                </c:pt>
                <c:pt idx="806">
                  <c:v>44488</c:v>
                </c:pt>
                <c:pt idx="807">
                  <c:v>44487</c:v>
                </c:pt>
                <c:pt idx="808">
                  <c:v>44484</c:v>
                </c:pt>
                <c:pt idx="809">
                  <c:v>44483</c:v>
                </c:pt>
                <c:pt idx="810">
                  <c:v>44482</c:v>
                </c:pt>
                <c:pt idx="811">
                  <c:v>44481</c:v>
                </c:pt>
                <c:pt idx="812">
                  <c:v>44480</c:v>
                </c:pt>
                <c:pt idx="813">
                  <c:v>44477</c:v>
                </c:pt>
                <c:pt idx="814">
                  <c:v>44476</c:v>
                </c:pt>
                <c:pt idx="815">
                  <c:v>44475</c:v>
                </c:pt>
                <c:pt idx="816">
                  <c:v>44474</c:v>
                </c:pt>
                <c:pt idx="817">
                  <c:v>44473</c:v>
                </c:pt>
                <c:pt idx="818">
                  <c:v>44470</c:v>
                </c:pt>
                <c:pt idx="819">
                  <c:v>44469</c:v>
                </c:pt>
                <c:pt idx="820">
                  <c:v>44468</c:v>
                </c:pt>
                <c:pt idx="821">
                  <c:v>44467</c:v>
                </c:pt>
                <c:pt idx="822">
                  <c:v>44466</c:v>
                </c:pt>
                <c:pt idx="823">
                  <c:v>44463</c:v>
                </c:pt>
                <c:pt idx="824">
                  <c:v>44462</c:v>
                </c:pt>
                <c:pt idx="825">
                  <c:v>44461</c:v>
                </c:pt>
                <c:pt idx="826">
                  <c:v>44460</c:v>
                </c:pt>
                <c:pt idx="827">
                  <c:v>44459</c:v>
                </c:pt>
                <c:pt idx="828">
                  <c:v>44456</c:v>
                </c:pt>
                <c:pt idx="829">
                  <c:v>44455</c:v>
                </c:pt>
                <c:pt idx="830">
                  <c:v>44454</c:v>
                </c:pt>
                <c:pt idx="831">
                  <c:v>44453</c:v>
                </c:pt>
                <c:pt idx="832">
                  <c:v>44452</c:v>
                </c:pt>
                <c:pt idx="833">
                  <c:v>44449</c:v>
                </c:pt>
                <c:pt idx="834">
                  <c:v>44448</c:v>
                </c:pt>
                <c:pt idx="835">
                  <c:v>44447</c:v>
                </c:pt>
                <c:pt idx="836">
                  <c:v>44446</c:v>
                </c:pt>
                <c:pt idx="837">
                  <c:v>44442</c:v>
                </c:pt>
                <c:pt idx="838">
                  <c:v>44441</c:v>
                </c:pt>
                <c:pt idx="839">
                  <c:v>44440</c:v>
                </c:pt>
                <c:pt idx="840">
                  <c:v>44439</c:v>
                </c:pt>
                <c:pt idx="841">
                  <c:v>44438</c:v>
                </c:pt>
                <c:pt idx="842">
                  <c:v>44435</c:v>
                </c:pt>
                <c:pt idx="843">
                  <c:v>44434</c:v>
                </c:pt>
                <c:pt idx="844">
                  <c:v>44433</c:v>
                </c:pt>
                <c:pt idx="845">
                  <c:v>44432</c:v>
                </c:pt>
                <c:pt idx="846">
                  <c:v>44431</c:v>
                </c:pt>
                <c:pt idx="847">
                  <c:v>44428</c:v>
                </c:pt>
                <c:pt idx="848">
                  <c:v>44427</c:v>
                </c:pt>
                <c:pt idx="849">
                  <c:v>44426</c:v>
                </c:pt>
                <c:pt idx="850">
                  <c:v>44425</c:v>
                </c:pt>
                <c:pt idx="851">
                  <c:v>44424</c:v>
                </c:pt>
                <c:pt idx="852">
                  <c:v>44421</c:v>
                </c:pt>
                <c:pt idx="853">
                  <c:v>44420</c:v>
                </c:pt>
                <c:pt idx="854">
                  <c:v>44419</c:v>
                </c:pt>
                <c:pt idx="855">
                  <c:v>44418</c:v>
                </c:pt>
                <c:pt idx="856">
                  <c:v>44417</c:v>
                </c:pt>
                <c:pt idx="857">
                  <c:v>44414</c:v>
                </c:pt>
                <c:pt idx="858">
                  <c:v>44413</c:v>
                </c:pt>
                <c:pt idx="859">
                  <c:v>44412</c:v>
                </c:pt>
                <c:pt idx="860">
                  <c:v>44411</c:v>
                </c:pt>
                <c:pt idx="861">
                  <c:v>44410</c:v>
                </c:pt>
                <c:pt idx="862">
                  <c:v>44407</c:v>
                </c:pt>
                <c:pt idx="863">
                  <c:v>44406</c:v>
                </c:pt>
                <c:pt idx="864">
                  <c:v>44405</c:v>
                </c:pt>
                <c:pt idx="865">
                  <c:v>44404</c:v>
                </c:pt>
                <c:pt idx="866">
                  <c:v>44403</c:v>
                </c:pt>
                <c:pt idx="867">
                  <c:v>44400</c:v>
                </c:pt>
                <c:pt idx="868">
                  <c:v>44399</c:v>
                </c:pt>
                <c:pt idx="869">
                  <c:v>44398</c:v>
                </c:pt>
                <c:pt idx="870">
                  <c:v>44397</c:v>
                </c:pt>
                <c:pt idx="871">
                  <c:v>44396</c:v>
                </c:pt>
                <c:pt idx="872">
                  <c:v>44393</c:v>
                </c:pt>
                <c:pt idx="873">
                  <c:v>44392</c:v>
                </c:pt>
                <c:pt idx="874">
                  <c:v>44391</c:v>
                </c:pt>
                <c:pt idx="875">
                  <c:v>44390</c:v>
                </c:pt>
                <c:pt idx="876">
                  <c:v>44389</c:v>
                </c:pt>
                <c:pt idx="877">
                  <c:v>44386</c:v>
                </c:pt>
                <c:pt idx="878">
                  <c:v>44385</c:v>
                </c:pt>
                <c:pt idx="879">
                  <c:v>44384</c:v>
                </c:pt>
                <c:pt idx="880">
                  <c:v>44383</c:v>
                </c:pt>
                <c:pt idx="881">
                  <c:v>44379</c:v>
                </c:pt>
                <c:pt idx="882">
                  <c:v>44378</c:v>
                </c:pt>
                <c:pt idx="883">
                  <c:v>44377</c:v>
                </c:pt>
                <c:pt idx="884">
                  <c:v>44376</c:v>
                </c:pt>
                <c:pt idx="885">
                  <c:v>44375</c:v>
                </c:pt>
                <c:pt idx="886">
                  <c:v>44372</c:v>
                </c:pt>
                <c:pt idx="887">
                  <c:v>44371</c:v>
                </c:pt>
                <c:pt idx="888">
                  <c:v>44370</c:v>
                </c:pt>
                <c:pt idx="889">
                  <c:v>44369</c:v>
                </c:pt>
                <c:pt idx="890">
                  <c:v>44368</c:v>
                </c:pt>
                <c:pt idx="891">
                  <c:v>44365</c:v>
                </c:pt>
                <c:pt idx="892">
                  <c:v>44364</c:v>
                </c:pt>
                <c:pt idx="893">
                  <c:v>44363</c:v>
                </c:pt>
                <c:pt idx="894">
                  <c:v>44362</c:v>
                </c:pt>
                <c:pt idx="895">
                  <c:v>44361</c:v>
                </c:pt>
                <c:pt idx="896">
                  <c:v>44358</c:v>
                </c:pt>
                <c:pt idx="897">
                  <c:v>44357</c:v>
                </c:pt>
                <c:pt idx="898">
                  <c:v>44356</c:v>
                </c:pt>
                <c:pt idx="899">
                  <c:v>44355</c:v>
                </c:pt>
                <c:pt idx="900">
                  <c:v>44354</c:v>
                </c:pt>
                <c:pt idx="901">
                  <c:v>44351</c:v>
                </c:pt>
                <c:pt idx="902">
                  <c:v>44350</c:v>
                </c:pt>
                <c:pt idx="903">
                  <c:v>44349</c:v>
                </c:pt>
                <c:pt idx="904">
                  <c:v>44348</c:v>
                </c:pt>
                <c:pt idx="905">
                  <c:v>44344</c:v>
                </c:pt>
                <c:pt idx="906">
                  <c:v>44343</c:v>
                </c:pt>
                <c:pt idx="907">
                  <c:v>44342</c:v>
                </c:pt>
                <c:pt idx="908">
                  <c:v>44341</c:v>
                </c:pt>
                <c:pt idx="909">
                  <c:v>44340</c:v>
                </c:pt>
                <c:pt idx="910">
                  <c:v>44337</c:v>
                </c:pt>
                <c:pt idx="911">
                  <c:v>44336</c:v>
                </c:pt>
                <c:pt idx="912">
                  <c:v>44335</c:v>
                </c:pt>
                <c:pt idx="913">
                  <c:v>44334</c:v>
                </c:pt>
                <c:pt idx="914">
                  <c:v>44333</c:v>
                </c:pt>
                <c:pt idx="915">
                  <c:v>44330</c:v>
                </c:pt>
                <c:pt idx="916">
                  <c:v>44329</c:v>
                </c:pt>
                <c:pt idx="917">
                  <c:v>44328</c:v>
                </c:pt>
                <c:pt idx="918">
                  <c:v>44327</c:v>
                </c:pt>
                <c:pt idx="919">
                  <c:v>44326</c:v>
                </c:pt>
                <c:pt idx="920">
                  <c:v>44323</c:v>
                </c:pt>
                <c:pt idx="921">
                  <c:v>44322</c:v>
                </c:pt>
                <c:pt idx="922">
                  <c:v>44321</c:v>
                </c:pt>
                <c:pt idx="923">
                  <c:v>44320</c:v>
                </c:pt>
                <c:pt idx="924">
                  <c:v>44319</c:v>
                </c:pt>
                <c:pt idx="925">
                  <c:v>44316</c:v>
                </c:pt>
                <c:pt idx="926">
                  <c:v>44315</c:v>
                </c:pt>
                <c:pt idx="927">
                  <c:v>44314</c:v>
                </c:pt>
                <c:pt idx="928">
                  <c:v>44313</c:v>
                </c:pt>
                <c:pt idx="929">
                  <c:v>44312</c:v>
                </c:pt>
                <c:pt idx="930">
                  <c:v>44309</c:v>
                </c:pt>
                <c:pt idx="931">
                  <c:v>44308</c:v>
                </c:pt>
                <c:pt idx="932">
                  <c:v>44307</c:v>
                </c:pt>
                <c:pt idx="933">
                  <c:v>44306</c:v>
                </c:pt>
                <c:pt idx="934">
                  <c:v>44305</c:v>
                </c:pt>
                <c:pt idx="935">
                  <c:v>44302</c:v>
                </c:pt>
                <c:pt idx="936">
                  <c:v>44301</c:v>
                </c:pt>
                <c:pt idx="937">
                  <c:v>44300</c:v>
                </c:pt>
                <c:pt idx="938">
                  <c:v>44299</c:v>
                </c:pt>
                <c:pt idx="939">
                  <c:v>44298</c:v>
                </c:pt>
                <c:pt idx="940">
                  <c:v>44295</c:v>
                </c:pt>
                <c:pt idx="941">
                  <c:v>44294</c:v>
                </c:pt>
                <c:pt idx="942">
                  <c:v>44293</c:v>
                </c:pt>
                <c:pt idx="943">
                  <c:v>44292</c:v>
                </c:pt>
                <c:pt idx="944">
                  <c:v>44291</c:v>
                </c:pt>
                <c:pt idx="945">
                  <c:v>44287</c:v>
                </c:pt>
                <c:pt idx="946">
                  <c:v>44286</c:v>
                </c:pt>
                <c:pt idx="947">
                  <c:v>44285</c:v>
                </c:pt>
                <c:pt idx="948">
                  <c:v>44284</c:v>
                </c:pt>
                <c:pt idx="949">
                  <c:v>44281</c:v>
                </c:pt>
                <c:pt idx="950">
                  <c:v>44280</c:v>
                </c:pt>
                <c:pt idx="951">
                  <c:v>44279</c:v>
                </c:pt>
                <c:pt idx="952">
                  <c:v>44278</c:v>
                </c:pt>
                <c:pt idx="953">
                  <c:v>44277</c:v>
                </c:pt>
                <c:pt idx="954">
                  <c:v>44274</c:v>
                </c:pt>
                <c:pt idx="955">
                  <c:v>44273</c:v>
                </c:pt>
                <c:pt idx="956">
                  <c:v>44272</c:v>
                </c:pt>
                <c:pt idx="957">
                  <c:v>44271</c:v>
                </c:pt>
                <c:pt idx="958">
                  <c:v>44270</c:v>
                </c:pt>
                <c:pt idx="959">
                  <c:v>44267</c:v>
                </c:pt>
                <c:pt idx="960">
                  <c:v>44266</c:v>
                </c:pt>
                <c:pt idx="961">
                  <c:v>44265</c:v>
                </c:pt>
                <c:pt idx="962">
                  <c:v>44264</c:v>
                </c:pt>
                <c:pt idx="963">
                  <c:v>44263</c:v>
                </c:pt>
                <c:pt idx="964">
                  <c:v>44260</c:v>
                </c:pt>
                <c:pt idx="965">
                  <c:v>44259</c:v>
                </c:pt>
                <c:pt idx="966">
                  <c:v>44258</c:v>
                </c:pt>
                <c:pt idx="967">
                  <c:v>44257</c:v>
                </c:pt>
                <c:pt idx="968">
                  <c:v>44256</c:v>
                </c:pt>
                <c:pt idx="969">
                  <c:v>44253</c:v>
                </c:pt>
                <c:pt idx="970">
                  <c:v>44252</c:v>
                </c:pt>
                <c:pt idx="971">
                  <c:v>44251</c:v>
                </c:pt>
                <c:pt idx="972">
                  <c:v>44250</c:v>
                </c:pt>
                <c:pt idx="973">
                  <c:v>44249</c:v>
                </c:pt>
                <c:pt idx="974">
                  <c:v>44246</c:v>
                </c:pt>
                <c:pt idx="975">
                  <c:v>44245</c:v>
                </c:pt>
                <c:pt idx="976">
                  <c:v>44244</c:v>
                </c:pt>
                <c:pt idx="977">
                  <c:v>44243</c:v>
                </c:pt>
                <c:pt idx="978">
                  <c:v>44239</c:v>
                </c:pt>
                <c:pt idx="979">
                  <c:v>44238</c:v>
                </c:pt>
                <c:pt idx="980">
                  <c:v>44237</c:v>
                </c:pt>
                <c:pt idx="981">
                  <c:v>44236</c:v>
                </c:pt>
                <c:pt idx="982">
                  <c:v>44235</c:v>
                </c:pt>
                <c:pt idx="983">
                  <c:v>44232</c:v>
                </c:pt>
                <c:pt idx="984">
                  <c:v>44231</c:v>
                </c:pt>
                <c:pt idx="985">
                  <c:v>44230</c:v>
                </c:pt>
                <c:pt idx="986">
                  <c:v>44229</c:v>
                </c:pt>
                <c:pt idx="987">
                  <c:v>44228</c:v>
                </c:pt>
                <c:pt idx="988">
                  <c:v>44225</c:v>
                </c:pt>
                <c:pt idx="989">
                  <c:v>44224</c:v>
                </c:pt>
                <c:pt idx="990">
                  <c:v>44223</c:v>
                </c:pt>
                <c:pt idx="991">
                  <c:v>44222</c:v>
                </c:pt>
                <c:pt idx="992">
                  <c:v>44221</c:v>
                </c:pt>
                <c:pt idx="993">
                  <c:v>44218</c:v>
                </c:pt>
                <c:pt idx="994">
                  <c:v>44217</c:v>
                </c:pt>
                <c:pt idx="995">
                  <c:v>44216</c:v>
                </c:pt>
                <c:pt idx="996">
                  <c:v>44215</c:v>
                </c:pt>
                <c:pt idx="997">
                  <c:v>44211</c:v>
                </c:pt>
                <c:pt idx="998">
                  <c:v>44210</c:v>
                </c:pt>
                <c:pt idx="999">
                  <c:v>44209</c:v>
                </c:pt>
                <c:pt idx="1000">
                  <c:v>44208</c:v>
                </c:pt>
                <c:pt idx="1001">
                  <c:v>44207</c:v>
                </c:pt>
                <c:pt idx="1002">
                  <c:v>44204</c:v>
                </c:pt>
                <c:pt idx="1003">
                  <c:v>44203</c:v>
                </c:pt>
                <c:pt idx="1004">
                  <c:v>44202</c:v>
                </c:pt>
                <c:pt idx="1005">
                  <c:v>44201</c:v>
                </c:pt>
                <c:pt idx="1006">
                  <c:v>44200</c:v>
                </c:pt>
                <c:pt idx="1007">
                  <c:v>44196</c:v>
                </c:pt>
              </c:numCache>
            </c:numRef>
          </c:cat>
          <c:val>
            <c:numRef>
              <c:f>Data!$C$39:$C$1046</c:f>
              <c:numCache>
                <c:formatCode>"$"#,##0.00_);[Red]\("$"#,##0.00\)</c:formatCode>
                <c:ptCount val="1008"/>
                <c:pt idx="0">
                  <c:v>465.28</c:v>
                </c:pt>
                <c:pt idx="1">
                  <c:v>445.33</c:v>
                </c:pt>
                <c:pt idx="2">
                  <c:v>455.73</c:v>
                </c:pt>
                <c:pt idx="3">
                  <c:v>459.4</c:v>
                </c:pt>
                <c:pt idx="4">
                  <c:v>475.31</c:v>
                </c:pt>
                <c:pt idx="5">
                  <c:v>476.17</c:v>
                </c:pt>
                <c:pt idx="6">
                  <c:v>476.03</c:v>
                </c:pt>
                <c:pt idx="7">
                  <c:v>464.85</c:v>
                </c:pt>
                <c:pt idx="8">
                  <c:v>473.4</c:v>
                </c:pt>
                <c:pt idx="9">
                  <c:v>494.93</c:v>
                </c:pt>
                <c:pt idx="10">
                  <c:v>510.69</c:v>
                </c:pt>
                <c:pt idx="11">
                  <c:v>532.83000000000004</c:v>
                </c:pt>
                <c:pt idx="12">
                  <c:v>536.30999999999995</c:v>
                </c:pt>
                <c:pt idx="13">
                  <c:v>528.65</c:v>
                </c:pt>
                <c:pt idx="14">
                  <c:v>524.08000000000004</c:v>
                </c:pt>
                <c:pt idx="15">
                  <c:v>521.47</c:v>
                </c:pt>
                <c:pt idx="16">
                  <c:v>522.97</c:v>
                </c:pt>
                <c:pt idx="17">
                  <c:v>516.17999999999995</c:v>
                </c:pt>
                <c:pt idx="18">
                  <c:v>515.92999999999995</c:v>
                </c:pt>
                <c:pt idx="19">
                  <c:v>516.83000000000004</c:v>
                </c:pt>
                <c:pt idx="20">
                  <c:v>542.36</c:v>
                </c:pt>
                <c:pt idx="21">
                  <c:v>547.97</c:v>
                </c:pt>
                <c:pt idx="22">
                  <c:v>557.74</c:v>
                </c:pt>
                <c:pt idx="23">
                  <c:v>569.08000000000004</c:v>
                </c:pt>
                <c:pt idx="24">
                  <c:v>564.38</c:v>
                </c:pt>
                <c:pt idx="25">
                  <c:v>565.96</c:v>
                </c:pt>
                <c:pt idx="26">
                  <c:v>557.27</c:v>
                </c:pt>
                <c:pt idx="27">
                  <c:v>541.69000000000005</c:v>
                </c:pt>
                <c:pt idx="28">
                  <c:v>549.19000000000005</c:v>
                </c:pt>
                <c:pt idx="29">
                  <c:v>530</c:v>
                </c:pt>
                <c:pt idx="30">
                  <c:v>515.88</c:v>
                </c:pt>
                <c:pt idx="31">
                  <c:v>518.16999999999996</c:v>
                </c:pt>
                <c:pt idx="32">
                  <c:v>522.37</c:v>
                </c:pt>
                <c:pt idx="33">
                  <c:v>542.32000000000005</c:v>
                </c:pt>
                <c:pt idx="34">
                  <c:v>537.20000000000005</c:v>
                </c:pt>
                <c:pt idx="35">
                  <c:v>545.73</c:v>
                </c:pt>
                <c:pt idx="36">
                  <c:v>558.1</c:v>
                </c:pt>
                <c:pt idx="37">
                  <c:v>544.89</c:v>
                </c:pt>
                <c:pt idx="38">
                  <c:v>545.09</c:v>
                </c:pt>
                <c:pt idx="39">
                  <c:v>568.02</c:v>
                </c:pt>
                <c:pt idx="40">
                  <c:v>500.83</c:v>
                </c:pt>
                <c:pt idx="41">
                  <c:v>486.14</c:v>
                </c:pt>
                <c:pt idx="42">
                  <c:v>480.69</c:v>
                </c:pt>
                <c:pt idx="43">
                  <c:v>488.61</c:v>
                </c:pt>
                <c:pt idx="44">
                  <c:v>491.33</c:v>
                </c:pt>
                <c:pt idx="45">
                  <c:v>476.99</c:v>
                </c:pt>
                <c:pt idx="46">
                  <c:v>479.38</c:v>
                </c:pt>
                <c:pt idx="47">
                  <c:v>461.65</c:v>
                </c:pt>
                <c:pt idx="48">
                  <c:v>414.43</c:v>
                </c:pt>
                <c:pt idx="49">
                  <c:v>412.89</c:v>
                </c:pt>
                <c:pt idx="50">
                  <c:v>429.89</c:v>
                </c:pt>
                <c:pt idx="51">
                  <c:v>422.58</c:v>
                </c:pt>
                <c:pt idx="52">
                  <c:v>436.69</c:v>
                </c:pt>
                <c:pt idx="53">
                  <c:v>446.68</c:v>
                </c:pt>
                <c:pt idx="54">
                  <c:v>459.66</c:v>
                </c:pt>
                <c:pt idx="55">
                  <c:v>452.66</c:v>
                </c:pt>
                <c:pt idx="56">
                  <c:v>461.97</c:v>
                </c:pt>
                <c:pt idx="57">
                  <c:v>463.37</c:v>
                </c:pt>
                <c:pt idx="58">
                  <c:v>440.85</c:v>
                </c:pt>
                <c:pt idx="59">
                  <c:v>447.83</c:v>
                </c:pt>
                <c:pt idx="60">
                  <c:v>436.81</c:v>
                </c:pt>
                <c:pt idx="61">
                  <c:v>424.84</c:v>
                </c:pt>
                <c:pt idx="62">
                  <c:v>428.14</c:v>
                </c:pt>
                <c:pt idx="63">
                  <c:v>426.36</c:v>
                </c:pt>
                <c:pt idx="64">
                  <c:v>430.14</c:v>
                </c:pt>
                <c:pt idx="65">
                  <c:v>433.68</c:v>
                </c:pt>
                <c:pt idx="66">
                  <c:v>437.26</c:v>
                </c:pt>
                <c:pt idx="67">
                  <c:v>434.62</c:v>
                </c:pt>
                <c:pt idx="68">
                  <c:v>431.28</c:v>
                </c:pt>
                <c:pt idx="69">
                  <c:v>450.27</c:v>
                </c:pt>
                <c:pt idx="70">
                  <c:v>455.73</c:v>
                </c:pt>
                <c:pt idx="71">
                  <c:v>441.54</c:v>
                </c:pt>
                <c:pt idx="72">
                  <c:v>436.78</c:v>
                </c:pt>
                <c:pt idx="73">
                  <c:v>453.83</c:v>
                </c:pt>
                <c:pt idx="74">
                  <c:v>444.29</c:v>
                </c:pt>
                <c:pt idx="75">
                  <c:v>438.37</c:v>
                </c:pt>
                <c:pt idx="76">
                  <c:v>434.81</c:v>
                </c:pt>
                <c:pt idx="77">
                  <c:v>432.49</c:v>
                </c:pt>
                <c:pt idx="78">
                  <c:v>420.18</c:v>
                </c:pt>
                <c:pt idx="79">
                  <c:v>421.14</c:v>
                </c:pt>
                <c:pt idx="80">
                  <c:v>415.64</c:v>
                </c:pt>
                <c:pt idx="81">
                  <c:v>410.82</c:v>
                </c:pt>
                <c:pt idx="82">
                  <c:v>402.39</c:v>
                </c:pt>
                <c:pt idx="83">
                  <c:v>398.37</c:v>
                </c:pt>
                <c:pt idx="84">
                  <c:v>417.31</c:v>
                </c:pt>
                <c:pt idx="85">
                  <c:v>380.58</c:v>
                </c:pt>
                <c:pt idx="86">
                  <c:v>375.83</c:v>
                </c:pt>
                <c:pt idx="87">
                  <c:v>374.27</c:v>
                </c:pt>
                <c:pt idx="88">
                  <c:v>371.34</c:v>
                </c:pt>
                <c:pt idx="89">
                  <c:v>374.7</c:v>
                </c:pt>
                <c:pt idx="90">
                  <c:v>392.49</c:v>
                </c:pt>
                <c:pt idx="91">
                  <c:v>402.33</c:v>
                </c:pt>
                <c:pt idx="92">
                  <c:v>394.27</c:v>
                </c:pt>
                <c:pt idx="93">
                  <c:v>397.52</c:v>
                </c:pt>
                <c:pt idx="94">
                  <c:v>384.19</c:v>
                </c:pt>
                <c:pt idx="95">
                  <c:v>389.75</c:v>
                </c:pt>
                <c:pt idx="96">
                  <c:v>392.49</c:v>
                </c:pt>
                <c:pt idx="97">
                  <c:v>386.625</c:v>
                </c:pt>
                <c:pt idx="98">
                  <c:v>375.3</c:v>
                </c:pt>
                <c:pt idx="99">
                  <c:v>374.8</c:v>
                </c:pt>
                <c:pt idx="100">
                  <c:v>367.6</c:v>
                </c:pt>
                <c:pt idx="101">
                  <c:v>371.11</c:v>
                </c:pt>
                <c:pt idx="102">
                  <c:v>384.71</c:v>
                </c:pt>
                <c:pt idx="103">
                  <c:v>381.15</c:v>
                </c:pt>
                <c:pt idx="104">
                  <c:v>389.99</c:v>
                </c:pt>
                <c:pt idx="105">
                  <c:v>377.94</c:v>
                </c:pt>
                <c:pt idx="106">
                  <c:v>383.24</c:v>
                </c:pt>
                <c:pt idx="107">
                  <c:v>395.01</c:v>
                </c:pt>
                <c:pt idx="108">
                  <c:v>417.85</c:v>
                </c:pt>
                <c:pt idx="109">
                  <c:v>408.61</c:v>
                </c:pt>
                <c:pt idx="110">
                  <c:v>386.21</c:v>
                </c:pt>
                <c:pt idx="111">
                  <c:v>396.43</c:v>
                </c:pt>
                <c:pt idx="112">
                  <c:v>489.11</c:v>
                </c:pt>
                <c:pt idx="113">
                  <c:v>482.56</c:v>
                </c:pt>
                <c:pt idx="114">
                  <c:v>482.29</c:v>
                </c:pt>
                <c:pt idx="115">
                  <c:v>490.51</c:v>
                </c:pt>
                <c:pt idx="116">
                  <c:v>485.21</c:v>
                </c:pt>
                <c:pt idx="117">
                  <c:v>482.42</c:v>
                </c:pt>
                <c:pt idx="118">
                  <c:v>483.74</c:v>
                </c:pt>
                <c:pt idx="119">
                  <c:v>509.42</c:v>
                </c:pt>
                <c:pt idx="120">
                  <c:v>480.64</c:v>
                </c:pt>
                <c:pt idx="121">
                  <c:v>455.02</c:v>
                </c:pt>
                <c:pt idx="122">
                  <c:v>450.68</c:v>
                </c:pt>
                <c:pt idx="123">
                  <c:v>440.47</c:v>
                </c:pt>
                <c:pt idx="124">
                  <c:v>438.51</c:v>
                </c:pt>
                <c:pt idx="125">
                  <c:v>459.6</c:v>
                </c:pt>
                <c:pt idx="126">
                  <c:v>464.23</c:v>
                </c:pt>
                <c:pt idx="127">
                  <c:v>470.22</c:v>
                </c:pt>
                <c:pt idx="128">
                  <c:v>466.37</c:v>
                </c:pt>
                <c:pt idx="129">
                  <c:v>471.47</c:v>
                </c:pt>
                <c:pt idx="130">
                  <c:v>474.29</c:v>
                </c:pt>
                <c:pt idx="131">
                  <c:v>458.7</c:v>
                </c:pt>
                <c:pt idx="132">
                  <c:v>464.65</c:v>
                </c:pt>
                <c:pt idx="133">
                  <c:v>466.94</c:v>
                </c:pt>
                <c:pt idx="134">
                  <c:v>467.05</c:v>
                </c:pt>
                <c:pt idx="135">
                  <c:v>460.61</c:v>
                </c:pt>
                <c:pt idx="136">
                  <c:v>460.24</c:v>
                </c:pt>
                <c:pt idx="137">
                  <c:v>454</c:v>
                </c:pt>
                <c:pt idx="138">
                  <c:v>447.34</c:v>
                </c:pt>
                <c:pt idx="139">
                  <c:v>452.74</c:v>
                </c:pt>
                <c:pt idx="140">
                  <c:v>455.9</c:v>
                </c:pt>
                <c:pt idx="141">
                  <c:v>462.01</c:v>
                </c:pt>
                <c:pt idx="142">
                  <c:v>454.11</c:v>
                </c:pt>
                <c:pt idx="143">
                  <c:v>449.01</c:v>
                </c:pt>
                <c:pt idx="144">
                  <c:v>445.7</c:v>
                </c:pt>
                <c:pt idx="145">
                  <c:v>452.61</c:v>
                </c:pt>
                <c:pt idx="146">
                  <c:v>445.4</c:v>
                </c:pt>
                <c:pt idx="147">
                  <c:v>429.33</c:v>
                </c:pt>
                <c:pt idx="148">
                  <c:v>402.5</c:v>
                </c:pt>
                <c:pt idx="149">
                  <c:v>409.48</c:v>
                </c:pt>
                <c:pt idx="150">
                  <c:v>403.74</c:v>
                </c:pt>
                <c:pt idx="151">
                  <c:v>396.95</c:v>
                </c:pt>
                <c:pt idx="152">
                  <c:v>396.29</c:v>
                </c:pt>
                <c:pt idx="153">
                  <c:v>400</c:v>
                </c:pt>
                <c:pt idx="154">
                  <c:v>380.25</c:v>
                </c:pt>
                <c:pt idx="155">
                  <c:v>377.26</c:v>
                </c:pt>
                <c:pt idx="156">
                  <c:v>379.52</c:v>
                </c:pt>
                <c:pt idx="157">
                  <c:v>398.28</c:v>
                </c:pt>
                <c:pt idx="158">
                  <c:v>399.14</c:v>
                </c:pt>
                <c:pt idx="159">
                  <c:v>407.81</c:v>
                </c:pt>
                <c:pt idx="160">
                  <c:v>409.88</c:v>
                </c:pt>
                <c:pt idx="161">
                  <c:v>405.21</c:v>
                </c:pt>
                <c:pt idx="162">
                  <c:v>403.02</c:v>
                </c:pt>
                <c:pt idx="163">
                  <c:v>410.65</c:v>
                </c:pt>
                <c:pt idx="164">
                  <c:v>410.5</c:v>
                </c:pt>
                <c:pt idx="165">
                  <c:v>413.31</c:v>
                </c:pt>
                <c:pt idx="166">
                  <c:v>406.46</c:v>
                </c:pt>
                <c:pt idx="167">
                  <c:v>393.26</c:v>
                </c:pt>
                <c:pt idx="168">
                  <c:v>400.08</c:v>
                </c:pt>
                <c:pt idx="169">
                  <c:v>405.95</c:v>
                </c:pt>
                <c:pt idx="170">
                  <c:v>396</c:v>
                </c:pt>
                <c:pt idx="171">
                  <c:v>396.83</c:v>
                </c:pt>
                <c:pt idx="172">
                  <c:v>416.1</c:v>
                </c:pt>
                <c:pt idx="173">
                  <c:v>428.81</c:v>
                </c:pt>
                <c:pt idx="174">
                  <c:v>543.02</c:v>
                </c:pt>
                <c:pt idx="175">
                  <c:v>527.83000000000004</c:v>
                </c:pt>
                <c:pt idx="176">
                  <c:v>546.28</c:v>
                </c:pt>
                <c:pt idx="177">
                  <c:v>522.62</c:v>
                </c:pt>
                <c:pt idx="178">
                  <c:v>517.51</c:v>
                </c:pt>
                <c:pt idx="179">
                  <c:v>522.53</c:v>
                </c:pt>
                <c:pt idx="180">
                  <c:v>541.29</c:v>
                </c:pt>
                <c:pt idx="181">
                  <c:v>556.27</c:v>
                </c:pt>
                <c:pt idx="182">
                  <c:v>576.97</c:v>
                </c:pt>
                <c:pt idx="183">
                  <c:v>577.72</c:v>
                </c:pt>
                <c:pt idx="184">
                  <c:v>587.91</c:v>
                </c:pt>
                <c:pt idx="185">
                  <c:v>581</c:v>
                </c:pt>
                <c:pt idx="186">
                  <c:v>591.72</c:v>
                </c:pt>
                <c:pt idx="187">
                  <c:v>598</c:v>
                </c:pt>
                <c:pt idx="188">
                  <c:v>593</c:v>
                </c:pt>
                <c:pt idx="189">
                  <c:v>571.66</c:v>
                </c:pt>
                <c:pt idx="190">
                  <c:v>578.37</c:v>
                </c:pt>
                <c:pt idx="191">
                  <c:v>576.86</c:v>
                </c:pt>
                <c:pt idx="192">
                  <c:v>585.77</c:v>
                </c:pt>
                <c:pt idx="193">
                  <c:v>585</c:v>
                </c:pt>
                <c:pt idx="194">
                  <c:v>580.46</c:v>
                </c:pt>
                <c:pt idx="195">
                  <c:v>587.48</c:v>
                </c:pt>
                <c:pt idx="196">
                  <c:v>586.45000000000005</c:v>
                </c:pt>
                <c:pt idx="197">
                  <c:v>585.92999999999995</c:v>
                </c:pt>
                <c:pt idx="198">
                  <c:v>585.52</c:v>
                </c:pt>
                <c:pt idx="199">
                  <c:v>568</c:v>
                </c:pt>
                <c:pt idx="200">
                  <c:v>560</c:v>
                </c:pt>
                <c:pt idx="201">
                  <c:v>560.75</c:v>
                </c:pt>
                <c:pt idx="202">
                  <c:v>578.08000000000004</c:v>
                </c:pt>
                <c:pt idx="203">
                  <c:v>588.70000000000005</c:v>
                </c:pt>
                <c:pt idx="204">
                  <c:v>592.80999999999995</c:v>
                </c:pt>
                <c:pt idx="205">
                  <c:v>596.11</c:v>
                </c:pt>
                <c:pt idx="206">
                  <c:v>579.19000000000005</c:v>
                </c:pt>
                <c:pt idx="207">
                  <c:v>583.66999999999996</c:v>
                </c:pt>
                <c:pt idx="208">
                  <c:v>601.36</c:v>
                </c:pt>
                <c:pt idx="209">
                  <c:v>605.91999999999996</c:v>
                </c:pt>
                <c:pt idx="210">
                  <c:v>604.77</c:v>
                </c:pt>
                <c:pt idx="211">
                  <c:v>584.01</c:v>
                </c:pt>
                <c:pt idx="212">
                  <c:v>579.55999999999995</c:v>
                </c:pt>
                <c:pt idx="213">
                  <c:v>575.4</c:v>
                </c:pt>
                <c:pt idx="214">
                  <c:v>562.59</c:v>
                </c:pt>
                <c:pt idx="215">
                  <c:v>570.4</c:v>
                </c:pt>
                <c:pt idx="216">
                  <c:v>574.36</c:v>
                </c:pt>
                <c:pt idx="217">
                  <c:v>563.59</c:v>
                </c:pt>
                <c:pt idx="218">
                  <c:v>559.14</c:v>
                </c:pt>
                <c:pt idx="219">
                  <c:v>547.33000000000004</c:v>
                </c:pt>
                <c:pt idx="220">
                  <c:v>529.41</c:v>
                </c:pt>
                <c:pt idx="221">
                  <c:v>540.73</c:v>
                </c:pt>
                <c:pt idx="222">
                  <c:v>552.53</c:v>
                </c:pt>
                <c:pt idx="223">
                  <c:v>562.47</c:v>
                </c:pt>
                <c:pt idx="224">
                  <c:v>555</c:v>
                </c:pt>
                <c:pt idx="225">
                  <c:v>560.4</c:v>
                </c:pt>
                <c:pt idx="226">
                  <c:v>565.26499999999999</c:v>
                </c:pt>
                <c:pt idx="227">
                  <c:v>553.1</c:v>
                </c:pt>
                <c:pt idx="228">
                  <c:v>536.02</c:v>
                </c:pt>
                <c:pt idx="229">
                  <c:v>530.76</c:v>
                </c:pt>
                <c:pt idx="230">
                  <c:v>531.75</c:v>
                </c:pt>
                <c:pt idx="231">
                  <c:v>534.51</c:v>
                </c:pt>
                <c:pt idx="232">
                  <c:v>467.45</c:v>
                </c:pt>
                <c:pt idx="233">
                  <c:v>450.58</c:v>
                </c:pt>
                <c:pt idx="234">
                  <c:v>453.03</c:v>
                </c:pt>
                <c:pt idx="235">
                  <c:v>459.18</c:v>
                </c:pt>
                <c:pt idx="236">
                  <c:v>450.15</c:v>
                </c:pt>
                <c:pt idx="237">
                  <c:v>452.52</c:v>
                </c:pt>
                <c:pt idx="238">
                  <c:v>452.37</c:v>
                </c:pt>
                <c:pt idx="239">
                  <c:v>460.76499999999999</c:v>
                </c:pt>
                <c:pt idx="240">
                  <c:v>468.91</c:v>
                </c:pt>
                <c:pt idx="241">
                  <c:v>450.82</c:v>
                </c:pt>
                <c:pt idx="242">
                  <c:v>441.53</c:v>
                </c:pt>
                <c:pt idx="243">
                  <c:v>431.74</c:v>
                </c:pt>
                <c:pt idx="244">
                  <c:v>437.99</c:v>
                </c:pt>
                <c:pt idx="245">
                  <c:v>439.86</c:v>
                </c:pt>
                <c:pt idx="246">
                  <c:v>433.65</c:v>
                </c:pt>
                <c:pt idx="247">
                  <c:v>435.98</c:v>
                </c:pt>
                <c:pt idx="248">
                  <c:v>430.07</c:v>
                </c:pt>
                <c:pt idx="249">
                  <c:v>430.82</c:v>
                </c:pt>
                <c:pt idx="250">
                  <c:v>419.14</c:v>
                </c:pt>
                <c:pt idx="251">
                  <c:v>421.22</c:v>
                </c:pt>
                <c:pt idx="252">
                  <c:v>418.79</c:v>
                </c:pt>
                <c:pt idx="253">
                  <c:v>427.5</c:v>
                </c:pt>
                <c:pt idx="254">
                  <c:v>438.22</c:v>
                </c:pt>
                <c:pt idx="255">
                  <c:v>448.43</c:v>
                </c:pt>
                <c:pt idx="256">
                  <c:v>451.64</c:v>
                </c:pt>
                <c:pt idx="257">
                  <c:v>457.86</c:v>
                </c:pt>
                <c:pt idx="258">
                  <c:v>451.85</c:v>
                </c:pt>
                <c:pt idx="259">
                  <c:v>450.67</c:v>
                </c:pt>
                <c:pt idx="260">
                  <c:v>436.54</c:v>
                </c:pt>
                <c:pt idx="261">
                  <c:v>428.04</c:v>
                </c:pt>
                <c:pt idx="262">
                  <c:v>417.58</c:v>
                </c:pt>
                <c:pt idx="263">
                  <c:v>414.85</c:v>
                </c:pt>
                <c:pt idx="264">
                  <c:v>406.51</c:v>
                </c:pt>
                <c:pt idx="265">
                  <c:v>398.78</c:v>
                </c:pt>
                <c:pt idx="266">
                  <c:v>403.85</c:v>
                </c:pt>
                <c:pt idx="267">
                  <c:v>397.45</c:v>
                </c:pt>
                <c:pt idx="268">
                  <c:v>391.5</c:v>
                </c:pt>
                <c:pt idx="269">
                  <c:v>390.37</c:v>
                </c:pt>
                <c:pt idx="270">
                  <c:v>390.06</c:v>
                </c:pt>
                <c:pt idx="271">
                  <c:v>418.88</c:v>
                </c:pt>
                <c:pt idx="272">
                  <c:v>425.32</c:v>
                </c:pt>
                <c:pt idx="273">
                  <c:v>416.67</c:v>
                </c:pt>
                <c:pt idx="274">
                  <c:v>390.39</c:v>
                </c:pt>
                <c:pt idx="275">
                  <c:v>383.93</c:v>
                </c:pt>
                <c:pt idx="276">
                  <c:v>403.94</c:v>
                </c:pt>
                <c:pt idx="277">
                  <c:v>418.46</c:v>
                </c:pt>
                <c:pt idx="278">
                  <c:v>424.11</c:v>
                </c:pt>
                <c:pt idx="279">
                  <c:v>423.22</c:v>
                </c:pt>
                <c:pt idx="280">
                  <c:v>422.57</c:v>
                </c:pt>
                <c:pt idx="281">
                  <c:v>419.57</c:v>
                </c:pt>
                <c:pt idx="282">
                  <c:v>416.37</c:v>
                </c:pt>
                <c:pt idx="283">
                  <c:v>411.7</c:v>
                </c:pt>
                <c:pt idx="284">
                  <c:v>417.63</c:v>
                </c:pt>
                <c:pt idx="285">
                  <c:v>412.28</c:v>
                </c:pt>
                <c:pt idx="286">
                  <c:v>401.14</c:v>
                </c:pt>
                <c:pt idx="287">
                  <c:v>395.92</c:v>
                </c:pt>
                <c:pt idx="288">
                  <c:v>383.08</c:v>
                </c:pt>
                <c:pt idx="289">
                  <c:v>388.99</c:v>
                </c:pt>
                <c:pt idx="290">
                  <c:v>387.81</c:v>
                </c:pt>
                <c:pt idx="291">
                  <c:v>383.06</c:v>
                </c:pt>
                <c:pt idx="292">
                  <c:v>388.03</c:v>
                </c:pt>
                <c:pt idx="293">
                  <c:v>377.62</c:v>
                </c:pt>
                <c:pt idx="294">
                  <c:v>379.93</c:v>
                </c:pt>
                <c:pt idx="295">
                  <c:v>358.49</c:v>
                </c:pt>
                <c:pt idx="296">
                  <c:v>357.25</c:v>
                </c:pt>
                <c:pt idx="297">
                  <c:v>344.26</c:v>
                </c:pt>
                <c:pt idx="298">
                  <c:v>377.09</c:v>
                </c:pt>
                <c:pt idx="299">
                  <c:v>370.43</c:v>
                </c:pt>
                <c:pt idx="300">
                  <c:v>381.31</c:v>
                </c:pt>
                <c:pt idx="301">
                  <c:v>378.56</c:v>
                </c:pt>
                <c:pt idx="302">
                  <c:v>383.09</c:v>
                </c:pt>
                <c:pt idx="303">
                  <c:v>380.94</c:v>
                </c:pt>
                <c:pt idx="304">
                  <c:v>394.19</c:v>
                </c:pt>
                <c:pt idx="305">
                  <c:v>406.64</c:v>
                </c:pt>
                <c:pt idx="306">
                  <c:v>399.2</c:v>
                </c:pt>
                <c:pt idx="307">
                  <c:v>391.07</c:v>
                </c:pt>
                <c:pt idx="308">
                  <c:v>415</c:v>
                </c:pt>
                <c:pt idx="309">
                  <c:v>418.55</c:v>
                </c:pt>
                <c:pt idx="310">
                  <c:v>416.33</c:v>
                </c:pt>
                <c:pt idx="311">
                  <c:v>409.84500000000003</c:v>
                </c:pt>
                <c:pt idx="312">
                  <c:v>403.99</c:v>
                </c:pt>
                <c:pt idx="313">
                  <c:v>397.92</c:v>
                </c:pt>
                <c:pt idx="314">
                  <c:v>404.73</c:v>
                </c:pt>
                <c:pt idx="315">
                  <c:v>402.91</c:v>
                </c:pt>
                <c:pt idx="316">
                  <c:v>399.77</c:v>
                </c:pt>
                <c:pt idx="317">
                  <c:v>398.65</c:v>
                </c:pt>
                <c:pt idx="318">
                  <c:v>402.23</c:v>
                </c:pt>
                <c:pt idx="319">
                  <c:v>391.64</c:v>
                </c:pt>
                <c:pt idx="320">
                  <c:v>386.76</c:v>
                </c:pt>
                <c:pt idx="321">
                  <c:v>396.42</c:v>
                </c:pt>
                <c:pt idx="322">
                  <c:v>386.61</c:v>
                </c:pt>
                <c:pt idx="323">
                  <c:v>390.08</c:v>
                </c:pt>
                <c:pt idx="324">
                  <c:v>391.2</c:v>
                </c:pt>
                <c:pt idx="325">
                  <c:v>393.84</c:v>
                </c:pt>
                <c:pt idx="326">
                  <c:v>399.81</c:v>
                </c:pt>
                <c:pt idx="327">
                  <c:v>406.81</c:v>
                </c:pt>
                <c:pt idx="328">
                  <c:v>413.39</c:v>
                </c:pt>
                <c:pt idx="329">
                  <c:v>417.97</c:v>
                </c:pt>
                <c:pt idx="330">
                  <c:v>424.49</c:v>
                </c:pt>
                <c:pt idx="331">
                  <c:v>428.52</c:v>
                </c:pt>
                <c:pt idx="332">
                  <c:v>427.62</c:v>
                </c:pt>
                <c:pt idx="333">
                  <c:v>438.04</c:v>
                </c:pt>
                <c:pt idx="334">
                  <c:v>435.39</c:v>
                </c:pt>
                <c:pt idx="335">
                  <c:v>425.05</c:v>
                </c:pt>
                <c:pt idx="336">
                  <c:v>438.58</c:v>
                </c:pt>
                <c:pt idx="337">
                  <c:v>426.2</c:v>
                </c:pt>
                <c:pt idx="338">
                  <c:v>423.42</c:v>
                </c:pt>
                <c:pt idx="339">
                  <c:v>419.66</c:v>
                </c:pt>
                <c:pt idx="340">
                  <c:v>412.88</c:v>
                </c:pt>
                <c:pt idx="341">
                  <c:v>407</c:v>
                </c:pt>
                <c:pt idx="342">
                  <c:v>412.95</c:v>
                </c:pt>
                <c:pt idx="343">
                  <c:v>419.87</c:v>
                </c:pt>
                <c:pt idx="344">
                  <c:v>409.41</c:v>
                </c:pt>
                <c:pt idx="345">
                  <c:v>407.84</c:v>
                </c:pt>
                <c:pt idx="346">
                  <c:v>405.19</c:v>
                </c:pt>
                <c:pt idx="347">
                  <c:v>403.72</c:v>
                </c:pt>
                <c:pt idx="348">
                  <c:v>421.62</c:v>
                </c:pt>
                <c:pt idx="349">
                  <c:v>420.49</c:v>
                </c:pt>
                <c:pt idx="350">
                  <c:v>426.07</c:v>
                </c:pt>
                <c:pt idx="351">
                  <c:v>424.46</c:v>
                </c:pt>
                <c:pt idx="352">
                  <c:v>423.08</c:v>
                </c:pt>
                <c:pt idx="353">
                  <c:v>416.8</c:v>
                </c:pt>
                <c:pt idx="354">
                  <c:v>425.33</c:v>
                </c:pt>
                <c:pt idx="355">
                  <c:v>429.06</c:v>
                </c:pt>
                <c:pt idx="356">
                  <c:v>424.27</c:v>
                </c:pt>
                <c:pt idx="357">
                  <c:v>425.7</c:v>
                </c:pt>
                <c:pt idx="358">
                  <c:v>425.13</c:v>
                </c:pt>
                <c:pt idx="359">
                  <c:v>425.5</c:v>
                </c:pt>
                <c:pt idx="360">
                  <c:v>423.14</c:v>
                </c:pt>
                <c:pt idx="361">
                  <c:v>425.89</c:v>
                </c:pt>
                <c:pt idx="362">
                  <c:v>410.81</c:v>
                </c:pt>
                <c:pt idx="363">
                  <c:v>418.19</c:v>
                </c:pt>
                <c:pt idx="364">
                  <c:v>396.62</c:v>
                </c:pt>
                <c:pt idx="365">
                  <c:v>396.58</c:v>
                </c:pt>
                <c:pt idx="366">
                  <c:v>402.72</c:v>
                </c:pt>
                <c:pt idx="367">
                  <c:v>410.05</c:v>
                </c:pt>
                <c:pt idx="368">
                  <c:v>397.25</c:v>
                </c:pt>
                <c:pt idx="369">
                  <c:v>382.22</c:v>
                </c:pt>
                <c:pt idx="370">
                  <c:v>370.72</c:v>
                </c:pt>
                <c:pt idx="371">
                  <c:v>364.1</c:v>
                </c:pt>
                <c:pt idx="372">
                  <c:v>363.12</c:v>
                </c:pt>
                <c:pt idx="373">
                  <c:v>357.49</c:v>
                </c:pt>
                <c:pt idx="374">
                  <c:v>358.87</c:v>
                </c:pt>
                <c:pt idx="375">
                  <c:v>349.95</c:v>
                </c:pt>
                <c:pt idx="376">
                  <c:v>346.91</c:v>
                </c:pt>
                <c:pt idx="377">
                  <c:v>335.26</c:v>
                </c:pt>
                <c:pt idx="378">
                  <c:v>336.23</c:v>
                </c:pt>
                <c:pt idx="379">
                  <c:v>340.33</c:v>
                </c:pt>
                <c:pt idx="380">
                  <c:v>342.41</c:v>
                </c:pt>
                <c:pt idx="381">
                  <c:v>346.81</c:v>
                </c:pt>
                <c:pt idx="382">
                  <c:v>344.36</c:v>
                </c:pt>
                <c:pt idx="383">
                  <c:v>342.95</c:v>
                </c:pt>
                <c:pt idx="384">
                  <c:v>322.52999999999997</c:v>
                </c:pt>
                <c:pt idx="385">
                  <c:v>312.77</c:v>
                </c:pt>
                <c:pt idx="386">
                  <c:v>314.83</c:v>
                </c:pt>
                <c:pt idx="387">
                  <c:v>312</c:v>
                </c:pt>
                <c:pt idx="388">
                  <c:v>306.70999999999998</c:v>
                </c:pt>
                <c:pt idx="389">
                  <c:v>315.87</c:v>
                </c:pt>
                <c:pt idx="390">
                  <c:v>319.8</c:v>
                </c:pt>
                <c:pt idx="391">
                  <c:v>313.35000000000002</c:v>
                </c:pt>
                <c:pt idx="392">
                  <c:v>310.63</c:v>
                </c:pt>
                <c:pt idx="393">
                  <c:v>305.24</c:v>
                </c:pt>
                <c:pt idx="394">
                  <c:v>294.79000000000002</c:v>
                </c:pt>
                <c:pt idx="395">
                  <c:v>304.97000000000003</c:v>
                </c:pt>
                <c:pt idx="396">
                  <c:v>302.32</c:v>
                </c:pt>
                <c:pt idx="397">
                  <c:v>301.81</c:v>
                </c:pt>
                <c:pt idx="398">
                  <c:v>295.58999999999997</c:v>
                </c:pt>
                <c:pt idx="399">
                  <c:v>302.87</c:v>
                </c:pt>
                <c:pt idx="400">
                  <c:v>290.95</c:v>
                </c:pt>
                <c:pt idx="401">
                  <c:v>284.16000000000003</c:v>
                </c:pt>
                <c:pt idx="402">
                  <c:v>288.32</c:v>
                </c:pt>
                <c:pt idx="403">
                  <c:v>284.3</c:v>
                </c:pt>
                <c:pt idx="404">
                  <c:v>280.92</c:v>
                </c:pt>
                <c:pt idx="405">
                  <c:v>273.42</c:v>
                </c:pt>
                <c:pt idx="406">
                  <c:v>274.43</c:v>
                </c:pt>
                <c:pt idx="407">
                  <c:v>274.08</c:v>
                </c:pt>
                <c:pt idx="408">
                  <c:v>277.72000000000003</c:v>
                </c:pt>
                <c:pt idx="409">
                  <c:v>282.04000000000002</c:v>
                </c:pt>
                <c:pt idx="410">
                  <c:v>277.31</c:v>
                </c:pt>
                <c:pt idx="411">
                  <c:v>270.82</c:v>
                </c:pt>
                <c:pt idx="412">
                  <c:v>276.42</c:v>
                </c:pt>
                <c:pt idx="413">
                  <c:v>280.47000000000003</c:v>
                </c:pt>
                <c:pt idx="414">
                  <c:v>281.99</c:v>
                </c:pt>
                <c:pt idx="415">
                  <c:v>284.08999999999997</c:v>
                </c:pt>
                <c:pt idx="416">
                  <c:v>284.06</c:v>
                </c:pt>
                <c:pt idx="417">
                  <c:v>287.72000000000003</c:v>
                </c:pt>
                <c:pt idx="418">
                  <c:v>293.07</c:v>
                </c:pt>
                <c:pt idx="419">
                  <c:v>291.36</c:v>
                </c:pt>
                <c:pt idx="420">
                  <c:v>295.81</c:v>
                </c:pt>
                <c:pt idx="421">
                  <c:v>294.24</c:v>
                </c:pt>
                <c:pt idx="422">
                  <c:v>290.82</c:v>
                </c:pt>
                <c:pt idx="423">
                  <c:v>297.77</c:v>
                </c:pt>
                <c:pt idx="424">
                  <c:v>259.92</c:v>
                </c:pt>
                <c:pt idx="425">
                  <c:v>248.06</c:v>
                </c:pt>
                <c:pt idx="426">
                  <c:v>280.92</c:v>
                </c:pt>
                <c:pt idx="427">
                  <c:v>286.88</c:v>
                </c:pt>
                <c:pt idx="428">
                  <c:v>279.98</c:v>
                </c:pt>
                <c:pt idx="429">
                  <c:v>278.64</c:v>
                </c:pt>
                <c:pt idx="430">
                  <c:v>274.25</c:v>
                </c:pt>
                <c:pt idx="431">
                  <c:v>273.26</c:v>
                </c:pt>
                <c:pt idx="432">
                  <c:v>268.86</c:v>
                </c:pt>
                <c:pt idx="433">
                  <c:v>261.45999999999998</c:v>
                </c:pt>
                <c:pt idx="434">
                  <c:v>258.02</c:v>
                </c:pt>
                <c:pt idx="435">
                  <c:v>272.39</c:v>
                </c:pt>
                <c:pt idx="436">
                  <c:v>271.52</c:v>
                </c:pt>
                <c:pt idx="437">
                  <c:v>266.94</c:v>
                </c:pt>
                <c:pt idx="438">
                  <c:v>254.09</c:v>
                </c:pt>
                <c:pt idx="439">
                  <c:v>256.06</c:v>
                </c:pt>
                <c:pt idx="440">
                  <c:v>256.29000000000002</c:v>
                </c:pt>
                <c:pt idx="441">
                  <c:v>264.66000000000003</c:v>
                </c:pt>
                <c:pt idx="442">
                  <c:v>272.08</c:v>
                </c:pt>
                <c:pt idx="443">
                  <c:v>271.11</c:v>
                </c:pt>
                <c:pt idx="444">
                  <c:v>268.43</c:v>
                </c:pt>
                <c:pt idx="445">
                  <c:v>272.14999999999998</c:v>
                </c:pt>
                <c:pt idx="446">
                  <c:v>275.8</c:v>
                </c:pt>
                <c:pt idx="447">
                  <c:v>271.45</c:v>
                </c:pt>
                <c:pt idx="448">
                  <c:v>269.36</c:v>
                </c:pt>
                <c:pt idx="449">
                  <c:v>274.29500000000002</c:v>
                </c:pt>
                <c:pt idx="450">
                  <c:v>281.51</c:v>
                </c:pt>
                <c:pt idx="451">
                  <c:v>270.64999999999998</c:v>
                </c:pt>
                <c:pt idx="452">
                  <c:v>267.82</c:v>
                </c:pt>
                <c:pt idx="453">
                  <c:v>278.41000000000003</c:v>
                </c:pt>
                <c:pt idx="454">
                  <c:v>272.14</c:v>
                </c:pt>
                <c:pt idx="455">
                  <c:v>276.43</c:v>
                </c:pt>
                <c:pt idx="456">
                  <c:v>270.43</c:v>
                </c:pt>
                <c:pt idx="457">
                  <c:v>276.31</c:v>
                </c:pt>
                <c:pt idx="458">
                  <c:v>280.66000000000003</c:v>
                </c:pt>
                <c:pt idx="459">
                  <c:v>289.56</c:v>
                </c:pt>
                <c:pt idx="460">
                  <c:v>288.42</c:v>
                </c:pt>
                <c:pt idx="461">
                  <c:v>292.81</c:v>
                </c:pt>
                <c:pt idx="462">
                  <c:v>295.64999999999998</c:v>
                </c:pt>
                <c:pt idx="463">
                  <c:v>285.52999999999997</c:v>
                </c:pt>
                <c:pt idx="464">
                  <c:v>272.42</c:v>
                </c:pt>
                <c:pt idx="465">
                  <c:v>270.87</c:v>
                </c:pt>
                <c:pt idx="466">
                  <c:v>270.63</c:v>
                </c:pt>
                <c:pt idx="467">
                  <c:v>270.37</c:v>
                </c:pt>
                <c:pt idx="468">
                  <c:v>276.91000000000003</c:v>
                </c:pt>
                <c:pt idx="469">
                  <c:v>274.58999999999997</c:v>
                </c:pt>
                <c:pt idx="470">
                  <c:v>272.7</c:v>
                </c:pt>
                <c:pt idx="471">
                  <c:v>282.86</c:v>
                </c:pt>
                <c:pt idx="472">
                  <c:v>277.32</c:v>
                </c:pt>
                <c:pt idx="473">
                  <c:v>281.44</c:v>
                </c:pt>
                <c:pt idx="474">
                  <c:v>277.88</c:v>
                </c:pt>
                <c:pt idx="475">
                  <c:v>275</c:v>
                </c:pt>
                <c:pt idx="476">
                  <c:v>272</c:v>
                </c:pt>
                <c:pt idx="477">
                  <c:v>277.23</c:v>
                </c:pt>
                <c:pt idx="478">
                  <c:v>290.52</c:v>
                </c:pt>
                <c:pt idx="479">
                  <c:v>296.02999999999997</c:v>
                </c:pt>
                <c:pt idx="480">
                  <c:v>293.67</c:v>
                </c:pt>
                <c:pt idx="481">
                  <c:v>286.36</c:v>
                </c:pt>
                <c:pt idx="482">
                  <c:v>287.61</c:v>
                </c:pt>
                <c:pt idx="483">
                  <c:v>295.64</c:v>
                </c:pt>
                <c:pt idx="484">
                  <c:v>272.77999999999997</c:v>
                </c:pt>
                <c:pt idx="485">
                  <c:v>264.41000000000003</c:v>
                </c:pt>
                <c:pt idx="486">
                  <c:v>272.75</c:v>
                </c:pt>
                <c:pt idx="487">
                  <c:v>255.82</c:v>
                </c:pt>
                <c:pt idx="488">
                  <c:v>257.58</c:v>
                </c:pt>
                <c:pt idx="489">
                  <c:v>258.67</c:v>
                </c:pt>
                <c:pt idx="490">
                  <c:v>261.02</c:v>
                </c:pt>
                <c:pt idx="491">
                  <c:v>248.92</c:v>
                </c:pt>
                <c:pt idx="492">
                  <c:v>240.46</c:v>
                </c:pt>
                <c:pt idx="493">
                  <c:v>242.94</c:v>
                </c:pt>
                <c:pt idx="494">
                  <c:v>238.26</c:v>
                </c:pt>
                <c:pt idx="495">
                  <c:v>242.09</c:v>
                </c:pt>
                <c:pt idx="496">
                  <c:v>240</c:v>
                </c:pt>
                <c:pt idx="497">
                  <c:v>236.64</c:v>
                </c:pt>
                <c:pt idx="498">
                  <c:v>232.13</c:v>
                </c:pt>
                <c:pt idx="499">
                  <c:v>227.41</c:v>
                </c:pt>
                <c:pt idx="500">
                  <c:v>222.75</c:v>
                </c:pt>
                <c:pt idx="501">
                  <c:v>210.56</c:v>
                </c:pt>
                <c:pt idx="502">
                  <c:v>210.86</c:v>
                </c:pt>
                <c:pt idx="503">
                  <c:v>208.61</c:v>
                </c:pt>
                <c:pt idx="504">
                  <c:v>209.68</c:v>
                </c:pt>
                <c:pt idx="505">
                  <c:v>213.92</c:v>
                </c:pt>
                <c:pt idx="506">
                  <c:v>208.19</c:v>
                </c:pt>
                <c:pt idx="507">
                  <c:v>211.44</c:v>
                </c:pt>
                <c:pt idx="508">
                  <c:v>214.35</c:v>
                </c:pt>
                <c:pt idx="509">
                  <c:v>213.31</c:v>
                </c:pt>
                <c:pt idx="510">
                  <c:v>219.66</c:v>
                </c:pt>
                <c:pt idx="511">
                  <c:v>217.69</c:v>
                </c:pt>
                <c:pt idx="512">
                  <c:v>222.33</c:v>
                </c:pt>
                <c:pt idx="513">
                  <c:v>229.15</c:v>
                </c:pt>
                <c:pt idx="514">
                  <c:v>230.61</c:v>
                </c:pt>
                <c:pt idx="515">
                  <c:v>238.89</c:v>
                </c:pt>
                <c:pt idx="516">
                  <c:v>235.48</c:v>
                </c:pt>
                <c:pt idx="517">
                  <c:v>237.52</c:v>
                </c:pt>
                <c:pt idx="518">
                  <c:v>228.32</c:v>
                </c:pt>
                <c:pt idx="519">
                  <c:v>227.49</c:v>
                </c:pt>
                <c:pt idx="520">
                  <c:v>227.36</c:v>
                </c:pt>
                <c:pt idx="521">
                  <c:v>229.16</c:v>
                </c:pt>
                <c:pt idx="522">
                  <c:v>229.08</c:v>
                </c:pt>
                <c:pt idx="523">
                  <c:v>237.72</c:v>
                </c:pt>
                <c:pt idx="524">
                  <c:v>237.76</c:v>
                </c:pt>
                <c:pt idx="525">
                  <c:v>243.59</c:v>
                </c:pt>
                <c:pt idx="526">
                  <c:v>234.42</c:v>
                </c:pt>
                <c:pt idx="527">
                  <c:v>227.45</c:v>
                </c:pt>
                <c:pt idx="528">
                  <c:v>236.77</c:v>
                </c:pt>
                <c:pt idx="529">
                  <c:v>236.45</c:v>
                </c:pt>
                <c:pt idx="530">
                  <c:v>230.83</c:v>
                </c:pt>
                <c:pt idx="531">
                  <c:v>234.82</c:v>
                </c:pt>
                <c:pt idx="532">
                  <c:v>236.43</c:v>
                </c:pt>
                <c:pt idx="533">
                  <c:v>237.01</c:v>
                </c:pt>
                <c:pt idx="534">
                  <c:v>248.06</c:v>
                </c:pt>
                <c:pt idx="535">
                  <c:v>261.58999999999997</c:v>
                </c:pt>
                <c:pt idx="536">
                  <c:v>254.4</c:v>
                </c:pt>
                <c:pt idx="537">
                  <c:v>247.5</c:v>
                </c:pt>
                <c:pt idx="538">
                  <c:v>245.01</c:v>
                </c:pt>
                <c:pt idx="539">
                  <c:v>214.64</c:v>
                </c:pt>
                <c:pt idx="540">
                  <c:v>223</c:v>
                </c:pt>
                <c:pt idx="541">
                  <c:v>218.82</c:v>
                </c:pt>
                <c:pt idx="542">
                  <c:v>209.9</c:v>
                </c:pt>
                <c:pt idx="543">
                  <c:v>195</c:v>
                </c:pt>
                <c:pt idx="544">
                  <c:v>199.43</c:v>
                </c:pt>
                <c:pt idx="545">
                  <c:v>207.32</c:v>
                </c:pt>
                <c:pt idx="546">
                  <c:v>198.86</c:v>
                </c:pt>
                <c:pt idx="547">
                  <c:v>192.21</c:v>
                </c:pt>
                <c:pt idx="548">
                  <c:v>189.86</c:v>
                </c:pt>
                <c:pt idx="549">
                  <c:v>198.9</c:v>
                </c:pt>
                <c:pt idx="550">
                  <c:v>198.18</c:v>
                </c:pt>
                <c:pt idx="551">
                  <c:v>194.58</c:v>
                </c:pt>
                <c:pt idx="552">
                  <c:v>189.25</c:v>
                </c:pt>
                <c:pt idx="553">
                  <c:v>186.37</c:v>
                </c:pt>
                <c:pt idx="554">
                  <c:v>196.87</c:v>
                </c:pt>
                <c:pt idx="555">
                  <c:v>205.84</c:v>
                </c:pt>
                <c:pt idx="556">
                  <c:v>202.74</c:v>
                </c:pt>
                <c:pt idx="557">
                  <c:v>196.22</c:v>
                </c:pt>
                <c:pt idx="558">
                  <c:v>201.84</c:v>
                </c:pt>
                <c:pt idx="559">
                  <c:v>203.54</c:v>
                </c:pt>
                <c:pt idx="560">
                  <c:v>198.3</c:v>
                </c:pt>
                <c:pt idx="561">
                  <c:v>202.25</c:v>
                </c:pt>
                <c:pt idx="562">
                  <c:v>197.52</c:v>
                </c:pt>
                <c:pt idx="563">
                  <c:v>201.63</c:v>
                </c:pt>
                <c:pt idx="564">
                  <c:v>202.96</c:v>
                </c:pt>
                <c:pt idx="565">
                  <c:v>205.9</c:v>
                </c:pt>
                <c:pt idx="566">
                  <c:v>198.25</c:v>
                </c:pt>
                <c:pt idx="567">
                  <c:v>190</c:v>
                </c:pt>
                <c:pt idx="568">
                  <c:v>194.65</c:v>
                </c:pt>
                <c:pt idx="569">
                  <c:v>199.23</c:v>
                </c:pt>
                <c:pt idx="570">
                  <c:v>192.26</c:v>
                </c:pt>
                <c:pt idx="571">
                  <c:v>185.48</c:v>
                </c:pt>
                <c:pt idx="572">
                  <c:v>183.54</c:v>
                </c:pt>
                <c:pt idx="573">
                  <c:v>185.36</c:v>
                </c:pt>
                <c:pt idx="574">
                  <c:v>189.37</c:v>
                </c:pt>
                <c:pt idx="575">
                  <c:v>186.48</c:v>
                </c:pt>
                <c:pt idx="576">
                  <c:v>189.25</c:v>
                </c:pt>
                <c:pt idx="577">
                  <c:v>185.17</c:v>
                </c:pt>
                <c:pt idx="578">
                  <c:v>189.5</c:v>
                </c:pt>
                <c:pt idx="579">
                  <c:v>194.07</c:v>
                </c:pt>
                <c:pt idx="580">
                  <c:v>196.71</c:v>
                </c:pt>
                <c:pt idx="581">
                  <c:v>208.05</c:v>
                </c:pt>
                <c:pt idx="582">
                  <c:v>202.28</c:v>
                </c:pt>
                <c:pt idx="583">
                  <c:v>195.67</c:v>
                </c:pt>
                <c:pt idx="584">
                  <c:v>201.97</c:v>
                </c:pt>
                <c:pt idx="585">
                  <c:v>209.58</c:v>
                </c:pt>
                <c:pt idx="586">
                  <c:v>206.21</c:v>
                </c:pt>
                <c:pt idx="587">
                  <c:v>209.98</c:v>
                </c:pt>
                <c:pt idx="588">
                  <c:v>206.83</c:v>
                </c:pt>
                <c:pt idx="589">
                  <c:v>215.43</c:v>
                </c:pt>
                <c:pt idx="590">
                  <c:v>215.78</c:v>
                </c:pt>
                <c:pt idx="591">
                  <c:v>222.43</c:v>
                </c:pt>
                <c:pt idx="592">
                  <c:v>232.75</c:v>
                </c:pt>
                <c:pt idx="593">
                  <c:v>221.7</c:v>
                </c:pt>
                <c:pt idx="594">
                  <c:v>219.96</c:v>
                </c:pt>
                <c:pt idx="595">
                  <c:v>222.97</c:v>
                </c:pt>
                <c:pt idx="596">
                  <c:v>229.46</c:v>
                </c:pt>
                <c:pt idx="597">
                  <c:v>234.26</c:v>
                </c:pt>
                <c:pt idx="598">
                  <c:v>232.67</c:v>
                </c:pt>
                <c:pt idx="599">
                  <c:v>239.08</c:v>
                </c:pt>
                <c:pt idx="600">
                  <c:v>240.25</c:v>
                </c:pt>
                <c:pt idx="601">
                  <c:v>246.49</c:v>
                </c:pt>
                <c:pt idx="602">
                  <c:v>253</c:v>
                </c:pt>
                <c:pt idx="603">
                  <c:v>249.72</c:v>
                </c:pt>
                <c:pt idx="604">
                  <c:v>235.68</c:v>
                </c:pt>
                <c:pt idx="605">
                  <c:v>241.73</c:v>
                </c:pt>
                <c:pt idx="606">
                  <c:v>241.41</c:v>
                </c:pt>
                <c:pt idx="607">
                  <c:v>240.4</c:v>
                </c:pt>
                <c:pt idx="608">
                  <c:v>236.63</c:v>
                </c:pt>
                <c:pt idx="609">
                  <c:v>233.09</c:v>
                </c:pt>
                <c:pt idx="610">
                  <c:v>239.87</c:v>
                </c:pt>
                <c:pt idx="611">
                  <c:v>237.85</c:v>
                </c:pt>
                <c:pt idx="612">
                  <c:v>234.03</c:v>
                </c:pt>
                <c:pt idx="613">
                  <c:v>211.05</c:v>
                </c:pt>
                <c:pt idx="614">
                  <c:v>206.11</c:v>
                </c:pt>
                <c:pt idx="615">
                  <c:v>211.35</c:v>
                </c:pt>
                <c:pt idx="616">
                  <c:v>210.03</c:v>
                </c:pt>
                <c:pt idx="617">
                  <c:v>214.7</c:v>
                </c:pt>
                <c:pt idx="618">
                  <c:v>212.52</c:v>
                </c:pt>
                <c:pt idx="619">
                  <c:v>209.4</c:v>
                </c:pt>
                <c:pt idx="620">
                  <c:v>198.76</c:v>
                </c:pt>
                <c:pt idx="621">
                  <c:v>195.67</c:v>
                </c:pt>
                <c:pt idx="622">
                  <c:v>194.69</c:v>
                </c:pt>
                <c:pt idx="623">
                  <c:v>192.95</c:v>
                </c:pt>
                <c:pt idx="624">
                  <c:v>206.97</c:v>
                </c:pt>
                <c:pt idx="625">
                  <c:v>204.74</c:v>
                </c:pt>
                <c:pt idx="626">
                  <c:v>204.98</c:v>
                </c:pt>
                <c:pt idx="627">
                  <c:v>202.62</c:v>
                </c:pt>
                <c:pt idx="628">
                  <c:v>195.11</c:v>
                </c:pt>
                <c:pt idx="629">
                  <c:v>191.44</c:v>
                </c:pt>
                <c:pt idx="630">
                  <c:v>186.83</c:v>
                </c:pt>
                <c:pt idx="631">
                  <c:v>188</c:v>
                </c:pt>
                <c:pt idx="632">
                  <c:v>183.75</c:v>
                </c:pt>
                <c:pt idx="633">
                  <c:v>180.79</c:v>
                </c:pt>
                <c:pt idx="634">
                  <c:v>190.93</c:v>
                </c:pt>
                <c:pt idx="635">
                  <c:v>190.69</c:v>
                </c:pt>
                <c:pt idx="636">
                  <c:v>181.57</c:v>
                </c:pt>
                <c:pt idx="637">
                  <c:v>170.76</c:v>
                </c:pt>
                <c:pt idx="638">
                  <c:v>174.66</c:v>
                </c:pt>
                <c:pt idx="639">
                  <c:v>171.86</c:v>
                </c:pt>
                <c:pt idx="640">
                  <c:v>175.41</c:v>
                </c:pt>
                <c:pt idx="641">
                  <c:v>185.61</c:v>
                </c:pt>
                <c:pt idx="642">
                  <c:v>182.04</c:v>
                </c:pt>
                <c:pt idx="643">
                  <c:v>181.3</c:v>
                </c:pt>
                <c:pt idx="644">
                  <c:v>191.24</c:v>
                </c:pt>
                <c:pt idx="645">
                  <c:v>203.15</c:v>
                </c:pt>
                <c:pt idx="646">
                  <c:v>207.72</c:v>
                </c:pt>
                <c:pt idx="647">
                  <c:v>220.01</c:v>
                </c:pt>
                <c:pt idx="648">
                  <c:v>221.22</c:v>
                </c:pt>
                <c:pt idx="649">
                  <c:v>210.52</c:v>
                </c:pt>
                <c:pt idx="650">
                  <c:v>207.38</c:v>
                </c:pt>
                <c:pt idx="651">
                  <c:v>195.9</c:v>
                </c:pt>
                <c:pt idx="652">
                  <c:v>197.59</c:v>
                </c:pt>
                <c:pt idx="653">
                  <c:v>199.14</c:v>
                </c:pt>
                <c:pt idx="654">
                  <c:v>196.28</c:v>
                </c:pt>
                <c:pt idx="655">
                  <c:v>186</c:v>
                </c:pt>
                <c:pt idx="656">
                  <c:v>184.73</c:v>
                </c:pt>
                <c:pt idx="657">
                  <c:v>190.56</c:v>
                </c:pt>
                <c:pt idx="658">
                  <c:v>187.55</c:v>
                </c:pt>
                <c:pt idx="659">
                  <c:v>184.39</c:v>
                </c:pt>
                <c:pt idx="660">
                  <c:v>181.35</c:v>
                </c:pt>
                <c:pt idx="661">
                  <c:v>207.44</c:v>
                </c:pt>
                <c:pt idx="662">
                  <c:v>199.47</c:v>
                </c:pt>
                <c:pt idx="663">
                  <c:v>215.05</c:v>
                </c:pt>
                <c:pt idx="664">
                  <c:v>205.2</c:v>
                </c:pt>
                <c:pt idx="665">
                  <c:v>206.61</c:v>
                </c:pt>
                <c:pt idx="666">
                  <c:v>214.49</c:v>
                </c:pt>
                <c:pt idx="667">
                  <c:v>210.78</c:v>
                </c:pt>
                <c:pt idx="668">
                  <c:v>216.93</c:v>
                </c:pt>
                <c:pt idx="669">
                  <c:v>218.2</c:v>
                </c:pt>
                <c:pt idx="670">
                  <c:v>225.89</c:v>
                </c:pt>
                <c:pt idx="671">
                  <c:v>210.91</c:v>
                </c:pt>
                <c:pt idx="672">
                  <c:v>208.89</c:v>
                </c:pt>
                <c:pt idx="673">
                  <c:v>205.96</c:v>
                </c:pt>
                <c:pt idx="674">
                  <c:v>212.72</c:v>
                </c:pt>
                <c:pt idx="675">
                  <c:v>196.76</c:v>
                </c:pt>
                <c:pt idx="676">
                  <c:v>204.63</c:v>
                </c:pt>
                <c:pt idx="677">
                  <c:v>215.06</c:v>
                </c:pt>
                <c:pt idx="678">
                  <c:v>207.12</c:v>
                </c:pt>
                <c:pt idx="679">
                  <c:v>209.32</c:v>
                </c:pt>
                <c:pt idx="680">
                  <c:v>212.3</c:v>
                </c:pt>
                <c:pt idx="681">
                  <c:v>206.94</c:v>
                </c:pt>
                <c:pt idx="682">
                  <c:v>197.26</c:v>
                </c:pt>
                <c:pt idx="683">
                  <c:v>199.73</c:v>
                </c:pt>
                <c:pt idx="684">
                  <c:v>208.94</c:v>
                </c:pt>
                <c:pt idx="685">
                  <c:v>203.83</c:v>
                </c:pt>
                <c:pt idx="686">
                  <c:v>203.41</c:v>
                </c:pt>
                <c:pt idx="687">
                  <c:v>202.68</c:v>
                </c:pt>
                <c:pt idx="688">
                  <c:v>206.06</c:v>
                </c:pt>
                <c:pt idx="689">
                  <c:v>211.5</c:v>
                </c:pt>
                <c:pt idx="690">
                  <c:v>221.77</c:v>
                </c:pt>
                <c:pt idx="691">
                  <c:v>235.55</c:v>
                </c:pt>
                <c:pt idx="692">
                  <c:v>233.72</c:v>
                </c:pt>
                <c:pt idx="693">
                  <c:v>243.82</c:v>
                </c:pt>
                <c:pt idx="694">
                  <c:v>261.31</c:v>
                </c:pt>
                <c:pt idx="695">
                  <c:v>274.8</c:v>
                </c:pt>
                <c:pt idx="696">
                  <c:v>270.24</c:v>
                </c:pt>
                <c:pt idx="697">
                  <c:v>263.91000000000003</c:v>
                </c:pt>
                <c:pt idx="698">
                  <c:v>277.69</c:v>
                </c:pt>
                <c:pt idx="699">
                  <c:v>271.25</c:v>
                </c:pt>
                <c:pt idx="700">
                  <c:v>286.79000000000002</c:v>
                </c:pt>
                <c:pt idx="701">
                  <c:v>281.14</c:v>
                </c:pt>
                <c:pt idx="702">
                  <c:v>292.02</c:v>
                </c:pt>
                <c:pt idx="703">
                  <c:v>282.31</c:v>
                </c:pt>
                <c:pt idx="704">
                  <c:v>280.58</c:v>
                </c:pt>
                <c:pt idx="705">
                  <c:v>258.79000000000002</c:v>
                </c:pt>
                <c:pt idx="706">
                  <c:v>251.03</c:v>
                </c:pt>
                <c:pt idx="707">
                  <c:v>261.35000000000002</c:v>
                </c:pt>
                <c:pt idx="708">
                  <c:v>267.79000000000002</c:v>
                </c:pt>
                <c:pt idx="709">
                  <c:v>269.74</c:v>
                </c:pt>
                <c:pt idx="710">
                  <c:v>252.24</c:v>
                </c:pt>
                <c:pt idx="711">
                  <c:v>245.48</c:v>
                </c:pt>
                <c:pt idx="712">
                  <c:v>264.7</c:v>
                </c:pt>
                <c:pt idx="713">
                  <c:v>280.26</c:v>
                </c:pt>
                <c:pt idx="714">
                  <c:v>287.79000000000002</c:v>
                </c:pt>
                <c:pt idx="715">
                  <c:v>283.27</c:v>
                </c:pt>
                <c:pt idx="716">
                  <c:v>287.23</c:v>
                </c:pt>
                <c:pt idx="717">
                  <c:v>274.48</c:v>
                </c:pt>
                <c:pt idx="718">
                  <c:v>264.49</c:v>
                </c:pt>
                <c:pt idx="719">
                  <c:v>256.26</c:v>
                </c:pt>
                <c:pt idx="720">
                  <c:v>257.07</c:v>
                </c:pt>
                <c:pt idx="721">
                  <c:v>267.94</c:v>
                </c:pt>
                <c:pt idx="722">
                  <c:v>267.97000000000003</c:v>
                </c:pt>
                <c:pt idx="723">
                  <c:v>274.75</c:v>
                </c:pt>
                <c:pt idx="724">
                  <c:v>277.02999999999997</c:v>
                </c:pt>
                <c:pt idx="725">
                  <c:v>268.82</c:v>
                </c:pt>
                <c:pt idx="726">
                  <c:v>264.70999999999998</c:v>
                </c:pt>
                <c:pt idx="727">
                  <c:v>280.14999999999998</c:v>
                </c:pt>
                <c:pt idx="728">
                  <c:v>290.38</c:v>
                </c:pt>
                <c:pt idx="729">
                  <c:v>283.66000000000003</c:v>
                </c:pt>
                <c:pt idx="730">
                  <c:v>277.86</c:v>
                </c:pt>
                <c:pt idx="731">
                  <c:v>283.83</c:v>
                </c:pt>
                <c:pt idx="732">
                  <c:v>291</c:v>
                </c:pt>
                <c:pt idx="733">
                  <c:v>299</c:v>
                </c:pt>
                <c:pt idx="734">
                  <c:v>299.72000000000003</c:v>
                </c:pt>
                <c:pt idx="735">
                  <c:v>284.27999999999997</c:v>
                </c:pt>
                <c:pt idx="736">
                  <c:v>270.32</c:v>
                </c:pt>
                <c:pt idx="737">
                  <c:v>266.14999999999998</c:v>
                </c:pt>
                <c:pt idx="738">
                  <c:v>281.23</c:v>
                </c:pt>
                <c:pt idx="739">
                  <c:v>285.64</c:v>
                </c:pt>
                <c:pt idx="740">
                  <c:v>295.83</c:v>
                </c:pt>
                <c:pt idx="741">
                  <c:v>272.74</c:v>
                </c:pt>
                <c:pt idx="742">
                  <c:v>287.01</c:v>
                </c:pt>
                <c:pt idx="743">
                  <c:v>282.19</c:v>
                </c:pt>
                <c:pt idx="744">
                  <c:v>279.16000000000003</c:v>
                </c:pt>
                <c:pt idx="745">
                  <c:v>276.60000000000002</c:v>
                </c:pt>
                <c:pt idx="746">
                  <c:v>270.7</c:v>
                </c:pt>
                <c:pt idx="747">
                  <c:v>283.05</c:v>
                </c:pt>
                <c:pt idx="748">
                  <c:v>279.14</c:v>
                </c:pt>
                <c:pt idx="749">
                  <c:v>284.52</c:v>
                </c:pt>
                <c:pt idx="750">
                  <c:v>282.77999999999997</c:v>
                </c:pt>
                <c:pt idx="751">
                  <c:v>294.77</c:v>
                </c:pt>
                <c:pt idx="752">
                  <c:v>292.58</c:v>
                </c:pt>
                <c:pt idx="753">
                  <c:v>317.83</c:v>
                </c:pt>
                <c:pt idx="754">
                  <c:v>314.77</c:v>
                </c:pt>
                <c:pt idx="755">
                  <c:v>337.03</c:v>
                </c:pt>
                <c:pt idx="756">
                  <c:v>332.84</c:v>
                </c:pt>
                <c:pt idx="757">
                  <c:v>335.41</c:v>
                </c:pt>
                <c:pt idx="758">
                  <c:v>330.19</c:v>
                </c:pt>
                <c:pt idx="759">
                  <c:v>333.05</c:v>
                </c:pt>
                <c:pt idx="760">
                  <c:v>323.52999999999997</c:v>
                </c:pt>
                <c:pt idx="761">
                  <c:v>313.76</c:v>
                </c:pt>
                <c:pt idx="762">
                  <c:v>315.02</c:v>
                </c:pt>
                <c:pt idx="763">
                  <c:v>301.48</c:v>
                </c:pt>
                <c:pt idx="764">
                  <c:v>305.02999999999997</c:v>
                </c:pt>
                <c:pt idx="765">
                  <c:v>310.98</c:v>
                </c:pt>
                <c:pt idx="766">
                  <c:v>327.58999999999997</c:v>
                </c:pt>
                <c:pt idx="767">
                  <c:v>320.70999999999998</c:v>
                </c:pt>
                <c:pt idx="768">
                  <c:v>325.99</c:v>
                </c:pt>
                <c:pt idx="769">
                  <c:v>328.71</c:v>
                </c:pt>
                <c:pt idx="770">
                  <c:v>329.83</c:v>
                </c:pt>
                <c:pt idx="771">
                  <c:v>330.34</c:v>
                </c:pt>
                <c:pt idx="772">
                  <c:v>335.3</c:v>
                </c:pt>
                <c:pt idx="773">
                  <c:v>318.81</c:v>
                </c:pt>
                <c:pt idx="774">
                  <c:v>318.67</c:v>
                </c:pt>
                <c:pt idx="775">
                  <c:v>319.26</c:v>
                </c:pt>
                <c:pt idx="776">
                  <c:v>316.14999999999998</c:v>
                </c:pt>
                <c:pt idx="777">
                  <c:v>331.18</c:v>
                </c:pt>
                <c:pt idx="778">
                  <c:v>335.09</c:v>
                </c:pt>
                <c:pt idx="779">
                  <c:v>335.83</c:v>
                </c:pt>
                <c:pt idx="780">
                  <c:v>344.37</c:v>
                </c:pt>
                <c:pt idx="781">
                  <c:v>344.93</c:v>
                </c:pt>
                <c:pt idx="782">
                  <c:v>349.8</c:v>
                </c:pt>
                <c:pt idx="783">
                  <c:v>358.46</c:v>
                </c:pt>
                <c:pt idx="784">
                  <c:v>354.49</c:v>
                </c:pt>
                <c:pt idx="785">
                  <c:v>364.45</c:v>
                </c:pt>
                <c:pt idx="786">
                  <c:v>357.82</c:v>
                </c:pt>
                <c:pt idx="787">
                  <c:v>343.76</c:v>
                </c:pt>
                <c:pt idx="788">
                  <c:v>344.66</c:v>
                </c:pt>
                <c:pt idx="789">
                  <c:v>339.6</c:v>
                </c:pt>
                <c:pt idx="790">
                  <c:v>332.97</c:v>
                </c:pt>
                <c:pt idx="791">
                  <c:v>339.43</c:v>
                </c:pt>
                <c:pt idx="792">
                  <c:v>352.01</c:v>
                </c:pt>
                <c:pt idx="793">
                  <c:v>342.87</c:v>
                </c:pt>
                <c:pt idx="794">
                  <c:v>351.4</c:v>
                </c:pt>
                <c:pt idx="795">
                  <c:v>344.92</c:v>
                </c:pt>
                <c:pt idx="796">
                  <c:v>334.56</c:v>
                </c:pt>
                <c:pt idx="797">
                  <c:v>328.12</c:v>
                </c:pt>
                <c:pt idx="798">
                  <c:v>312.64</c:v>
                </c:pt>
                <c:pt idx="799">
                  <c:v>311.86</c:v>
                </c:pt>
                <c:pt idx="800">
                  <c:v>273.89</c:v>
                </c:pt>
                <c:pt idx="801">
                  <c:v>276.07</c:v>
                </c:pt>
                <c:pt idx="802">
                  <c:v>274.91000000000003</c:v>
                </c:pt>
                <c:pt idx="803">
                  <c:v>271.81</c:v>
                </c:pt>
                <c:pt idx="804">
                  <c:v>267.11</c:v>
                </c:pt>
                <c:pt idx="805">
                  <c:v>266.49</c:v>
                </c:pt>
                <c:pt idx="806">
                  <c:v>260.87</c:v>
                </c:pt>
                <c:pt idx="807">
                  <c:v>263.63</c:v>
                </c:pt>
                <c:pt idx="808">
                  <c:v>261.56</c:v>
                </c:pt>
                <c:pt idx="809">
                  <c:v>253.25</c:v>
                </c:pt>
                <c:pt idx="810">
                  <c:v>247.37</c:v>
                </c:pt>
                <c:pt idx="811">
                  <c:v>251.28</c:v>
                </c:pt>
                <c:pt idx="812">
                  <c:v>253.84</c:v>
                </c:pt>
                <c:pt idx="813">
                  <c:v>254.39</c:v>
                </c:pt>
                <c:pt idx="814">
                  <c:v>252.33</c:v>
                </c:pt>
                <c:pt idx="815">
                  <c:v>248.82</c:v>
                </c:pt>
                <c:pt idx="816">
                  <c:v>243.48</c:v>
                </c:pt>
                <c:pt idx="817">
                  <c:v>234.38</c:v>
                </c:pt>
                <c:pt idx="818">
                  <c:v>242.67</c:v>
                </c:pt>
                <c:pt idx="819">
                  <c:v>238.03</c:v>
                </c:pt>
                <c:pt idx="820">
                  <c:v>238.44</c:v>
                </c:pt>
                <c:pt idx="821">
                  <c:v>240.58</c:v>
                </c:pt>
                <c:pt idx="822">
                  <c:v>248</c:v>
                </c:pt>
                <c:pt idx="823">
                  <c:v>243.27</c:v>
                </c:pt>
                <c:pt idx="824">
                  <c:v>243.32</c:v>
                </c:pt>
                <c:pt idx="825">
                  <c:v>243.33</c:v>
                </c:pt>
                <c:pt idx="826">
                  <c:v>245.65</c:v>
                </c:pt>
                <c:pt idx="827">
                  <c:v>242.96</c:v>
                </c:pt>
                <c:pt idx="828">
                  <c:v>244.81</c:v>
                </c:pt>
                <c:pt idx="829">
                  <c:v>247.14</c:v>
                </c:pt>
                <c:pt idx="830">
                  <c:v>245.13</c:v>
                </c:pt>
                <c:pt idx="831">
                  <c:v>240.67</c:v>
                </c:pt>
                <c:pt idx="832">
                  <c:v>244.42</c:v>
                </c:pt>
                <c:pt idx="833">
                  <c:v>241.46</c:v>
                </c:pt>
                <c:pt idx="834">
                  <c:v>238.88</c:v>
                </c:pt>
                <c:pt idx="835">
                  <c:v>241.34</c:v>
                </c:pt>
                <c:pt idx="836">
                  <c:v>246.59</c:v>
                </c:pt>
                <c:pt idx="837">
                  <c:v>249.17</c:v>
                </c:pt>
                <c:pt idx="838">
                  <c:v>246.39</c:v>
                </c:pt>
                <c:pt idx="839">
                  <c:v>244.32</c:v>
                </c:pt>
                <c:pt idx="840">
                  <c:v>240.13</c:v>
                </c:pt>
                <c:pt idx="841">
                  <c:v>245.06</c:v>
                </c:pt>
                <c:pt idx="842">
                  <c:v>240.4</c:v>
                </c:pt>
                <c:pt idx="843">
                  <c:v>235.89</c:v>
                </c:pt>
                <c:pt idx="844">
                  <c:v>240.89</c:v>
                </c:pt>
                <c:pt idx="845">
                  <c:v>254.14</c:v>
                </c:pt>
                <c:pt idx="846">
                  <c:v>254.03</c:v>
                </c:pt>
                <c:pt idx="847">
                  <c:v>249.35</c:v>
                </c:pt>
                <c:pt idx="848">
                  <c:v>242.34</c:v>
                </c:pt>
                <c:pt idx="849">
                  <c:v>246.18</c:v>
                </c:pt>
                <c:pt idx="850">
                  <c:v>244.81</c:v>
                </c:pt>
                <c:pt idx="851">
                  <c:v>246.88</c:v>
                </c:pt>
                <c:pt idx="852">
                  <c:v>245.04</c:v>
                </c:pt>
                <c:pt idx="853">
                  <c:v>248.59</c:v>
                </c:pt>
                <c:pt idx="854">
                  <c:v>249.31</c:v>
                </c:pt>
                <c:pt idx="855">
                  <c:v>244.5</c:v>
                </c:pt>
                <c:pt idx="856">
                  <c:v>241.26</c:v>
                </c:pt>
                <c:pt idx="857">
                  <c:v>241.51</c:v>
                </c:pt>
                <c:pt idx="858">
                  <c:v>237.78</c:v>
                </c:pt>
                <c:pt idx="859">
                  <c:v>238.09</c:v>
                </c:pt>
                <c:pt idx="860">
                  <c:v>235.51</c:v>
                </c:pt>
                <c:pt idx="861">
                  <c:v>224.2</c:v>
                </c:pt>
                <c:pt idx="862">
                  <c:v>226</c:v>
                </c:pt>
                <c:pt idx="863">
                  <c:v>221.68</c:v>
                </c:pt>
                <c:pt idx="864">
                  <c:v>204.7</c:v>
                </c:pt>
                <c:pt idx="865">
                  <c:v>205.1</c:v>
                </c:pt>
                <c:pt idx="866">
                  <c:v>205.37</c:v>
                </c:pt>
                <c:pt idx="867">
                  <c:v>206.99</c:v>
                </c:pt>
                <c:pt idx="868">
                  <c:v>200.86</c:v>
                </c:pt>
                <c:pt idx="869">
                  <c:v>203.31</c:v>
                </c:pt>
                <c:pt idx="870">
                  <c:v>200.89</c:v>
                </c:pt>
                <c:pt idx="871">
                  <c:v>193.22</c:v>
                </c:pt>
                <c:pt idx="872">
                  <c:v>196.28</c:v>
                </c:pt>
                <c:pt idx="873">
                  <c:v>202.69</c:v>
                </c:pt>
                <c:pt idx="874">
                  <c:v>205.37</c:v>
                </c:pt>
                <c:pt idx="875">
                  <c:v>206.08</c:v>
                </c:pt>
                <c:pt idx="876">
                  <c:v>207.25</c:v>
                </c:pt>
                <c:pt idx="877">
                  <c:v>206.43</c:v>
                </c:pt>
                <c:pt idx="878">
                  <c:v>202.54</c:v>
                </c:pt>
                <c:pt idx="879">
                  <c:v>207.63</c:v>
                </c:pt>
                <c:pt idx="880">
                  <c:v>209.52</c:v>
                </c:pt>
                <c:pt idx="881">
                  <c:v>210.91</c:v>
                </c:pt>
                <c:pt idx="882">
                  <c:v>213.02</c:v>
                </c:pt>
                <c:pt idx="883">
                  <c:v>209.49</c:v>
                </c:pt>
                <c:pt idx="884">
                  <c:v>210.06</c:v>
                </c:pt>
                <c:pt idx="885">
                  <c:v>212.04</c:v>
                </c:pt>
                <c:pt idx="886">
                  <c:v>211.88</c:v>
                </c:pt>
                <c:pt idx="887">
                  <c:v>208.79</c:v>
                </c:pt>
                <c:pt idx="888">
                  <c:v>209.52</c:v>
                </c:pt>
                <c:pt idx="889">
                  <c:v>209.2</c:v>
                </c:pt>
                <c:pt idx="890">
                  <c:v>206.93</c:v>
                </c:pt>
                <c:pt idx="891">
                  <c:v>202.5</c:v>
                </c:pt>
                <c:pt idx="892">
                  <c:v>201.89</c:v>
                </c:pt>
                <c:pt idx="893">
                  <c:v>210.26</c:v>
                </c:pt>
                <c:pt idx="894">
                  <c:v>210.49</c:v>
                </c:pt>
                <c:pt idx="895">
                  <c:v>209.54</c:v>
                </c:pt>
                <c:pt idx="896">
                  <c:v>205.66</c:v>
                </c:pt>
                <c:pt idx="897">
                  <c:v>200.37</c:v>
                </c:pt>
                <c:pt idx="898">
                  <c:v>203.33</c:v>
                </c:pt>
                <c:pt idx="899">
                  <c:v>210.83</c:v>
                </c:pt>
                <c:pt idx="900">
                  <c:v>208.26</c:v>
                </c:pt>
                <c:pt idx="901">
                  <c:v>210.2</c:v>
                </c:pt>
                <c:pt idx="902">
                  <c:v>217.21</c:v>
                </c:pt>
                <c:pt idx="903">
                  <c:v>223.74</c:v>
                </c:pt>
                <c:pt idx="904">
                  <c:v>233.98</c:v>
                </c:pt>
                <c:pt idx="905">
                  <c:v>230.16</c:v>
                </c:pt>
                <c:pt idx="906">
                  <c:v>229.35</c:v>
                </c:pt>
                <c:pt idx="907">
                  <c:v>226.42</c:v>
                </c:pt>
                <c:pt idx="908">
                  <c:v>223.25</c:v>
                </c:pt>
                <c:pt idx="909">
                  <c:v>227.41</c:v>
                </c:pt>
                <c:pt idx="910">
                  <c:v>228.17</c:v>
                </c:pt>
                <c:pt idx="911">
                  <c:v>227.42</c:v>
                </c:pt>
                <c:pt idx="912">
                  <c:v>227.44</c:v>
                </c:pt>
                <c:pt idx="913">
                  <c:v>234.25</c:v>
                </c:pt>
                <c:pt idx="914">
                  <c:v>240.59</c:v>
                </c:pt>
                <c:pt idx="915">
                  <c:v>244.01</c:v>
                </c:pt>
                <c:pt idx="916">
                  <c:v>235.7</c:v>
                </c:pt>
                <c:pt idx="917">
                  <c:v>228.27</c:v>
                </c:pt>
                <c:pt idx="918">
                  <c:v>242.9</c:v>
                </c:pt>
                <c:pt idx="919">
                  <c:v>238.81</c:v>
                </c:pt>
                <c:pt idx="920">
                  <c:v>244.9</c:v>
                </c:pt>
                <c:pt idx="921">
                  <c:v>236.64</c:v>
                </c:pt>
                <c:pt idx="922">
                  <c:v>238.11</c:v>
                </c:pt>
                <c:pt idx="923">
                  <c:v>235.89</c:v>
                </c:pt>
                <c:pt idx="924">
                  <c:v>235.38</c:v>
                </c:pt>
                <c:pt idx="925">
                  <c:v>234.5</c:v>
                </c:pt>
                <c:pt idx="926">
                  <c:v>239.6</c:v>
                </c:pt>
                <c:pt idx="927">
                  <c:v>233.9</c:v>
                </c:pt>
                <c:pt idx="928">
                  <c:v>241</c:v>
                </c:pt>
                <c:pt idx="929">
                  <c:v>237.81</c:v>
                </c:pt>
                <c:pt idx="930">
                  <c:v>241.89</c:v>
                </c:pt>
                <c:pt idx="931">
                  <c:v>239.31</c:v>
                </c:pt>
                <c:pt idx="932">
                  <c:v>238.88</c:v>
                </c:pt>
                <c:pt idx="933">
                  <c:v>236.24</c:v>
                </c:pt>
                <c:pt idx="934">
                  <c:v>240.07</c:v>
                </c:pt>
                <c:pt idx="935">
                  <c:v>242.77</c:v>
                </c:pt>
                <c:pt idx="936">
                  <c:v>241.52</c:v>
                </c:pt>
                <c:pt idx="937">
                  <c:v>238.39</c:v>
                </c:pt>
                <c:pt idx="938">
                  <c:v>239.22</c:v>
                </c:pt>
                <c:pt idx="939">
                  <c:v>238.32</c:v>
                </c:pt>
                <c:pt idx="940">
                  <c:v>235.68</c:v>
                </c:pt>
                <c:pt idx="941">
                  <c:v>234.54</c:v>
                </c:pt>
                <c:pt idx="942">
                  <c:v>229.5</c:v>
                </c:pt>
                <c:pt idx="943">
                  <c:v>228.67</c:v>
                </c:pt>
                <c:pt idx="944">
                  <c:v>239.63</c:v>
                </c:pt>
                <c:pt idx="945">
                  <c:v>234.01</c:v>
                </c:pt>
                <c:pt idx="946">
                  <c:v>230.58</c:v>
                </c:pt>
                <c:pt idx="947">
                  <c:v>232.16</c:v>
                </c:pt>
                <c:pt idx="948">
                  <c:v>224.28</c:v>
                </c:pt>
                <c:pt idx="949">
                  <c:v>227.09</c:v>
                </c:pt>
                <c:pt idx="950">
                  <c:v>216.08</c:v>
                </c:pt>
                <c:pt idx="951">
                  <c:v>210.45</c:v>
                </c:pt>
                <c:pt idx="952">
                  <c:v>210.4</c:v>
                </c:pt>
                <c:pt idx="953">
                  <c:v>215.92</c:v>
                </c:pt>
                <c:pt idx="954">
                  <c:v>218.92</c:v>
                </c:pt>
                <c:pt idx="955">
                  <c:v>223.35</c:v>
                </c:pt>
                <c:pt idx="956">
                  <c:v>226.54</c:v>
                </c:pt>
                <c:pt idx="957">
                  <c:v>225.76</c:v>
                </c:pt>
                <c:pt idx="958">
                  <c:v>228.3</c:v>
                </c:pt>
                <c:pt idx="959">
                  <c:v>218.75</c:v>
                </c:pt>
                <c:pt idx="960">
                  <c:v>217.57</c:v>
                </c:pt>
                <c:pt idx="961">
                  <c:v>219.88</c:v>
                </c:pt>
                <c:pt idx="962">
                  <c:v>218.61</c:v>
                </c:pt>
                <c:pt idx="963">
                  <c:v>210.04</c:v>
                </c:pt>
                <c:pt idx="964">
                  <c:v>205.24</c:v>
                </c:pt>
                <c:pt idx="965">
                  <c:v>208.96</c:v>
                </c:pt>
                <c:pt idx="966">
                  <c:v>223.35</c:v>
                </c:pt>
                <c:pt idx="967">
                  <c:v>214.44</c:v>
                </c:pt>
                <c:pt idx="968">
                  <c:v>209.91</c:v>
                </c:pt>
                <c:pt idx="969">
                  <c:v>200.53</c:v>
                </c:pt>
                <c:pt idx="970">
                  <c:v>203.1</c:v>
                </c:pt>
                <c:pt idx="971">
                  <c:v>208.46</c:v>
                </c:pt>
                <c:pt idx="972">
                  <c:v>204.84</c:v>
                </c:pt>
                <c:pt idx="973">
                  <c:v>210.19</c:v>
                </c:pt>
                <c:pt idx="974">
                  <c:v>212.51</c:v>
                </c:pt>
                <c:pt idx="975">
                  <c:v>206.27</c:v>
                </c:pt>
                <c:pt idx="976">
                  <c:v>207.28</c:v>
                </c:pt>
                <c:pt idx="977">
                  <c:v>212.35</c:v>
                </c:pt>
                <c:pt idx="978">
                  <c:v>205.95</c:v>
                </c:pt>
                <c:pt idx="979">
                  <c:v>200.81</c:v>
                </c:pt>
                <c:pt idx="980">
                  <c:v>202.15</c:v>
                </c:pt>
                <c:pt idx="981">
                  <c:v>203.09</c:v>
                </c:pt>
                <c:pt idx="982">
                  <c:v>198.02</c:v>
                </c:pt>
                <c:pt idx="983">
                  <c:v>187.65</c:v>
                </c:pt>
                <c:pt idx="984">
                  <c:v>187.42</c:v>
                </c:pt>
                <c:pt idx="985">
                  <c:v>179.47</c:v>
                </c:pt>
                <c:pt idx="986">
                  <c:v>187.98</c:v>
                </c:pt>
                <c:pt idx="987">
                  <c:v>183.35</c:v>
                </c:pt>
                <c:pt idx="988">
                  <c:v>176.75</c:v>
                </c:pt>
                <c:pt idx="989">
                  <c:v>180.58</c:v>
                </c:pt>
                <c:pt idx="990">
                  <c:v>174.26</c:v>
                </c:pt>
                <c:pt idx="991">
                  <c:v>182.84</c:v>
                </c:pt>
                <c:pt idx="992">
                  <c:v>193.56</c:v>
                </c:pt>
                <c:pt idx="993">
                  <c:v>194.88</c:v>
                </c:pt>
                <c:pt idx="994">
                  <c:v>197.6</c:v>
                </c:pt>
                <c:pt idx="995">
                  <c:v>200.18</c:v>
                </c:pt>
                <c:pt idx="996">
                  <c:v>196.64</c:v>
                </c:pt>
                <c:pt idx="997">
                  <c:v>194.3</c:v>
                </c:pt>
                <c:pt idx="998">
                  <c:v>192.77</c:v>
                </c:pt>
                <c:pt idx="999">
                  <c:v>187.16</c:v>
                </c:pt>
                <c:pt idx="1000">
                  <c:v>193.55</c:v>
                </c:pt>
                <c:pt idx="1001">
                  <c:v>191.37</c:v>
                </c:pt>
                <c:pt idx="1002">
                  <c:v>193.14</c:v>
                </c:pt>
                <c:pt idx="1003">
                  <c:v>193.89</c:v>
                </c:pt>
                <c:pt idx="1004">
                  <c:v>187.01</c:v>
                </c:pt>
                <c:pt idx="1005">
                  <c:v>180.86</c:v>
                </c:pt>
                <c:pt idx="1006">
                  <c:v>179.93</c:v>
                </c:pt>
                <c:pt idx="1007">
                  <c:v>180.8</c:v>
                </c:pt>
              </c:numCache>
            </c:numRef>
          </c:val>
          <c:smooth val="0"/>
          <c:extLst>
            <c:ext xmlns:c16="http://schemas.microsoft.com/office/drawing/2014/chart" uri="{C3380CC4-5D6E-409C-BE32-E72D297353CC}">
              <c16:uniqueId val="{00000001-2B76-4790-A3D2-D21F498FE9F0}"/>
            </c:ext>
          </c:extLst>
        </c:ser>
        <c:dLbls>
          <c:showLegendKey val="0"/>
          <c:showVal val="0"/>
          <c:showCatName val="0"/>
          <c:showSerName val="0"/>
          <c:showPercent val="0"/>
          <c:showBubbleSize val="0"/>
        </c:dLbls>
        <c:smooth val="0"/>
        <c:axId val="2061622208"/>
        <c:axId val="229925504"/>
      </c:lineChart>
      <c:dateAx>
        <c:axId val="2061622208"/>
        <c:scaling>
          <c:orientation val="minMax"/>
        </c:scaling>
        <c:delete val="0"/>
        <c:axPos val="b"/>
        <c:numFmt formatCode="[$-409]mmm\-dd\-yy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25504"/>
        <c:crosses val="autoZero"/>
        <c:auto val="1"/>
        <c:lblOffset val="100"/>
        <c:baseTimeUnit val="days"/>
      </c:dateAx>
      <c:valAx>
        <c:axId val="2299255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622208"/>
        <c:crosses val="autoZero"/>
        <c:crossBetween val="between"/>
      </c:valAx>
      <c:spPr>
        <a:noFill/>
        <a:ln>
          <a:noFill/>
        </a:ln>
        <a:effectLst/>
      </c:spPr>
    </c:plotArea>
    <c:legend>
      <c:legendPos val="r"/>
      <c:layout>
        <c:manualLayout>
          <c:xMode val="edge"/>
          <c:yMode val="edge"/>
          <c:x val="0.77916686867961338"/>
          <c:y val="5.3919723449202999E-3"/>
          <c:w val="0.20194638726031539"/>
          <c:h val="7.4514345214380606E-2"/>
        </c:manualLayout>
      </c:layout>
      <c:overlay val="0"/>
      <c:spPr>
        <a:noFill/>
        <a:ln>
          <a:solidFill>
            <a:schemeClr val="tx1"/>
          </a:solid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rot="0" vert="horz"/>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Risk</a:t>
            </a:r>
            <a:r>
              <a:rPr lang="en-US" baseline="0"/>
              <a:t> Free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628748117348651E-2"/>
          <c:y val="0.12271292200208567"/>
          <c:w val="0.92935122046039254"/>
          <c:h val="0.6812297890598521"/>
        </c:manualLayout>
      </c:layout>
      <c:lineChart>
        <c:grouping val="standard"/>
        <c:varyColors val="0"/>
        <c:ser>
          <c:idx val="0"/>
          <c:order val="0"/>
          <c:tx>
            <c:strRef>
              <c:f>Data!$S$37</c:f>
              <c:strCache>
                <c:ptCount val="1"/>
                <c:pt idx="0">
                  <c:v>Risk Free Rate (Treasury Constant Maturity - 5 Year)</c:v>
                </c:pt>
              </c:strCache>
            </c:strRef>
          </c:tx>
          <c:spPr>
            <a:ln w="12700" cap="rnd">
              <a:solidFill>
                <a:schemeClr val="accent4"/>
              </a:solidFill>
              <a:round/>
            </a:ln>
            <a:effectLst/>
          </c:spPr>
          <c:marker>
            <c:symbol val="none"/>
          </c:marker>
          <c:cat>
            <c:numRef>
              <c:f>Data!$Q$1287:$Q$2287</c:f>
              <c:numCache>
                <c:formatCode>[$-409]mmm\-dd\-yyyy;@</c:formatCode>
                <c:ptCount val="1001"/>
                <c:pt idx="0">
                  <c:v>44196</c:v>
                </c:pt>
                <c:pt idx="1">
                  <c:v>44200</c:v>
                </c:pt>
                <c:pt idx="2">
                  <c:v>44201</c:v>
                </c:pt>
                <c:pt idx="3">
                  <c:v>44202</c:v>
                </c:pt>
                <c:pt idx="4">
                  <c:v>44203</c:v>
                </c:pt>
                <c:pt idx="5">
                  <c:v>44204</c:v>
                </c:pt>
                <c:pt idx="6">
                  <c:v>44207</c:v>
                </c:pt>
                <c:pt idx="7">
                  <c:v>44208</c:v>
                </c:pt>
                <c:pt idx="8">
                  <c:v>44209</c:v>
                </c:pt>
                <c:pt idx="9">
                  <c:v>44210</c:v>
                </c:pt>
                <c:pt idx="10">
                  <c:v>44211</c:v>
                </c:pt>
                <c:pt idx="11">
                  <c:v>44215</c:v>
                </c:pt>
                <c:pt idx="12">
                  <c:v>44216</c:v>
                </c:pt>
                <c:pt idx="13">
                  <c:v>44217</c:v>
                </c:pt>
                <c:pt idx="14">
                  <c:v>44218</c:v>
                </c:pt>
                <c:pt idx="15">
                  <c:v>44221</c:v>
                </c:pt>
                <c:pt idx="16">
                  <c:v>44222</c:v>
                </c:pt>
                <c:pt idx="17">
                  <c:v>44223</c:v>
                </c:pt>
                <c:pt idx="18">
                  <c:v>44224</c:v>
                </c:pt>
                <c:pt idx="19">
                  <c:v>44225</c:v>
                </c:pt>
                <c:pt idx="20">
                  <c:v>44228</c:v>
                </c:pt>
                <c:pt idx="21">
                  <c:v>44229</c:v>
                </c:pt>
                <c:pt idx="22">
                  <c:v>44230</c:v>
                </c:pt>
                <c:pt idx="23">
                  <c:v>44231</c:v>
                </c:pt>
                <c:pt idx="24">
                  <c:v>44232</c:v>
                </c:pt>
                <c:pt idx="25">
                  <c:v>44235</c:v>
                </c:pt>
                <c:pt idx="26">
                  <c:v>44236</c:v>
                </c:pt>
                <c:pt idx="27">
                  <c:v>44237</c:v>
                </c:pt>
                <c:pt idx="28">
                  <c:v>44238</c:v>
                </c:pt>
                <c:pt idx="29">
                  <c:v>44239</c:v>
                </c:pt>
                <c:pt idx="30">
                  <c:v>44243</c:v>
                </c:pt>
                <c:pt idx="31">
                  <c:v>44244</c:v>
                </c:pt>
                <c:pt idx="32">
                  <c:v>44245</c:v>
                </c:pt>
                <c:pt idx="33">
                  <c:v>44246</c:v>
                </c:pt>
                <c:pt idx="34">
                  <c:v>44249</c:v>
                </c:pt>
                <c:pt idx="35">
                  <c:v>44250</c:v>
                </c:pt>
                <c:pt idx="36">
                  <c:v>44251</c:v>
                </c:pt>
                <c:pt idx="37">
                  <c:v>44252</c:v>
                </c:pt>
                <c:pt idx="38">
                  <c:v>44253</c:v>
                </c:pt>
                <c:pt idx="39">
                  <c:v>44256</c:v>
                </c:pt>
                <c:pt idx="40">
                  <c:v>44257</c:v>
                </c:pt>
                <c:pt idx="41">
                  <c:v>44258</c:v>
                </c:pt>
                <c:pt idx="42">
                  <c:v>44259</c:v>
                </c:pt>
                <c:pt idx="43">
                  <c:v>44260</c:v>
                </c:pt>
                <c:pt idx="44">
                  <c:v>44263</c:v>
                </c:pt>
                <c:pt idx="45">
                  <c:v>44264</c:v>
                </c:pt>
                <c:pt idx="46">
                  <c:v>44265</c:v>
                </c:pt>
                <c:pt idx="47">
                  <c:v>44266</c:v>
                </c:pt>
                <c:pt idx="48">
                  <c:v>44267</c:v>
                </c:pt>
                <c:pt idx="49">
                  <c:v>44270</c:v>
                </c:pt>
                <c:pt idx="50">
                  <c:v>44271</c:v>
                </c:pt>
                <c:pt idx="51">
                  <c:v>44272</c:v>
                </c:pt>
                <c:pt idx="52">
                  <c:v>44273</c:v>
                </c:pt>
                <c:pt idx="53">
                  <c:v>44274</c:v>
                </c:pt>
                <c:pt idx="54">
                  <c:v>44277</c:v>
                </c:pt>
                <c:pt idx="55">
                  <c:v>44278</c:v>
                </c:pt>
                <c:pt idx="56">
                  <c:v>44279</c:v>
                </c:pt>
                <c:pt idx="57">
                  <c:v>44280</c:v>
                </c:pt>
                <c:pt idx="58">
                  <c:v>44281</c:v>
                </c:pt>
                <c:pt idx="59">
                  <c:v>44284</c:v>
                </c:pt>
                <c:pt idx="60">
                  <c:v>44285</c:v>
                </c:pt>
                <c:pt idx="61">
                  <c:v>44286</c:v>
                </c:pt>
                <c:pt idx="62">
                  <c:v>44287</c:v>
                </c:pt>
                <c:pt idx="63">
                  <c:v>44288</c:v>
                </c:pt>
                <c:pt idx="64">
                  <c:v>44291</c:v>
                </c:pt>
                <c:pt idx="65">
                  <c:v>44292</c:v>
                </c:pt>
                <c:pt idx="66">
                  <c:v>44293</c:v>
                </c:pt>
                <c:pt idx="67">
                  <c:v>44294</c:v>
                </c:pt>
                <c:pt idx="68">
                  <c:v>44295</c:v>
                </c:pt>
                <c:pt idx="69">
                  <c:v>44298</c:v>
                </c:pt>
                <c:pt idx="70">
                  <c:v>44299</c:v>
                </c:pt>
                <c:pt idx="71">
                  <c:v>44300</c:v>
                </c:pt>
                <c:pt idx="72">
                  <c:v>44301</c:v>
                </c:pt>
                <c:pt idx="73">
                  <c:v>44302</c:v>
                </c:pt>
                <c:pt idx="74">
                  <c:v>44305</c:v>
                </c:pt>
                <c:pt idx="75">
                  <c:v>44306</c:v>
                </c:pt>
                <c:pt idx="76">
                  <c:v>44307</c:v>
                </c:pt>
                <c:pt idx="77">
                  <c:v>44308</c:v>
                </c:pt>
                <c:pt idx="78">
                  <c:v>44309</c:v>
                </c:pt>
                <c:pt idx="79">
                  <c:v>44312</c:v>
                </c:pt>
                <c:pt idx="80">
                  <c:v>44313</c:v>
                </c:pt>
                <c:pt idx="81">
                  <c:v>44314</c:v>
                </c:pt>
                <c:pt idx="82">
                  <c:v>44315</c:v>
                </c:pt>
                <c:pt idx="83">
                  <c:v>44316</c:v>
                </c:pt>
                <c:pt idx="84">
                  <c:v>44319</c:v>
                </c:pt>
                <c:pt idx="85">
                  <c:v>44320</c:v>
                </c:pt>
                <c:pt idx="86">
                  <c:v>44321</c:v>
                </c:pt>
                <c:pt idx="87">
                  <c:v>44322</c:v>
                </c:pt>
                <c:pt idx="88">
                  <c:v>44323</c:v>
                </c:pt>
                <c:pt idx="89">
                  <c:v>44326</c:v>
                </c:pt>
                <c:pt idx="90">
                  <c:v>44327</c:v>
                </c:pt>
                <c:pt idx="91">
                  <c:v>44328</c:v>
                </c:pt>
                <c:pt idx="92">
                  <c:v>44329</c:v>
                </c:pt>
                <c:pt idx="93">
                  <c:v>44330</c:v>
                </c:pt>
                <c:pt idx="94">
                  <c:v>44333</c:v>
                </c:pt>
                <c:pt idx="95">
                  <c:v>44334</c:v>
                </c:pt>
                <c:pt idx="96">
                  <c:v>44335</c:v>
                </c:pt>
                <c:pt idx="97">
                  <c:v>44336</c:v>
                </c:pt>
                <c:pt idx="98">
                  <c:v>44337</c:v>
                </c:pt>
                <c:pt idx="99">
                  <c:v>44340</c:v>
                </c:pt>
                <c:pt idx="100">
                  <c:v>44341</c:v>
                </c:pt>
                <c:pt idx="101">
                  <c:v>44342</c:v>
                </c:pt>
                <c:pt idx="102">
                  <c:v>44343</c:v>
                </c:pt>
                <c:pt idx="103">
                  <c:v>44344</c:v>
                </c:pt>
                <c:pt idx="104">
                  <c:v>44348</c:v>
                </c:pt>
                <c:pt idx="105">
                  <c:v>44349</c:v>
                </c:pt>
                <c:pt idx="106">
                  <c:v>44350</c:v>
                </c:pt>
                <c:pt idx="107">
                  <c:v>44351</c:v>
                </c:pt>
                <c:pt idx="108">
                  <c:v>44354</c:v>
                </c:pt>
                <c:pt idx="109">
                  <c:v>44355</c:v>
                </c:pt>
                <c:pt idx="110">
                  <c:v>44356</c:v>
                </c:pt>
                <c:pt idx="111">
                  <c:v>44357</c:v>
                </c:pt>
                <c:pt idx="112">
                  <c:v>44358</c:v>
                </c:pt>
                <c:pt idx="113">
                  <c:v>44361</c:v>
                </c:pt>
                <c:pt idx="114">
                  <c:v>44362</c:v>
                </c:pt>
                <c:pt idx="115">
                  <c:v>44363</c:v>
                </c:pt>
                <c:pt idx="116">
                  <c:v>44364</c:v>
                </c:pt>
                <c:pt idx="117">
                  <c:v>44365</c:v>
                </c:pt>
                <c:pt idx="118">
                  <c:v>44368</c:v>
                </c:pt>
                <c:pt idx="119">
                  <c:v>44369</c:v>
                </c:pt>
                <c:pt idx="120">
                  <c:v>44370</c:v>
                </c:pt>
                <c:pt idx="121">
                  <c:v>44371</c:v>
                </c:pt>
                <c:pt idx="122">
                  <c:v>44372</c:v>
                </c:pt>
                <c:pt idx="123">
                  <c:v>44375</c:v>
                </c:pt>
                <c:pt idx="124">
                  <c:v>44376</c:v>
                </c:pt>
                <c:pt idx="125">
                  <c:v>44377</c:v>
                </c:pt>
                <c:pt idx="126">
                  <c:v>44378</c:v>
                </c:pt>
                <c:pt idx="127">
                  <c:v>44379</c:v>
                </c:pt>
                <c:pt idx="128">
                  <c:v>44383</c:v>
                </c:pt>
                <c:pt idx="129">
                  <c:v>44384</c:v>
                </c:pt>
                <c:pt idx="130">
                  <c:v>44385</c:v>
                </c:pt>
                <c:pt idx="131">
                  <c:v>44386</c:v>
                </c:pt>
                <c:pt idx="132">
                  <c:v>44389</c:v>
                </c:pt>
                <c:pt idx="133">
                  <c:v>44390</c:v>
                </c:pt>
                <c:pt idx="134">
                  <c:v>44391</c:v>
                </c:pt>
                <c:pt idx="135">
                  <c:v>44392</c:v>
                </c:pt>
                <c:pt idx="136">
                  <c:v>44393</c:v>
                </c:pt>
                <c:pt idx="137">
                  <c:v>44396</c:v>
                </c:pt>
                <c:pt idx="138">
                  <c:v>44397</c:v>
                </c:pt>
                <c:pt idx="139">
                  <c:v>44398</c:v>
                </c:pt>
                <c:pt idx="140">
                  <c:v>44399</c:v>
                </c:pt>
                <c:pt idx="141">
                  <c:v>44400</c:v>
                </c:pt>
                <c:pt idx="142">
                  <c:v>44403</c:v>
                </c:pt>
                <c:pt idx="143">
                  <c:v>44404</c:v>
                </c:pt>
                <c:pt idx="144">
                  <c:v>44405</c:v>
                </c:pt>
                <c:pt idx="145">
                  <c:v>44406</c:v>
                </c:pt>
                <c:pt idx="146">
                  <c:v>44407</c:v>
                </c:pt>
                <c:pt idx="147">
                  <c:v>44410</c:v>
                </c:pt>
                <c:pt idx="148">
                  <c:v>44411</c:v>
                </c:pt>
                <c:pt idx="149">
                  <c:v>44412</c:v>
                </c:pt>
                <c:pt idx="150">
                  <c:v>44413</c:v>
                </c:pt>
                <c:pt idx="151">
                  <c:v>44414</c:v>
                </c:pt>
                <c:pt idx="152">
                  <c:v>44417</c:v>
                </c:pt>
                <c:pt idx="153">
                  <c:v>44418</c:v>
                </c:pt>
                <c:pt idx="154">
                  <c:v>44419</c:v>
                </c:pt>
                <c:pt idx="155">
                  <c:v>44420</c:v>
                </c:pt>
                <c:pt idx="156">
                  <c:v>44421</c:v>
                </c:pt>
                <c:pt idx="157">
                  <c:v>44424</c:v>
                </c:pt>
                <c:pt idx="158">
                  <c:v>44425</c:v>
                </c:pt>
                <c:pt idx="159">
                  <c:v>44426</c:v>
                </c:pt>
                <c:pt idx="160">
                  <c:v>44427</c:v>
                </c:pt>
                <c:pt idx="161">
                  <c:v>44428</c:v>
                </c:pt>
                <c:pt idx="162">
                  <c:v>44431</c:v>
                </c:pt>
                <c:pt idx="163">
                  <c:v>44432</c:v>
                </c:pt>
                <c:pt idx="164">
                  <c:v>44433</c:v>
                </c:pt>
                <c:pt idx="165">
                  <c:v>44434</c:v>
                </c:pt>
                <c:pt idx="166">
                  <c:v>44435</c:v>
                </c:pt>
                <c:pt idx="167">
                  <c:v>44438</c:v>
                </c:pt>
                <c:pt idx="168">
                  <c:v>44439</c:v>
                </c:pt>
                <c:pt idx="169">
                  <c:v>44440</c:v>
                </c:pt>
                <c:pt idx="170">
                  <c:v>44441</c:v>
                </c:pt>
                <c:pt idx="171">
                  <c:v>44442</c:v>
                </c:pt>
                <c:pt idx="172">
                  <c:v>44446</c:v>
                </c:pt>
                <c:pt idx="173">
                  <c:v>44447</c:v>
                </c:pt>
                <c:pt idx="174">
                  <c:v>44448</c:v>
                </c:pt>
                <c:pt idx="175">
                  <c:v>44449</c:v>
                </c:pt>
                <c:pt idx="176">
                  <c:v>44452</c:v>
                </c:pt>
                <c:pt idx="177">
                  <c:v>44453</c:v>
                </c:pt>
                <c:pt idx="178">
                  <c:v>44454</c:v>
                </c:pt>
                <c:pt idx="179">
                  <c:v>44455</c:v>
                </c:pt>
                <c:pt idx="180">
                  <c:v>44456</c:v>
                </c:pt>
                <c:pt idx="181">
                  <c:v>44459</c:v>
                </c:pt>
                <c:pt idx="182">
                  <c:v>44460</c:v>
                </c:pt>
                <c:pt idx="183">
                  <c:v>44461</c:v>
                </c:pt>
                <c:pt idx="184">
                  <c:v>44462</c:v>
                </c:pt>
                <c:pt idx="185">
                  <c:v>44463</c:v>
                </c:pt>
                <c:pt idx="186">
                  <c:v>44466</c:v>
                </c:pt>
                <c:pt idx="187">
                  <c:v>44467</c:v>
                </c:pt>
                <c:pt idx="188">
                  <c:v>44468</c:v>
                </c:pt>
                <c:pt idx="189">
                  <c:v>44469</c:v>
                </c:pt>
                <c:pt idx="190">
                  <c:v>44470</c:v>
                </c:pt>
                <c:pt idx="191">
                  <c:v>44473</c:v>
                </c:pt>
                <c:pt idx="192">
                  <c:v>44474</c:v>
                </c:pt>
                <c:pt idx="193">
                  <c:v>44475</c:v>
                </c:pt>
                <c:pt idx="194">
                  <c:v>44476</c:v>
                </c:pt>
                <c:pt idx="195">
                  <c:v>44477</c:v>
                </c:pt>
                <c:pt idx="196">
                  <c:v>44481</c:v>
                </c:pt>
                <c:pt idx="197">
                  <c:v>44482</c:v>
                </c:pt>
                <c:pt idx="198">
                  <c:v>44483</c:v>
                </c:pt>
                <c:pt idx="199">
                  <c:v>44484</c:v>
                </c:pt>
                <c:pt idx="200">
                  <c:v>44487</c:v>
                </c:pt>
                <c:pt idx="201">
                  <c:v>44488</c:v>
                </c:pt>
                <c:pt idx="202">
                  <c:v>44489</c:v>
                </c:pt>
                <c:pt idx="203">
                  <c:v>44490</c:v>
                </c:pt>
                <c:pt idx="204">
                  <c:v>44491</c:v>
                </c:pt>
                <c:pt idx="205">
                  <c:v>44494</c:v>
                </c:pt>
                <c:pt idx="206">
                  <c:v>44495</c:v>
                </c:pt>
                <c:pt idx="207">
                  <c:v>44496</c:v>
                </c:pt>
                <c:pt idx="208">
                  <c:v>44497</c:v>
                </c:pt>
                <c:pt idx="209">
                  <c:v>44498</c:v>
                </c:pt>
                <c:pt idx="210">
                  <c:v>44501</c:v>
                </c:pt>
                <c:pt idx="211">
                  <c:v>44502</c:v>
                </c:pt>
                <c:pt idx="212">
                  <c:v>44503</c:v>
                </c:pt>
                <c:pt idx="213">
                  <c:v>44504</c:v>
                </c:pt>
                <c:pt idx="214">
                  <c:v>44505</c:v>
                </c:pt>
                <c:pt idx="215">
                  <c:v>44508</c:v>
                </c:pt>
                <c:pt idx="216">
                  <c:v>44509</c:v>
                </c:pt>
                <c:pt idx="217">
                  <c:v>44510</c:v>
                </c:pt>
                <c:pt idx="218">
                  <c:v>44512</c:v>
                </c:pt>
                <c:pt idx="219">
                  <c:v>44515</c:v>
                </c:pt>
                <c:pt idx="220">
                  <c:v>44516</c:v>
                </c:pt>
                <c:pt idx="221">
                  <c:v>44517</c:v>
                </c:pt>
                <c:pt idx="222">
                  <c:v>44518</c:v>
                </c:pt>
                <c:pt idx="223">
                  <c:v>44519</c:v>
                </c:pt>
                <c:pt idx="224">
                  <c:v>44522</c:v>
                </c:pt>
                <c:pt idx="225">
                  <c:v>44523</c:v>
                </c:pt>
                <c:pt idx="226">
                  <c:v>44524</c:v>
                </c:pt>
                <c:pt idx="227">
                  <c:v>44526</c:v>
                </c:pt>
                <c:pt idx="228">
                  <c:v>44529</c:v>
                </c:pt>
                <c:pt idx="229">
                  <c:v>44530</c:v>
                </c:pt>
                <c:pt idx="230">
                  <c:v>44531</c:v>
                </c:pt>
                <c:pt idx="231">
                  <c:v>44532</c:v>
                </c:pt>
                <c:pt idx="232">
                  <c:v>44533</c:v>
                </c:pt>
                <c:pt idx="233">
                  <c:v>44536</c:v>
                </c:pt>
                <c:pt idx="234">
                  <c:v>44537</c:v>
                </c:pt>
                <c:pt idx="235">
                  <c:v>44538</c:v>
                </c:pt>
                <c:pt idx="236">
                  <c:v>44539</c:v>
                </c:pt>
                <c:pt idx="237">
                  <c:v>44540</c:v>
                </c:pt>
                <c:pt idx="238">
                  <c:v>44543</c:v>
                </c:pt>
                <c:pt idx="239">
                  <c:v>44544</c:v>
                </c:pt>
                <c:pt idx="240">
                  <c:v>44545</c:v>
                </c:pt>
                <c:pt idx="241">
                  <c:v>44546</c:v>
                </c:pt>
                <c:pt idx="242">
                  <c:v>44547</c:v>
                </c:pt>
                <c:pt idx="243">
                  <c:v>44550</c:v>
                </c:pt>
                <c:pt idx="244">
                  <c:v>44551</c:v>
                </c:pt>
                <c:pt idx="245">
                  <c:v>44552</c:v>
                </c:pt>
                <c:pt idx="246">
                  <c:v>44553</c:v>
                </c:pt>
                <c:pt idx="247">
                  <c:v>44557</c:v>
                </c:pt>
                <c:pt idx="248">
                  <c:v>44558</c:v>
                </c:pt>
                <c:pt idx="249">
                  <c:v>44559</c:v>
                </c:pt>
                <c:pt idx="250">
                  <c:v>44560</c:v>
                </c:pt>
                <c:pt idx="251">
                  <c:v>44561</c:v>
                </c:pt>
                <c:pt idx="252">
                  <c:v>44564</c:v>
                </c:pt>
                <c:pt idx="253">
                  <c:v>44565</c:v>
                </c:pt>
                <c:pt idx="254">
                  <c:v>44566</c:v>
                </c:pt>
                <c:pt idx="255">
                  <c:v>44567</c:v>
                </c:pt>
                <c:pt idx="256">
                  <c:v>44568</c:v>
                </c:pt>
                <c:pt idx="257">
                  <c:v>44571</c:v>
                </c:pt>
                <c:pt idx="258">
                  <c:v>44572</c:v>
                </c:pt>
                <c:pt idx="259">
                  <c:v>44573</c:v>
                </c:pt>
                <c:pt idx="260">
                  <c:v>44574</c:v>
                </c:pt>
                <c:pt idx="261">
                  <c:v>44575</c:v>
                </c:pt>
                <c:pt idx="262">
                  <c:v>44579</c:v>
                </c:pt>
                <c:pt idx="263">
                  <c:v>44580</c:v>
                </c:pt>
                <c:pt idx="264">
                  <c:v>44581</c:v>
                </c:pt>
                <c:pt idx="265">
                  <c:v>44582</c:v>
                </c:pt>
                <c:pt idx="266">
                  <c:v>44585</c:v>
                </c:pt>
                <c:pt idx="267">
                  <c:v>44586</c:v>
                </c:pt>
                <c:pt idx="268">
                  <c:v>44587</c:v>
                </c:pt>
                <c:pt idx="269">
                  <c:v>44588</c:v>
                </c:pt>
                <c:pt idx="270">
                  <c:v>44589</c:v>
                </c:pt>
                <c:pt idx="271">
                  <c:v>44592</c:v>
                </c:pt>
                <c:pt idx="272">
                  <c:v>44593</c:v>
                </c:pt>
                <c:pt idx="273">
                  <c:v>44594</c:v>
                </c:pt>
                <c:pt idx="274">
                  <c:v>44595</c:v>
                </c:pt>
                <c:pt idx="275">
                  <c:v>44596</c:v>
                </c:pt>
                <c:pt idx="276">
                  <c:v>44599</c:v>
                </c:pt>
                <c:pt idx="277">
                  <c:v>44600</c:v>
                </c:pt>
                <c:pt idx="278">
                  <c:v>44601</c:v>
                </c:pt>
                <c:pt idx="279">
                  <c:v>44602</c:v>
                </c:pt>
                <c:pt idx="280">
                  <c:v>44603</c:v>
                </c:pt>
                <c:pt idx="281">
                  <c:v>44606</c:v>
                </c:pt>
                <c:pt idx="282">
                  <c:v>44607</c:v>
                </c:pt>
                <c:pt idx="283">
                  <c:v>44608</c:v>
                </c:pt>
                <c:pt idx="284">
                  <c:v>44609</c:v>
                </c:pt>
                <c:pt idx="285">
                  <c:v>44610</c:v>
                </c:pt>
                <c:pt idx="286">
                  <c:v>44614</c:v>
                </c:pt>
                <c:pt idx="287">
                  <c:v>44615</c:v>
                </c:pt>
                <c:pt idx="288">
                  <c:v>44616</c:v>
                </c:pt>
                <c:pt idx="289">
                  <c:v>44617</c:v>
                </c:pt>
                <c:pt idx="290">
                  <c:v>44620</c:v>
                </c:pt>
                <c:pt idx="291">
                  <c:v>44621</c:v>
                </c:pt>
                <c:pt idx="292">
                  <c:v>44622</c:v>
                </c:pt>
                <c:pt idx="293">
                  <c:v>44623</c:v>
                </c:pt>
                <c:pt idx="294">
                  <c:v>44624</c:v>
                </c:pt>
                <c:pt idx="295">
                  <c:v>44627</c:v>
                </c:pt>
                <c:pt idx="296">
                  <c:v>44628</c:v>
                </c:pt>
                <c:pt idx="297">
                  <c:v>44629</c:v>
                </c:pt>
                <c:pt idx="298">
                  <c:v>44630</c:v>
                </c:pt>
                <c:pt idx="299">
                  <c:v>44631</c:v>
                </c:pt>
                <c:pt idx="300">
                  <c:v>44634</c:v>
                </c:pt>
                <c:pt idx="301">
                  <c:v>44635</c:v>
                </c:pt>
                <c:pt idx="302">
                  <c:v>44636</c:v>
                </c:pt>
                <c:pt idx="303">
                  <c:v>44637</c:v>
                </c:pt>
                <c:pt idx="304">
                  <c:v>44638</c:v>
                </c:pt>
                <c:pt idx="305">
                  <c:v>44641</c:v>
                </c:pt>
                <c:pt idx="306">
                  <c:v>44642</c:v>
                </c:pt>
                <c:pt idx="307">
                  <c:v>44643</c:v>
                </c:pt>
                <c:pt idx="308">
                  <c:v>44644</c:v>
                </c:pt>
                <c:pt idx="309">
                  <c:v>44645</c:v>
                </c:pt>
                <c:pt idx="310">
                  <c:v>44648</c:v>
                </c:pt>
                <c:pt idx="311">
                  <c:v>44649</c:v>
                </c:pt>
                <c:pt idx="312">
                  <c:v>44650</c:v>
                </c:pt>
                <c:pt idx="313">
                  <c:v>44651</c:v>
                </c:pt>
                <c:pt idx="314">
                  <c:v>44652</c:v>
                </c:pt>
                <c:pt idx="315">
                  <c:v>44655</c:v>
                </c:pt>
                <c:pt idx="316">
                  <c:v>44656</c:v>
                </c:pt>
                <c:pt idx="317">
                  <c:v>44657</c:v>
                </c:pt>
                <c:pt idx="318">
                  <c:v>44658</c:v>
                </c:pt>
                <c:pt idx="319">
                  <c:v>44659</c:v>
                </c:pt>
                <c:pt idx="320">
                  <c:v>44662</c:v>
                </c:pt>
                <c:pt idx="321">
                  <c:v>44663</c:v>
                </c:pt>
                <c:pt idx="322">
                  <c:v>44664</c:v>
                </c:pt>
                <c:pt idx="323">
                  <c:v>44665</c:v>
                </c:pt>
                <c:pt idx="324">
                  <c:v>44669</c:v>
                </c:pt>
                <c:pt idx="325">
                  <c:v>44670</c:v>
                </c:pt>
                <c:pt idx="326">
                  <c:v>44671</c:v>
                </c:pt>
                <c:pt idx="327">
                  <c:v>44672</c:v>
                </c:pt>
                <c:pt idx="328">
                  <c:v>44673</c:v>
                </c:pt>
                <c:pt idx="329">
                  <c:v>44676</c:v>
                </c:pt>
                <c:pt idx="330">
                  <c:v>44677</c:v>
                </c:pt>
                <c:pt idx="331">
                  <c:v>44678</c:v>
                </c:pt>
                <c:pt idx="332">
                  <c:v>44679</c:v>
                </c:pt>
                <c:pt idx="333">
                  <c:v>44680</c:v>
                </c:pt>
                <c:pt idx="334">
                  <c:v>44683</c:v>
                </c:pt>
                <c:pt idx="335">
                  <c:v>44684</c:v>
                </c:pt>
                <c:pt idx="336">
                  <c:v>44685</c:v>
                </c:pt>
                <c:pt idx="337">
                  <c:v>44686</c:v>
                </c:pt>
                <c:pt idx="338">
                  <c:v>44687</c:v>
                </c:pt>
                <c:pt idx="339">
                  <c:v>44690</c:v>
                </c:pt>
                <c:pt idx="340">
                  <c:v>44691</c:v>
                </c:pt>
                <c:pt idx="341">
                  <c:v>44692</c:v>
                </c:pt>
                <c:pt idx="342">
                  <c:v>44693</c:v>
                </c:pt>
                <c:pt idx="343">
                  <c:v>44694</c:v>
                </c:pt>
                <c:pt idx="344">
                  <c:v>44697</c:v>
                </c:pt>
                <c:pt idx="345">
                  <c:v>44698</c:v>
                </c:pt>
                <c:pt idx="346">
                  <c:v>44699</c:v>
                </c:pt>
                <c:pt idx="347">
                  <c:v>44700</c:v>
                </c:pt>
                <c:pt idx="348">
                  <c:v>44701</c:v>
                </c:pt>
                <c:pt idx="349">
                  <c:v>44704</c:v>
                </c:pt>
                <c:pt idx="350">
                  <c:v>44705</c:v>
                </c:pt>
                <c:pt idx="351">
                  <c:v>44706</c:v>
                </c:pt>
                <c:pt idx="352">
                  <c:v>44707</c:v>
                </c:pt>
                <c:pt idx="353">
                  <c:v>44708</c:v>
                </c:pt>
                <c:pt idx="354">
                  <c:v>44712</c:v>
                </c:pt>
                <c:pt idx="355">
                  <c:v>44713</c:v>
                </c:pt>
                <c:pt idx="356">
                  <c:v>44714</c:v>
                </c:pt>
                <c:pt idx="357">
                  <c:v>44715</c:v>
                </c:pt>
                <c:pt idx="358">
                  <c:v>44718</c:v>
                </c:pt>
                <c:pt idx="359">
                  <c:v>44719</c:v>
                </c:pt>
                <c:pt idx="360">
                  <c:v>44720</c:v>
                </c:pt>
                <c:pt idx="361">
                  <c:v>44721</c:v>
                </c:pt>
                <c:pt idx="362">
                  <c:v>44722</c:v>
                </c:pt>
                <c:pt idx="363">
                  <c:v>44725</c:v>
                </c:pt>
                <c:pt idx="364">
                  <c:v>44726</c:v>
                </c:pt>
                <c:pt idx="365">
                  <c:v>44727</c:v>
                </c:pt>
                <c:pt idx="366">
                  <c:v>44728</c:v>
                </c:pt>
                <c:pt idx="367">
                  <c:v>44729</c:v>
                </c:pt>
                <c:pt idx="368">
                  <c:v>44733</c:v>
                </c:pt>
                <c:pt idx="369">
                  <c:v>44734</c:v>
                </c:pt>
                <c:pt idx="370">
                  <c:v>44735</c:v>
                </c:pt>
                <c:pt idx="371">
                  <c:v>44736</c:v>
                </c:pt>
                <c:pt idx="372">
                  <c:v>44739</c:v>
                </c:pt>
                <c:pt idx="373">
                  <c:v>44740</c:v>
                </c:pt>
                <c:pt idx="374">
                  <c:v>44741</c:v>
                </c:pt>
                <c:pt idx="375">
                  <c:v>44742</c:v>
                </c:pt>
                <c:pt idx="376">
                  <c:v>44743</c:v>
                </c:pt>
                <c:pt idx="377">
                  <c:v>44747</c:v>
                </c:pt>
                <c:pt idx="378">
                  <c:v>44748</c:v>
                </c:pt>
                <c:pt idx="379">
                  <c:v>44749</c:v>
                </c:pt>
                <c:pt idx="380">
                  <c:v>44750</c:v>
                </c:pt>
                <c:pt idx="381">
                  <c:v>44753</c:v>
                </c:pt>
                <c:pt idx="382">
                  <c:v>44754</c:v>
                </c:pt>
                <c:pt idx="383">
                  <c:v>44755</c:v>
                </c:pt>
                <c:pt idx="384">
                  <c:v>44756</c:v>
                </c:pt>
                <c:pt idx="385">
                  <c:v>44757</c:v>
                </c:pt>
                <c:pt idx="386">
                  <c:v>44760</c:v>
                </c:pt>
                <c:pt idx="387">
                  <c:v>44761</c:v>
                </c:pt>
                <c:pt idx="388">
                  <c:v>44762</c:v>
                </c:pt>
                <c:pt idx="389">
                  <c:v>44763</c:v>
                </c:pt>
                <c:pt idx="390">
                  <c:v>44764</c:v>
                </c:pt>
                <c:pt idx="391">
                  <c:v>44767</c:v>
                </c:pt>
                <c:pt idx="392">
                  <c:v>44768</c:v>
                </c:pt>
                <c:pt idx="393">
                  <c:v>44769</c:v>
                </c:pt>
                <c:pt idx="394">
                  <c:v>44770</c:v>
                </c:pt>
                <c:pt idx="395">
                  <c:v>44771</c:v>
                </c:pt>
                <c:pt idx="396">
                  <c:v>44774</c:v>
                </c:pt>
                <c:pt idx="397">
                  <c:v>44775</c:v>
                </c:pt>
                <c:pt idx="398">
                  <c:v>44776</c:v>
                </c:pt>
                <c:pt idx="399">
                  <c:v>44777</c:v>
                </c:pt>
                <c:pt idx="400">
                  <c:v>44778</c:v>
                </c:pt>
                <c:pt idx="401">
                  <c:v>44781</c:v>
                </c:pt>
                <c:pt idx="402">
                  <c:v>44782</c:v>
                </c:pt>
                <c:pt idx="403">
                  <c:v>44783</c:v>
                </c:pt>
                <c:pt idx="404">
                  <c:v>44784</c:v>
                </c:pt>
                <c:pt idx="405">
                  <c:v>44785</c:v>
                </c:pt>
                <c:pt idx="406">
                  <c:v>44788</c:v>
                </c:pt>
                <c:pt idx="407">
                  <c:v>44789</c:v>
                </c:pt>
                <c:pt idx="408">
                  <c:v>44790</c:v>
                </c:pt>
                <c:pt idx="409">
                  <c:v>44791</c:v>
                </c:pt>
                <c:pt idx="410">
                  <c:v>44792</c:v>
                </c:pt>
                <c:pt idx="411">
                  <c:v>44795</c:v>
                </c:pt>
                <c:pt idx="412">
                  <c:v>44796</c:v>
                </c:pt>
                <c:pt idx="413">
                  <c:v>44797</c:v>
                </c:pt>
                <c:pt idx="414">
                  <c:v>44798</c:v>
                </c:pt>
                <c:pt idx="415">
                  <c:v>44799</c:v>
                </c:pt>
                <c:pt idx="416">
                  <c:v>44802</c:v>
                </c:pt>
                <c:pt idx="417">
                  <c:v>44803</c:v>
                </c:pt>
                <c:pt idx="418">
                  <c:v>44804</c:v>
                </c:pt>
                <c:pt idx="419">
                  <c:v>44805</c:v>
                </c:pt>
                <c:pt idx="420">
                  <c:v>44806</c:v>
                </c:pt>
                <c:pt idx="421">
                  <c:v>44810</c:v>
                </c:pt>
                <c:pt idx="422">
                  <c:v>44811</c:v>
                </c:pt>
                <c:pt idx="423">
                  <c:v>44812</c:v>
                </c:pt>
                <c:pt idx="424">
                  <c:v>44813</c:v>
                </c:pt>
                <c:pt idx="425">
                  <c:v>44816</c:v>
                </c:pt>
                <c:pt idx="426">
                  <c:v>44817</c:v>
                </c:pt>
                <c:pt idx="427">
                  <c:v>44818</c:v>
                </c:pt>
                <c:pt idx="428">
                  <c:v>44819</c:v>
                </c:pt>
                <c:pt idx="429">
                  <c:v>44820</c:v>
                </c:pt>
                <c:pt idx="430">
                  <c:v>44823</c:v>
                </c:pt>
                <c:pt idx="431">
                  <c:v>44824</c:v>
                </c:pt>
                <c:pt idx="432">
                  <c:v>44825</c:v>
                </c:pt>
                <c:pt idx="433">
                  <c:v>44826</c:v>
                </c:pt>
                <c:pt idx="434">
                  <c:v>44827</c:v>
                </c:pt>
                <c:pt idx="435">
                  <c:v>44830</c:v>
                </c:pt>
                <c:pt idx="436">
                  <c:v>44831</c:v>
                </c:pt>
                <c:pt idx="437">
                  <c:v>44832</c:v>
                </c:pt>
                <c:pt idx="438">
                  <c:v>44833</c:v>
                </c:pt>
                <c:pt idx="439">
                  <c:v>44834</c:v>
                </c:pt>
                <c:pt idx="440">
                  <c:v>44837</c:v>
                </c:pt>
                <c:pt idx="441">
                  <c:v>44838</c:v>
                </c:pt>
                <c:pt idx="442">
                  <c:v>44839</c:v>
                </c:pt>
                <c:pt idx="443">
                  <c:v>44840</c:v>
                </c:pt>
                <c:pt idx="444">
                  <c:v>44841</c:v>
                </c:pt>
                <c:pt idx="445">
                  <c:v>44845</c:v>
                </c:pt>
                <c:pt idx="446">
                  <c:v>44846</c:v>
                </c:pt>
                <c:pt idx="447">
                  <c:v>44847</c:v>
                </c:pt>
                <c:pt idx="448">
                  <c:v>44848</c:v>
                </c:pt>
                <c:pt idx="449">
                  <c:v>44851</c:v>
                </c:pt>
                <c:pt idx="450">
                  <c:v>44852</c:v>
                </c:pt>
                <c:pt idx="451">
                  <c:v>44853</c:v>
                </c:pt>
                <c:pt idx="452">
                  <c:v>44854</c:v>
                </c:pt>
                <c:pt idx="453">
                  <c:v>44855</c:v>
                </c:pt>
                <c:pt idx="454">
                  <c:v>44858</c:v>
                </c:pt>
                <c:pt idx="455">
                  <c:v>44859</c:v>
                </c:pt>
                <c:pt idx="456">
                  <c:v>44860</c:v>
                </c:pt>
                <c:pt idx="457">
                  <c:v>44861</c:v>
                </c:pt>
                <c:pt idx="458">
                  <c:v>44862</c:v>
                </c:pt>
                <c:pt idx="459">
                  <c:v>44865</c:v>
                </c:pt>
                <c:pt idx="460">
                  <c:v>44866</c:v>
                </c:pt>
                <c:pt idx="461">
                  <c:v>44867</c:v>
                </c:pt>
                <c:pt idx="462">
                  <c:v>44868</c:v>
                </c:pt>
                <c:pt idx="463">
                  <c:v>44869</c:v>
                </c:pt>
                <c:pt idx="464">
                  <c:v>44872</c:v>
                </c:pt>
                <c:pt idx="465">
                  <c:v>44873</c:v>
                </c:pt>
                <c:pt idx="466">
                  <c:v>44874</c:v>
                </c:pt>
                <c:pt idx="467">
                  <c:v>44875</c:v>
                </c:pt>
                <c:pt idx="468">
                  <c:v>44879</c:v>
                </c:pt>
                <c:pt idx="469">
                  <c:v>44880</c:v>
                </c:pt>
                <c:pt idx="470">
                  <c:v>44881</c:v>
                </c:pt>
                <c:pt idx="471">
                  <c:v>44882</c:v>
                </c:pt>
                <c:pt idx="472">
                  <c:v>44883</c:v>
                </c:pt>
                <c:pt idx="473">
                  <c:v>44886</c:v>
                </c:pt>
                <c:pt idx="474">
                  <c:v>44887</c:v>
                </c:pt>
                <c:pt idx="475">
                  <c:v>44888</c:v>
                </c:pt>
                <c:pt idx="476">
                  <c:v>44890</c:v>
                </c:pt>
                <c:pt idx="477">
                  <c:v>44893</c:v>
                </c:pt>
                <c:pt idx="478">
                  <c:v>44894</c:v>
                </c:pt>
                <c:pt idx="479">
                  <c:v>44895</c:v>
                </c:pt>
                <c:pt idx="480">
                  <c:v>44896</c:v>
                </c:pt>
                <c:pt idx="481">
                  <c:v>44897</c:v>
                </c:pt>
                <c:pt idx="482">
                  <c:v>44900</c:v>
                </c:pt>
                <c:pt idx="483">
                  <c:v>44901</c:v>
                </c:pt>
                <c:pt idx="484">
                  <c:v>44902</c:v>
                </c:pt>
                <c:pt idx="485">
                  <c:v>44903</c:v>
                </c:pt>
                <c:pt idx="486">
                  <c:v>44904</c:v>
                </c:pt>
                <c:pt idx="487">
                  <c:v>44907</c:v>
                </c:pt>
                <c:pt idx="488">
                  <c:v>44908</c:v>
                </c:pt>
                <c:pt idx="489">
                  <c:v>44909</c:v>
                </c:pt>
                <c:pt idx="490">
                  <c:v>44910</c:v>
                </c:pt>
                <c:pt idx="491">
                  <c:v>44911</c:v>
                </c:pt>
                <c:pt idx="492">
                  <c:v>44914</c:v>
                </c:pt>
                <c:pt idx="493">
                  <c:v>44915</c:v>
                </c:pt>
                <c:pt idx="494">
                  <c:v>44916</c:v>
                </c:pt>
                <c:pt idx="495">
                  <c:v>44917</c:v>
                </c:pt>
                <c:pt idx="496">
                  <c:v>44918</c:v>
                </c:pt>
                <c:pt idx="497">
                  <c:v>44922</c:v>
                </c:pt>
                <c:pt idx="498">
                  <c:v>44923</c:v>
                </c:pt>
                <c:pt idx="499">
                  <c:v>44924</c:v>
                </c:pt>
                <c:pt idx="500">
                  <c:v>44925</c:v>
                </c:pt>
                <c:pt idx="501">
                  <c:v>44929</c:v>
                </c:pt>
                <c:pt idx="502">
                  <c:v>44930</c:v>
                </c:pt>
                <c:pt idx="503">
                  <c:v>44931</c:v>
                </c:pt>
                <c:pt idx="504">
                  <c:v>44932</c:v>
                </c:pt>
                <c:pt idx="505">
                  <c:v>44935</c:v>
                </c:pt>
                <c:pt idx="506">
                  <c:v>44936</c:v>
                </c:pt>
                <c:pt idx="507">
                  <c:v>44937</c:v>
                </c:pt>
                <c:pt idx="508">
                  <c:v>44938</c:v>
                </c:pt>
                <c:pt idx="509">
                  <c:v>44939</c:v>
                </c:pt>
                <c:pt idx="510">
                  <c:v>44943</c:v>
                </c:pt>
                <c:pt idx="511">
                  <c:v>44944</c:v>
                </c:pt>
                <c:pt idx="512">
                  <c:v>44945</c:v>
                </c:pt>
                <c:pt idx="513">
                  <c:v>44946</c:v>
                </c:pt>
                <c:pt idx="514">
                  <c:v>44949</c:v>
                </c:pt>
                <c:pt idx="515">
                  <c:v>44950</c:v>
                </c:pt>
                <c:pt idx="516">
                  <c:v>44951</c:v>
                </c:pt>
                <c:pt idx="517">
                  <c:v>44952</c:v>
                </c:pt>
                <c:pt idx="518">
                  <c:v>44953</c:v>
                </c:pt>
                <c:pt idx="519">
                  <c:v>44956</c:v>
                </c:pt>
                <c:pt idx="520">
                  <c:v>44957</c:v>
                </c:pt>
                <c:pt idx="521">
                  <c:v>44958</c:v>
                </c:pt>
                <c:pt idx="522">
                  <c:v>44959</c:v>
                </c:pt>
                <c:pt idx="523">
                  <c:v>44960</c:v>
                </c:pt>
                <c:pt idx="524">
                  <c:v>44963</c:v>
                </c:pt>
                <c:pt idx="525">
                  <c:v>44964</c:v>
                </c:pt>
                <c:pt idx="526">
                  <c:v>44965</c:v>
                </c:pt>
                <c:pt idx="527">
                  <c:v>44966</c:v>
                </c:pt>
                <c:pt idx="528">
                  <c:v>44967</c:v>
                </c:pt>
                <c:pt idx="529">
                  <c:v>44970</c:v>
                </c:pt>
                <c:pt idx="530">
                  <c:v>44971</c:v>
                </c:pt>
                <c:pt idx="531">
                  <c:v>44972</c:v>
                </c:pt>
                <c:pt idx="532">
                  <c:v>44973</c:v>
                </c:pt>
                <c:pt idx="533">
                  <c:v>44974</c:v>
                </c:pt>
                <c:pt idx="534">
                  <c:v>44978</c:v>
                </c:pt>
                <c:pt idx="535">
                  <c:v>44979</c:v>
                </c:pt>
                <c:pt idx="536">
                  <c:v>44980</c:v>
                </c:pt>
                <c:pt idx="537">
                  <c:v>44981</c:v>
                </c:pt>
                <c:pt idx="538">
                  <c:v>44984</c:v>
                </c:pt>
                <c:pt idx="539">
                  <c:v>44985</c:v>
                </c:pt>
                <c:pt idx="540">
                  <c:v>44986</c:v>
                </c:pt>
                <c:pt idx="541">
                  <c:v>44987</c:v>
                </c:pt>
                <c:pt idx="542">
                  <c:v>44988</c:v>
                </c:pt>
                <c:pt idx="543">
                  <c:v>44991</c:v>
                </c:pt>
                <c:pt idx="544">
                  <c:v>44992</c:v>
                </c:pt>
                <c:pt idx="545">
                  <c:v>44993</c:v>
                </c:pt>
                <c:pt idx="546">
                  <c:v>44994</c:v>
                </c:pt>
                <c:pt idx="547">
                  <c:v>44995</c:v>
                </c:pt>
                <c:pt idx="548">
                  <c:v>44998</c:v>
                </c:pt>
                <c:pt idx="549">
                  <c:v>44999</c:v>
                </c:pt>
                <c:pt idx="550">
                  <c:v>45000</c:v>
                </c:pt>
                <c:pt idx="551">
                  <c:v>45001</c:v>
                </c:pt>
                <c:pt idx="552">
                  <c:v>45002</c:v>
                </c:pt>
                <c:pt idx="553">
                  <c:v>45005</c:v>
                </c:pt>
                <c:pt idx="554">
                  <c:v>45006</c:v>
                </c:pt>
                <c:pt idx="555">
                  <c:v>45007</c:v>
                </c:pt>
                <c:pt idx="556">
                  <c:v>45008</c:v>
                </c:pt>
                <c:pt idx="557">
                  <c:v>45009</c:v>
                </c:pt>
                <c:pt idx="558">
                  <c:v>45012</c:v>
                </c:pt>
                <c:pt idx="559">
                  <c:v>45013</c:v>
                </c:pt>
                <c:pt idx="560">
                  <c:v>45014</c:v>
                </c:pt>
                <c:pt idx="561">
                  <c:v>45015</c:v>
                </c:pt>
                <c:pt idx="562">
                  <c:v>45016</c:v>
                </c:pt>
                <c:pt idx="563">
                  <c:v>45019</c:v>
                </c:pt>
                <c:pt idx="564">
                  <c:v>45020</c:v>
                </c:pt>
                <c:pt idx="565">
                  <c:v>45021</c:v>
                </c:pt>
                <c:pt idx="566">
                  <c:v>45022</c:v>
                </c:pt>
                <c:pt idx="567">
                  <c:v>45023</c:v>
                </c:pt>
                <c:pt idx="568">
                  <c:v>45026</c:v>
                </c:pt>
                <c:pt idx="569">
                  <c:v>45027</c:v>
                </c:pt>
                <c:pt idx="570">
                  <c:v>45028</c:v>
                </c:pt>
                <c:pt idx="571">
                  <c:v>45029</c:v>
                </c:pt>
                <c:pt idx="572">
                  <c:v>45030</c:v>
                </c:pt>
                <c:pt idx="573">
                  <c:v>45033</c:v>
                </c:pt>
                <c:pt idx="574">
                  <c:v>45034</c:v>
                </c:pt>
                <c:pt idx="575">
                  <c:v>45035</c:v>
                </c:pt>
                <c:pt idx="576">
                  <c:v>45036</c:v>
                </c:pt>
                <c:pt idx="577">
                  <c:v>45037</c:v>
                </c:pt>
                <c:pt idx="578">
                  <c:v>45040</c:v>
                </c:pt>
                <c:pt idx="579">
                  <c:v>45041</c:v>
                </c:pt>
                <c:pt idx="580">
                  <c:v>45042</c:v>
                </c:pt>
                <c:pt idx="581">
                  <c:v>45043</c:v>
                </c:pt>
                <c:pt idx="582">
                  <c:v>45044</c:v>
                </c:pt>
                <c:pt idx="583">
                  <c:v>45047</c:v>
                </c:pt>
                <c:pt idx="584">
                  <c:v>45048</c:v>
                </c:pt>
                <c:pt idx="585">
                  <c:v>45049</c:v>
                </c:pt>
                <c:pt idx="586">
                  <c:v>45050</c:v>
                </c:pt>
                <c:pt idx="587">
                  <c:v>45051</c:v>
                </c:pt>
                <c:pt idx="588">
                  <c:v>45054</c:v>
                </c:pt>
                <c:pt idx="589">
                  <c:v>45055</c:v>
                </c:pt>
                <c:pt idx="590">
                  <c:v>45056</c:v>
                </c:pt>
                <c:pt idx="591">
                  <c:v>45057</c:v>
                </c:pt>
                <c:pt idx="592">
                  <c:v>45058</c:v>
                </c:pt>
                <c:pt idx="593">
                  <c:v>45061</c:v>
                </c:pt>
                <c:pt idx="594">
                  <c:v>45062</c:v>
                </c:pt>
                <c:pt idx="595">
                  <c:v>45063</c:v>
                </c:pt>
                <c:pt idx="596">
                  <c:v>45064</c:v>
                </c:pt>
                <c:pt idx="597">
                  <c:v>45065</c:v>
                </c:pt>
                <c:pt idx="598">
                  <c:v>45068</c:v>
                </c:pt>
                <c:pt idx="599">
                  <c:v>45069</c:v>
                </c:pt>
                <c:pt idx="600">
                  <c:v>45070</c:v>
                </c:pt>
                <c:pt idx="601">
                  <c:v>45071</c:v>
                </c:pt>
                <c:pt idx="602">
                  <c:v>45072</c:v>
                </c:pt>
                <c:pt idx="603">
                  <c:v>45076</c:v>
                </c:pt>
                <c:pt idx="604">
                  <c:v>45077</c:v>
                </c:pt>
                <c:pt idx="605">
                  <c:v>45078</c:v>
                </c:pt>
                <c:pt idx="606">
                  <c:v>45079</c:v>
                </c:pt>
                <c:pt idx="607">
                  <c:v>45082</c:v>
                </c:pt>
                <c:pt idx="608">
                  <c:v>45083</c:v>
                </c:pt>
                <c:pt idx="609">
                  <c:v>45084</c:v>
                </c:pt>
                <c:pt idx="610">
                  <c:v>45085</c:v>
                </c:pt>
                <c:pt idx="611">
                  <c:v>45086</c:v>
                </c:pt>
                <c:pt idx="612">
                  <c:v>45089</c:v>
                </c:pt>
                <c:pt idx="613">
                  <c:v>45090</c:v>
                </c:pt>
                <c:pt idx="614">
                  <c:v>45091</c:v>
                </c:pt>
                <c:pt idx="615">
                  <c:v>45092</c:v>
                </c:pt>
                <c:pt idx="616">
                  <c:v>45093</c:v>
                </c:pt>
                <c:pt idx="617">
                  <c:v>45097</c:v>
                </c:pt>
                <c:pt idx="618">
                  <c:v>45098</c:v>
                </c:pt>
                <c:pt idx="619">
                  <c:v>45099</c:v>
                </c:pt>
                <c:pt idx="620">
                  <c:v>45100</c:v>
                </c:pt>
                <c:pt idx="621">
                  <c:v>45103</c:v>
                </c:pt>
                <c:pt idx="622">
                  <c:v>45104</c:v>
                </c:pt>
                <c:pt idx="623">
                  <c:v>45105</c:v>
                </c:pt>
                <c:pt idx="624">
                  <c:v>45106</c:v>
                </c:pt>
                <c:pt idx="625">
                  <c:v>45107</c:v>
                </c:pt>
                <c:pt idx="626">
                  <c:v>45110</c:v>
                </c:pt>
                <c:pt idx="627">
                  <c:v>45112</c:v>
                </c:pt>
                <c:pt idx="628">
                  <c:v>45113</c:v>
                </c:pt>
                <c:pt idx="629">
                  <c:v>45114</c:v>
                </c:pt>
                <c:pt idx="630">
                  <c:v>45117</c:v>
                </c:pt>
                <c:pt idx="631">
                  <c:v>45118</c:v>
                </c:pt>
                <c:pt idx="632">
                  <c:v>45119</c:v>
                </c:pt>
                <c:pt idx="633">
                  <c:v>45120</c:v>
                </c:pt>
                <c:pt idx="634">
                  <c:v>45121</c:v>
                </c:pt>
                <c:pt idx="635">
                  <c:v>45124</c:v>
                </c:pt>
                <c:pt idx="636">
                  <c:v>45125</c:v>
                </c:pt>
                <c:pt idx="637">
                  <c:v>45126</c:v>
                </c:pt>
                <c:pt idx="638">
                  <c:v>45127</c:v>
                </c:pt>
                <c:pt idx="639">
                  <c:v>45128</c:v>
                </c:pt>
                <c:pt idx="640">
                  <c:v>45131</c:v>
                </c:pt>
                <c:pt idx="641">
                  <c:v>45132</c:v>
                </c:pt>
                <c:pt idx="642">
                  <c:v>45133</c:v>
                </c:pt>
                <c:pt idx="643">
                  <c:v>45134</c:v>
                </c:pt>
                <c:pt idx="644">
                  <c:v>45135</c:v>
                </c:pt>
                <c:pt idx="645">
                  <c:v>45138</c:v>
                </c:pt>
                <c:pt idx="646">
                  <c:v>45139</c:v>
                </c:pt>
                <c:pt idx="647">
                  <c:v>45140</c:v>
                </c:pt>
                <c:pt idx="648">
                  <c:v>45141</c:v>
                </c:pt>
                <c:pt idx="649">
                  <c:v>45142</c:v>
                </c:pt>
                <c:pt idx="650">
                  <c:v>45145</c:v>
                </c:pt>
                <c:pt idx="651">
                  <c:v>45146</c:v>
                </c:pt>
                <c:pt idx="652">
                  <c:v>45147</c:v>
                </c:pt>
                <c:pt idx="653">
                  <c:v>45148</c:v>
                </c:pt>
                <c:pt idx="654">
                  <c:v>45149</c:v>
                </c:pt>
                <c:pt idx="655">
                  <c:v>45152</c:v>
                </c:pt>
                <c:pt idx="656">
                  <c:v>45153</c:v>
                </c:pt>
                <c:pt idx="657">
                  <c:v>45154</c:v>
                </c:pt>
                <c:pt idx="658">
                  <c:v>45155</c:v>
                </c:pt>
                <c:pt idx="659">
                  <c:v>45156</c:v>
                </c:pt>
                <c:pt idx="660">
                  <c:v>45159</c:v>
                </c:pt>
                <c:pt idx="661">
                  <c:v>45160</c:v>
                </c:pt>
                <c:pt idx="662">
                  <c:v>45161</c:v>
                </c:pt>
                <c:pt idx="663">
                  <c:v>45162</c:v>
                </c:pt>
                <c:pt idx="664">
                  <c:v>45163</c:v>
                </c:pt>
                <c:pt idx="665">
                  <c:v>45166</c:v>
                </c:pt>
                <c:pt idx="666">
                  <c:v>45167</c:v>
                </c:pt>
                <c:pt idx="667">
                  <c:v>45168</c:v>
                </c:pt>
                <c:pt idx="668">
                  <c:v>45169</c:v>
                </c:pt>
                <c:pt idx="669">
                  <c:v>45170</c:v>
                </c:pt>
                <c:pt idx="670">
                  <c:v>45174</c:v>
                </c:pt>
                <c:pt idx="671">
                  <c:v>45175</c:v>
                </c:pt>
                <c:pt idx="672">
                  <c:v>45176</c:v>
                </c:pt>
                <c:pt idx="673">
                  <c:v>45177</c:v>
                </c:pt>
                <c:pt idx="674">
                  <c:v>45180</c:v>
                </c:pt>
                <c:pt idx="675">
                  <c:v>45181</c:v>
                </c:pt>
                <c:pt idx="676">
                  <c:v>45182</c:v>
                </c:pt>
                <c:pt idx="677">
                  <c:v>45183</c:v>
                </c:pt>
                <c:pt idx="678">
                  <c:v>45184</c:v>
                </c:pt>
                <c:pt idx="679">
                  <c:v>45187</c:v>
                </c:pt>
                <c:pt idx="680">
                  <c:v>45188</c:v>
                </c:pt>
                <c:pt idx="681">
                  <c:v>45189</c:v>
                </c:pt>
                <c:pt idx="682">
                  <c:v>45190</c:v>
                </c:pt>
                <c:pt idx="683">
                  <c:v>45191</c:v>
                </c:pt>
                <c:pt idx="684">
                  <c:v>45194</c:v>
                </c:pt>
                <c:pt idx="685">
                  <c:v>45195</c:v>
                </c:pt>
                <c:pt idx="686">
                  <c:v>45196</c:v>
                </c:pt>
                <c:pt idx="687">
                  <c:v>45197</c:v>
                </c:pt>
                <c:pt idx="688">
                  <c:v>45198</c:v>
                </c:pt>
                <c:pt idx="689">
                  <c:v>45201</c:v>
                </c:pt>
                <c:pt idx="690">
                  <c:v>45202</c:v>
                </c:pt>
                <c:pt idx="691">
                  <c:v>45203</c:v>
                </c:pt>
                <c:pt idx="692">
                  <c:v>45204</c:v>
                </c:pt>
                <c:pt idx="693">
                  <c:v>45205</c:v>
                </c:pt>
                <c:pt idx="694">
                  <c:v>45209</c:v>
                </c:pt>
                <c:pt idx="695">
                  <c:v>45210</c:v>
                </c:pt>
                <c:pt idx="696">
                  <c:v>45211</c:v>
                </c:pt>
                <c:pt idx="697">
                  <c:v>45212</c:v>
                </c:pt>
                <c:pt idx="698">
                  <c:v>45215</c:v>
                </c:pt>
                <c:pt idx="699">
                  <c:v>45216</c:v>
                </c:pt>
                <c:pt idx="700">
                  <c:v>45217</c:v>
                </c:pt>
                <c:pt idx="701">
                  <c:v>45218</c:v>
                </c:pt>
                <c:pt idx="702">
                  <c:v>45219</c:v>
                </c:pt>
                <c:pt idx="703">
                  <c:v>45222</c:v>
                </c:pt>
                <c:pt idx="704">
                  <c:v>45223</c:v>
                </c:pt>
                <c:pt idx="705">
                  <c:v>45224</c:v>
                </c:pt>
                <c:pt idx="706">
                  <c:v>45225</c:v>
                </c:pt>
                <c:pt idx="707">
                  <c:v>45226</c:v>
                </c:pt>
                <c:pt idx="708">
                  <c:v>45229</c:v>
                </c:pt>
                <c:pt idx="709">
                  <c:v>45230</c:v>
                </c:pt>
                <c:pt idx="710">
                  <c:v>45231</c:v>
                </c:pt>
                <c:pt idx="711">
                  <c:v>45232</c:v>
                </c:pt>
                <c:pt idx="712">
                  <c:v>45233</c:v>
                </c:pt>
                <c:pt idx="713">
                  <c:v>45236</c:v>
                </c:pt>
                <c:pt idx="714">
                  <c:v>45237</c:v>
                </c:pt>
                <c:pt idx="715">
                  <c:v>45238</c:v>
                </c:pt>
                <c:pt idx="716">
                  <c:v>45239</c:v>
                </c:pt>
                <c:pt idx="717">
                  <c:v>45240</c:v>
                </c:pt>
                <c:pt idx="718">
                  <c:v>45243</c:v>
                </c:pt>
                <c:pt idx="719">
                  <c:v>45244</c:v>
                </c:pt>
                <c:pt idx="720">
                  <c:v>45245</c:v>
                </c:pt>
                <c:pt idx="721">
                  <c:v>45246</c:v>
                </c:pt>
                <c:pt idx="722">
                  <c:v>45247</c:v>
                </c:pt>
                <c:pt idx="723">
                  <c:v>45250</c:v>
                </c:pt>
                <c:pt idx="724">
                  <c:v>45251</c:v>
                </c:pt>
                <c:pt idx="725">
                  <c:v>45252</c:v>
                </c:pt>
                <c:pt idx="726">
                  <c:v>45254</c:v>
                </c:pt>
                <c:pt idx="727">
                  <c:v>45257</c:v>
                </c:pt>
                <c:pt idx="728">
                  <c:v>45258</c:v>
                </c:pt>
                <c:pt idx="729">
                  <c:v>45259</c:v>
                </c:pt>
                <c:pt idx="730">
                  <c:v>45260</c:v>
                </c:pt>
                <c:pt idx="731">
                  <c:v>45261</c:v>
                </c:pt>
                <c:pt idx="732">
                  <c:v>45264</c:v>
                </c:pt>
                <c:pt idx="733">
                  <c:v>45265</c:v>
                </c:pt>
                <c:pt idx="734">
                  <c:v>45266</c:v>
                </c:pt>
                <c:pt idx="735">
                  <c:v>45267</c:v>
                </c:pt>
                <c:pt idx="736">
                  <c:v>45268</c:v>
                </c:pt>
                <c:pt idx="737">
                  <c:v>45271</c:v>
                </c:pt>
                <c:pt idx="738">
                  <c:v>45272</c:v>
                </c:pt>
                <c:pt idx="739">
                  <c:v>45273</c:v>
                </c:pt>
                <c:pt idx="740">
                  <c:v>45274</c:v>
                </c:pt>
                <c:pt idx="741">
                  <c:v>45275</c:v>
                </c:pt>
                <c:pt idx="742">
                  <c:v>45278</c:v>
                </c:pt>
                <c:pt idx="743">
                  <c:v>45279</c:v>
                </c:pt>
                <c:pt idx="744">
                  <c:v>45280</c:v>
                </c:pt>
                <c:pt idx="745">
                  <c:v>45281</c:v>
                </c:pt>
                <c:pt idx="746">
                  <c:v>45282</c:v>
                </c:pt>
                <c:pt idx="747">
                  <c:v>45286</c:v>
                </c:pt>
                <c:pt idx="748">
                  <c:v>45287</c:v>
                </c:pt>
                <c:pt idx="749">
                  <c:v>45288</c:v>
                </c:pt>
                <c:pt idx="750">
                  <c:v>45289</c:v>
                </c:pt>
                <c:pt idx="751">
                  <c:v>45293</c:v>
                </c:pt>
                <c:pt idx="752">
                  <c:v>45294</c:v>
                </c:pt>
                <c:pt idx="753">
                  <c:v>45295</c:v>
                </c:pt>
                <c:pt idx="754">
                  <c:v>45296</c:v>
                </c:pt>
                <c:pt idx="755">
                  <c:v>45299</c:v>
                </c:pt>
                <c:pt idx="756">
                  <c:v>45300</c:v>
                </c:pt>
                <c:pt idx="757">
                  <c:v>45301</c:v>
                </c:pt>
                <c:pt idx="758">
                  <c:v>45302</c:v>
                </c:pt>
                <c:pt idx="759">
                  <c:v>45303</c:v>
                </c:pt>
                <c:pt idx="760">
                  <c:v>45307</c:v>
                </c:pt>
                <c:pt idx="761">
                  <c:v>45308</c:v>
                </c:pt>
                <c:pt idx="762">
                  <c:v>45309</c:v>
                </c:pt>
                <c:pt idx="763">
                  <c:v>45310</c:v>
                </c:pt>
                <c:pt idx="764">
                  <c:v>45313</c:v>
                </c:pt>
                <c:pt idx="765">
                  <c:v>45314</c:v>
                </c:pt>
                <c:pt idx="766">
                  <c:v>45315</c:v>
                </c:pt>
                <c:pt idx="767">
                  <c:v>45316</c:v>
                </c:pt>
                <c:pt idx="768">
                  <c:v>45317</c:v>
                </c:pt>
                <c:pt idx="769">
                  <c:v>45320</c:v>
                </c:pt>
                <c:pt idx="770">
                  <c:v>45321</c:v>
                </c:pt>
                <c:pt idx="771">
                  <c:v>45322</c:v>
                </c:pt>
                <c:pt idx="772">
                  <c:v>45323</c:v>
                </c:pt>
                <c:pt idx="773">
                  <c:v>45324</c:v>
                </c:pt>
                <c:pt idx="774">
                  <c:v>45327</c:v>
                </c:pt>
                <c:pt idx="775">
                  <c:v>45328</c:v>
                </c:pt>
                <c:pt idx="776">
                  <c:v>45329</c:v>
                </c:pt>
                <c:pt idx="777">
                  <c:v>45330</c:v>
                </c:pt>
                <c:pt idx="778">
                  <c:v>45331</c:v>
                </c:pt>
                <c:pt idx="779">
                  <c:v>45334</c:v>
                </c:pt>
                <c:pt idx="780">
                  <c:v>45335</c:v>
                </c:pt>
                <c:pt idx="781">
                  <c:v>45336</c:v>
                </c:pt>
                <c:pt idx="782">
                  <c:v>45337</c:v>
                </c:pt>
                <c:pt idx="783">
                  <c:v>45338</c:v>
                </c:pt>
                <c:pt idx="784">
                  <c:v>45342</c:v>
                </c:pt>
                <c:pt idx="785">
                  <c:v>45343</c:v>
                </c:pt>
                <c:pt idx="786">
                  <c:v>45344</c:v>
                </c:pt>
                <c:pt idx="787">
                  <c:v>45345</c:v>
                </c:pt>
                <c:pt idx="788">
                  <c:v>45348</c:v>
                </c:pt>
                <c:pt idx="789">
                  <c:v>45349</c:v>
                </c:pt>
                <c:pt idx="790">
                  <c:v>45350</c:v>
                </c:pt>
                <c:pt idx="791">
                  <c:v>45351</c:v>
                </c:pt>
                <c:pt idx="792">
                  <c:v>45352</c:v>
                </c:pt>
                <c:pt idx="793">
                  <c:v>45355</c:v>
                </c:pt>
                <c:pt idx="794">
                  <c:v>45356</c:v>
                </c:pt>
                <c:pt idx="795">
                  <c:v>45357</c:v>
                </c:pt>
                <c:pt idx="796">
                  <c:v>45358</c:v>
                </c:pt>
                <c:pt idx="797">
                  <c:v>45359</c:v>
                </c:pt>
                <c:pt idx="798">
                  <c:v>45362</c:v>
                </c:pt>
                <c:pt idx="799">
                  <c:v>45363</c:v>
                </c:pt>
                <c:pt idx="800">
                  <c:v>45364</c:v>
                </c:pt>
                <c:pt idx="801">
                  <c:v>45365</c:v>
                </c:pt>
                <c:pt idx="802">
                  <c:v>45366</c:v>
                </c:pt>
                <c:pt idx="803">
                  <c:v>45369</c:v>
                </c:pt>
                <c:pt idx="804">
                  <c:v>45370</c:v>
                </c:pt>
                <c:pt idx="805">
                  <c:v>45371</c:v>
                </c:pt>
                <c:pt idx="806">
                  <c:v>45372</c:v>
                </c:pt>
                <c:pt idx="807">
                  <c:v>45373</c:v>
                </c:pt>
                <c:pt idx="808">
                  <c:v>45376</c:v>
                </c:pt>
                <c:pt idx="809">
                  <c:v>45377</c:v>
                </c:pt>
                <c:pt idx="810">
                  <c:v>45378</c:v>
                </c:pt>
                <c:pt idx="811">
                  <c:v>45379</c:v>
                </c:pt>
                <c:pt idx="812">
                  <c:v>45383</c:v>
                </c:pt>
                <c:pt idx="813">
                  <c:v>45384</c:v>
                </c:pt>
                <c:pt idx="814">
                  <c:v>45385</c:v>
                </c:pt>
                <c:pt idx="815">
                  <c:v>45386</c:v>
                </c:pt>
                <c:pt idx="816">
                  <c:v>45387</c:v>
                </c:pt>
                <c:pt idx="817">
                  <c:v>45390</c:v>
                </c:pt>
                <c:pt idx="818">
                  <c:v>45391</c:v>
                </c:pt>
                <c:pt idx="819">
                  <c:v>45392</c:v>
                </c:pt>
                <c:pt idx="820">
                  <c:v>45393</c:v>
                </c:pt>
                <c:pt idx="821">
                  <c:v>45394</c:v>
                </c:pt>
                <c:pt idx="822">
                  <c:v>45397</c:v>
                </c:pt>
                <c:pt idx="823">
                  <c:v>45398</c:v>
                </c:pt>
                <c:pt idx="824">
                  <c:v>45399</c:v>
                </c:pt>
                <c:pt idx="825">
                  <c:v>45400</c:v>
                </c:pt>
                <c:pt idx="826">
                  <c:v>45401</c:v>
                </c:pt>
                <c:pt idx="827">
                  <c:v>45404</c:v>
                </c:pt>
                <c:pt idx="828">
                  <c:v>45405</c:v>
                </c:pt>
                <c:pt idx="829">
                  <c:v>45406</c:v>
                </c:pt>
                <c:pt idx="830">
                  <c:v>45407</c:v>
                </c:pt>
                <c:pt idx="831">
                  <c:v>45408</c:v>
                </c:pt>
                <c:pt idx="832">
                  <c:v>45411</c:v>
                </c:pt>
                <c:pt idx="833">
                  <c:v>45412</c:v>
                </c:pt>
                <c:pt idx="834">
                  <c:v>45413</c:v>
                </c:pt>
                <c:pt idx="835">
                  <c:v>45414</c:v>
                </c:pt>
                <c:pt idx="836">
                  <c:v>45415</c:v>
                </c:pt>
                <c:pt idx="837">
                  <c:v>45418</c:v>
                </c:pt>
                <c:pt idx="838">
                  <c:v>45419</c:v>
                </c:pt>
                <c:pt idx="839">
                  <c:v>45420</c:v>
                </c:pt>
                <c:pt idx="840">
                  <c:v>45421</c:v>
                </c:pt>
                <c:pt idx="841">
                  <c:v>45422</c:v>
                </c:pt>
                <c:pt idx="842">
                  <c:v>45425</c:v>
                </c:pt>
                <c:pt idx="843">
                  <c:v>45426</c:v>
                </c:pt>
                <c:pt idx="844">
                  <c:v>45427</c:v>
                </c:pt>
                <c:pt idx="845">
                  <c:v>45428</c:v>
                </c:pt>
                <c:pt idx="846">
                  <c:v>45429</c:v>
                </c:pt>
                <c:pt idx="847">
                  <c:v>45432</c:v>
                </c:pt>
                <c:pt idx="848">
                  <c:v>45433</c:v>
                </c:pt>
                <c:pt idx="849">
                  <c:v>45434</c:v>
                </c:pt>
                <c:pt idx="850">
                  <c:v>45435</c:v>
                </c:pt>
                <c:pt idx="851">
                  <c:v>45436</c:v>
                </c:pt>
                <c:pt idx="852">
                  <c:v>45440</c:v>
                </c:pt>
                <c:pt idx="853">
                  <c:v>45441</c:v>
                </c:pt>
                <c:pt idx="854">
                  <c:v>45442</c:v>
                </c:pt>
                <c:pt idx="855">
                  <c:v>45443</c:v>
                </c:pt>
                <c:pt idx="856">
                  <c:v>45446</c:v>
                </c:pt>
                <c:pt idx="857">
                  <c:v>45447</c:v>
                </c:pt>
                <c:pt idx="858">
                  <c:v>45448</c:v>
                </c:pt>
                <c:pt idx="859">
                  <c:v>45449</c:v>
                </c:pt>
                <c:pt idx="860">
                  <c:v>45450</c:v>
                </c:pt>
                <c:pt idx="861">
                  <c:v>45453</c:v>
                </c:pt>
                <c:pt idx="862">
                  <c:v>45454</c:v>
                </c:pt>
                <c:pt idx="863">
                  <c:v>45455</c:v>
                </c:pt>
                <c:pt idx="864">
                  <c:v>45456</c:v>
                </c:pt>
                <c:pt idx="865">
                  <c:v>45457</c:v>
                </c:pt>
                <c:pt idx="866">
                  <c:v>45460</c:v>
                </c:pt>
                <c:pt idx="867">
                  <c:v>45461</c:v>
                </c:pt>
                <c:pt idx="868">
                  <c:v>45463</c:v>
                </c:pt>
                <c:pt idx="869">
                  <c:v>45464</c:v>
                </c:pt>
                <c:pt idx="870">
                  <c:v>45467</c:v>
                </c:pt>
                <c:pt idx="871">
                  <c:v>45468</c:v>
                </c:pt>
                <c:pt idx="872">
                  <c:v>45469</c:v>
                </c:pt>
                <c:pt idx="873">
                  <c:v>45470</c:v>
                </c:pt>
                <c:pt idx="874">
                  <c:v>45471</c:v>
                </c:pt>
                <c:pt idx="875">
                  <c:v>45474</c:v>
                </c:pt>
                <c:pt idx="876">
                  <c:v>45475</c:v>
                </c:pt>
                <c:pt idx="877">
                  <c:v>45476</c:v>
                </c:pt>
                <c:pt idx="878">
                  <c:v>45478</c:v>
                </c:pt>
                <c:pt idx="879">
                  <c:v>45481</c:v>
                </c:pt>
                <c:pt idx="880">
                  <c:v>45482</c:v>
                </c:pt>
                <c:pt idx="881">
                  <c:v>45483</c:v>
                </c:pt>
                <c:pt idx="882">
                  <c:v>45484</c:v>
                </c:pt>
                <c:pt idx="883">
                  <c:v>45485</c:v>
                </c:pt>
                <c:pt idx="884">
                  <c:v>45488</c:v>
                </c:pt>
                <c:pt idx="885">
                  <c:v>45489</c:v>
                </c:pt>
                <c:pt idx="886">
                  <c:v>45490</c:v>
                </c:pt>
                <c:pt idx="887">
                  <c:v>45491</c:v>
                </c:pt>
                <c:pt idx="888">
                  <c:v>45492</c:v>
                </c:pt>
                <c:pt idx="889">
                  <c:v>45495</c:v>
                </c:pt>
                <c:pt idx="890">
                  <c:v>45496</c:v>
                </c:pt>
                <c:pt idx="891">
                  <c:v>45497</c:v>
                </c:pt>
                <c:pt idx="892">
                  <c:v>45498</c:v>
                </c:pt>
                <c:pt idx="893">
                  <c:v>45499</c:v>
                </c:pt>
                <c:pt idx="894">
                  <c:v>45502</c:v>
                </c:pt>
                <c:pt idx="895">
                  <c:v>45503</c:v>
                </c:pt>
                <c:pt idx="896">
                  <c:v>45504</c:v>
                </c:pt>
                <c:pt idx="897">
                  <c:v>45505</c:v>
                </c:pt>
                <c:pt idx="898">
                  <c:v>45506</c:v>
                </c:pt>
                <c:pt idx="899">
                  <c:v>45509</c:v>
                </c:pt>
                <c:pt idx="900">
                  <c:v>45510</c:v>
                </c:pt>
                <c:pt idx="901">
                  <c:v>45511</c:v>
                </c:pt>
                <c:pt idx="902">
                  <c:v>45512</c:v>
                </c:pt>
                <c:pt idx="903">
                  <c:v>45513</c:v>
                </c:pt>
                <c:pt idx="904">
                  <c:v>45516</c:v>
                </c:pt>
                <c:pt idx="905">
                  <c:v>45517</c:v>
                </c:pt>
                <c:pt idx="906">
                  <c:v>45518</c:v>
                </c:pt>
                <c:pt idx="907">
                  <c:v>45519</c:v>
                </c:pt>
                <c:pt idx="908">
                  <c:v>45520</c:v>
                </c:pt>
                <c:pt idx="909">
                  <c:v>45523</c:v>
                </c:pt>
                <c:pt idx="910">
                  <c:v>45524</c:v>
                </c:pt>
                <c:pt idx="911">
                  <c:v>45525</c:v>
                </c:pt>
                <c:pt idx="912">
                  <c:v>45526</c:v>
                </c:pt>
                <c:pt idx="913">
                  <c:v>45527</c:v>
                </c:pt>
                <c:pt idx="914">
                  <c:v>45530</c:v>
                </c:pt>
                <c:pt idx="915">
                  <c:v>45531</c:v>
                </c:pt>
                <c:pt idx="916">
                  <c:v>45532</c:v>
                </c:pt>
                <c:pt idx="917">
                  <c:v>45533</c:v>
                </c:pt>
                <c:pt idx="918">
                  <c:v>45534</c:v>
                </c:pt>
                <c:pt idx="919">
                  <c:v>45538</c:v>
                </c:pt>
                <c:pt idx="920">
                  <c:v>45539</c:v>
                </c:pt>
                <c:pt idx="921">
                  <c:v>45540</c:v>
                </c:pt>
                <c:pt idx="922">
                  <c:v>45541</c:v>
                </c:pt>
                <c:pt idx="923">
                  <c:v>45544</c:v>
                </c:pt>
                <c:pt idx="924">
                  <c:v>45545</c:v>
                </c:pt>
                <c:pt idx="925">
                  <c:v>45546</c:v>
                </c:pt>
                <c:pt idx="926">
                  <c:v>45547</c:v>
                </c:pt>
                <c:pt idx="927">
                  <c:v>45548</c:v>
                </c:pt>
                <c:pt idx="928">
                  <c:v>45551</c:v>
                </c:pt>
                <c:pt idx="929">
                  <c:v>45552</c:v>
                </c:pt>
                <c:pt idx="930">
                  <c:v>45553</c:v>
                </c:pt>
                <c:pt idx="931">
                  <c:v>45554</c:v>
                </c:pt>
                <c:pt idx="932">
                  <c:v>45555</c:v>
                </c:pt>
                <c:pt idx="933">
                  <c:v>45558</c:v>
                </c:pt>
                <c:pt idx="934">
                  <c:v>45559</c:v>
                </c:pt>
                <c:pt idx="935">
                  <c:v>45560</c:v>
                </c:pt>
                <c:pt idx="936">
                  <c:v>45561</c:v>
                </c:pt>
                <c:pt idx="937">
                  <c:v>45562</c:v>
                </c:pt>
                <c:pt idx="938">
                  <c:v>45565</c:v>
                </c:pt>
                <c:pt idx="939">
                  <c:v>45566</c:v>
                </c:pt>
                <c:pt idx="940">
                  <c:v>45567</c:v>
                </c:pt>
                <c:pt idx="941">
                  <c:v>45568</c:v>
                </c:pt>
                <c:pt idx="942">
                  <c:v>45569</c:v>
                </c:pt>
                <c:pt idx="943">
                  <c:v>45572</c:v>
                </c:pt>
                <c:pt idx="944">
                  <c:v>45573</c:v>
                </c:pt>
                <c:pt idx="945">
                  <c:v>45574</c:v>
                </c:pt>
                <c:pt idx="946">
                  <c:v>45575</c:v>
                </c:pt>
                <c:pt idx="947">
                  <c:v>45576</c:v>
                </c:pt>
                <c:pt idx="948">
                  <c:v>45580</c:v>
                </c:pt>
                <c:pt idx="949">
                  <c:v>45581</c:v>
                </c:pt>
                <c:pt idx="950">
                  <c:v>45582</c:v>
                </c:pt>
                <c:pt idx="951">
                  <c:v>45583</c:v>
                </c:pt>
                <c:pt idx="952">
                  <c:v>45586</c:v>
                </c:pt>
                <c:pt idx="953">
                  <c:v>45587</c:v>
                </c:pt>
                <c:pt idx="954">
                  <c:v>45588</c:v>
                </c:pt>
                <c:pt idx="955">
                  <c:v>45589</c:v>
                </c:pt>
                <c:pt idx="956">
                  <c:v>45590</c:v>
                </c:pt>
                <c:pt idx="957">
                  <c:v>45593</c:v>
                </c:pt>
                <c:pt idx="958">
                  <c:v>45594</c:v>
                </c:pt>
                <c:pt idx="959">
                  <c:v>45595</c:v>
                </c:pt>
                <c:pt idx="960">
                  <c:v>45596</c:v>
                </c:pt>
                <c:pt idx="961">
                  <c:v>45597</c:v>
                </c:pt>
                <c:pt idx="962">
                  <c:v>45600</c:v>
                </c:pt>
                <c:pt idx="963">
                  <c:v>45601</c:v>
                </c:pt>
                <c:pt idx="964">
                  <c:v>45602</c:v>
                </c:pt>
                <c:pt idx="965">
                  <c:v>45603</c:v>
                </c:pt>
                <c:pt idx="966">
                  <c:v>45604</c:v>
                </c:pt>
                <c:pt idx="967">
                  <c:v>45608</c:v>
                </c:pt>
                <c:pt idx="968">
                  <c:v>45609</c:v>
                </c:pt>
                <c:pt idx="969">
                  <c:v>45610</c:v>
                </c:pt>
                <c:pt idx="970">
                  <c:v>45611</c:v>
                </c:pt>
                <c:pt idx="971">
                  <c:v>45614</c:v>
                </c:pt>
                <c:pt idx="972">
                  <c:v>45615</c:v>
                </c:pt>
                <c:pt idx="973">
                  <c:v>45616</c:v>
                </c:pt>
                <c:pt idx="974">
                  <c:v>45617</c:v>
                </c:pt>
                <c:pt idx="975">
                  <c:v>45618</c:v>
                </c:pt>
                <c:pt idx="976">
                  <c:v>45621</c:v>
                </c:pt>
                <c:pt idx="977">
                  <c:v>45622</c:v>
                </c:pt>
                <c:pt idx="978">
                  <c:v>45623</c:v>
                </c:pt>
                <c:pt idx="979">
                  <c:v>45625</c:v>
                </c:pt>
                <c:pt idx="980">
                  <c:v>45628</c:v>
                </c:pt>
                <c:pt idx="981">
                  <c:v>45629</c:v>
                </c:pt>
                <c:pt idx="982">
                  <c:v>45630</c:v>
                </c:pt>
                <c:pt idx="983">
                  <c:v>45631</c:v>
                </c:pt>
                <c:pt idx="984">
                  <c:v>45632</c:v>
                </c:pt>
                <c:pt idx="985">
                  <c:v>45635</c:v>
                </c:pt>
                <c:pt idx="986">
                  <c:v>45636</c:v>
                </c:pt>
                <c:pt idx="987">
                  <c:v>45637</c:v>
                </c:pt>
                <c:pt idx="988">
                  <c:v>45638</c:v>
                </c:pt>
                <c:pt idx="989">
                  <c:v>45639</c:v>
                </c:pt>
                <c:pt idx="990">
                  <c:v>45642</c:v>
                </c:pt>
                <c:pt idx="991">
                  <c:v>45643</c:v>
                </c:pt>
                <c:pt idx="992">
                  <c:v>45644</c:v>
                </c:pt>
                <c:pt idx="993">
                  <c:v>45645</c:v>
                </c:pt>
                <c:pt idx="994">
                  <c:v>45646</c:v>
                </c:pt>
                <c:pt idx="995">
                  <c:v>45649</c:v>
                </c:pt>
                <c:pt idx="996">
                  <c:v>45650</c:v>
                </c:pt>
                <c:pt idx="997">
                  <c:v>45652</c:v>
                </c:pt>
                <c:pt idx="998">
                  <c:v>45653</c:v>
                </c:pt>
                <c:pt idx="999">
                  <c:v>45656</c:v>
                </c:pt>
                <c:pt idx="1000">
                  <c:v>45657</c:v>
                </c:pt>
              </c:numCache>
            </c:numRef>
          </c:cat>
          <c:val>
            <c:numRef>
              <c:f>Data!$S$1287:$S$2287</c:f>
              <c:numCache>
                <c:formatCode>0.00%</c:formatCode>
                <c:ptCount val="1001"/>
                <c:pt idx="0">
                  <c:v>3.5999999999999999E-3</c:v>
                </c:pt>
                <c:pt idx="1">
                  <c:v>3.5999999999999999E-3</c:v>
                </c:pt>
                <c:pt idx="2">
                  <c:v>3.8E-3</c:v>
                </c:pt>
                <c:pt idx="3">
                  <c:v>4.3E-3</c:v>
                </c:pt>
                <c:pt idx="4">
                  <c:v>4.5999999999999999E-3</c:v>
                </c:pt>
                <c:pt idx="5">
                  <c:v>4.8999999999999998E-3</c:v>
                </c:pt>
                <c:pt idx="6">
                  <c:v>5.0000000000000001E-3</c:v>
                </c:pt>
                <c:pt idx="7">
                  <c:v>5.0000000000000001E-3</c:v>
                </c:pt>
                <c:pt idx="8">
                  <c:v>4.7999999999999996E-3</c:v>
                </c:pt>
                <c:pt idx="9">
                  <c:v>4.8999999999999998E-3</c:v>
                </c:pt>
                <c:pt idx="10">
                  <c:v>4.5999999999999999E-3</c:v>
                </c:pt>
                <c:pt idx="11">
                  <c:v>4.5000000000000005E-3</c:v>
                </c:pt>
                <c:pt idx="12">
                  <c:v>4.5000000000000005E-3</c:v>
                </c:pt>
                <c:pt idx="13">
                  <c:v>4.5000000000000005E-3</c:v>
                </c:pt>
                <c:pt idx="14">
                  <c:v>4.4000000000000003E-3</c:v>
                </c:pt>
                <c:pt idx="15">
                  <c:v>4.1999999999999997E-3</c:v>
                </c:pt>
                <c:pt idx="16">
                  <c:v>4.1999999999999997E-3</c:v>
                </c:pt>
                <c:pt idx="17">
                  <c:v>4.0999999999999995E-3</c:v>
                </c:pt>
                <c:pt idx="18">
                  <c:v>4.1999999999999997E-3</c:v>
                </c:pt>
                <c:pt idx="19">
                  <c:v>4.5000000000000005E-3</c:v>
                </c:pt>
                <c:pt idx="20">
                  <c:v>4.1999999999999997E-3</c:v>
                </c:pt>
                <c:pt idx="21">
                  <c:v>4.5000000000000005E-3</c:v>
                </c:pt>
                <c:pt idx="22">
                  <c:v>4.5999999999999999E-3</c:v>
                </c:pt>
                <c:pt idx="23">
                  <c:v>4.5999999999999999E-3</c:v>
                </c:pt>
                <c:pt idx="24">
                  <c:v>4.6999999999999993E-3</c:v>
                </c:pt>
                <c:pt idx="25">
                  <c:v>4.7999999999999996E-3</c:v>
                </c:pt>
                <c:pt idx="26">
                  <c:v>4.7999999999999996E-3</c:v>
                </c:pt>
                <c:pt idx="27">
                  <c:v>4.5999999999999999E-3</c:v>
                </c:pt>
                <c:pt idx="28">
                  <c:v>4.5999999999999999E-3</c:v>
                </c:pt>
                <c:pt idx="29">
                  <c:v>5.0000000000000001E-3</c:v>
                </c:pt>
                <c:pt idx="30">
                  <c:v>5.6999999999999993E-3</c:v>
                </c:pt>
                <c:pt idx="31">
                  <c:v>5.6999999999999993E-3</c:v>
                </c:pt>
                <c:pt idx="32">
                  <c:v>5.6000000000000008E-3</c:v>
                </c:pt>
                <c:pt idx="33">
                  <c:v>5.8999999999999999E-3</c:v>
                </c:pt>
                <c:pt idx="34">
                  <c:v>6.0999999999999995E-3</c:v>
                </c:pt>
                <c:pt idx="35">
                  <c:v>5.8999999999999999E-3</c:v>
                </c:pt>
                <c:pt idx="36">
                  <c:v>6.1999999999999998E-3</c:v>
                </c:pt>
                <c:pt idx="37">
                  <c:v>8.1000000000000013E-3</c:v>
                </c:pt>
                <c:pt idx="38">
                  <c:v>7.4999999999999997E-3</c:v>
                </c:pt>
                <c:pt idx="39">
                  <c:v>7.0999999999999995E-3</c:v>
                </c:pt>
                <c:pt idx="40">
                  <c:v>6.7000000000000002E-3</c:v>
                </c:pt>
                <c:pt idx="41">
                  <c:v>7.3000000000000001E-3</c:v>
                </c:pt>
                <c:pt idx="42">
                  <c:v>7.7000000000000002E-3</c:v>
                </c:pt>
                <c:pt idx="43">
                  <c:v>7.9000000000000008E-3</c:v>
                </c:pt>
                <c:pt idx="44">
                  <c:v>8.6E-3</c:v>
                </c:pt>
                <c:pt idx="45">
                  <c:v>8.3000000000000001E-3</c:v>
                </c:pt>
                <c:pt idx="46">
                  <c:v>8.0000000000000002E-3</c:v>
                </c:pt>
                <c:pt idx="47">
                  <c:v>7.8000000000000005E-3</c:v>
                </c:pt>
                <c:pt idx="48">
                  <c:v>8.5000000000000006E-3</c:v>
                </c:pt>
                <c:pt idx="49">
                  <c:v>8.3999999999999995E-3</c:v>
                </c:pt>
                <c:pt idx="50">
                  <c:v>8.3000000000000001E-3</c:v>
                </c:pt>
                <c:pt idx="51">
                  <c:v>8.0000000000000002E-3</c:v>
                </c:pt>
                <c:pt idx="52">
                  <c:v>8.6E-3</c:v>
                </c:pt>
                <c:pt idx="53">
                  <c:v>9.0000000000000011E-3</c:v>
                </c:pt>
                <c:pt idx="54">
                  <c:v>8.6999999999999994E-3</c:v>
                </c:pt>
                <c:pt idx="55">
                  <c:v>8.3000000000000001E-3</c:v>
                </c:pt>
                <c:pt idx="56">
                  <c:v>8.3000000000000001E-3</c:v>
                </c:pt>
                <c:pt idx="57">
                  <c:v>8.199999999999999E-3</c:v>
                </c:pt>
                <c:pt idx="58">
                  <c:v>8.5000000000000006E-3</c:v>
                </c:pt>
                <c:pt idx="59">
                  <c:v>8.8999999999999999E-3</c:v>
                </c:pt>
                <c:pt idx="60">
                  <c:v>9.0000000000000011E-3</c:v>
                </c:pt>
                <c:pt idx="61">
                  <c:v>9.1999999999999998E-3</c:v>
                </c:pt>
                <c:pt idx="62">
                  <c:v>9.0000000000000011E-3</c:v>
                </c:pt>
                <c:pt idx="63">
                  <c:v>9.7000000000000003E-3</c:v>
                </c:pt>
                <c:pt idx="64">
                  <c:v>9.3999999999999986E-3</c:v>
                </c:pt>
                <c:pt idx="65">
                  <c:v>8.8000000000000005E-3</c:v>
                </c:pt>
                <c:pt idx="66">
                  <c:v>8.6999999999999994E-3</c:v>
                </c:pt>
                <c:pt idx="67">
                  <c:v>8.5000000000000006E-3</c:v>
                </c:pt>
                <c:pt idx="68">
                  <c:v>8.6999999999999994E-3</c:v>
                </c:pt>
                <c:pt idx="69">
                  <c:v>8.8999999999999999E-3</c:v>
                </c:pt>
                <c:pt idx="70">
                  <c:v>8.5000000000000006E-3</c:v>
                </c:pt>
                <c:pt idx="71">
                  <c:v>8.6999999999999994E-3</c:v>
                </c:pt>
                <c:pt idx="72">
                  <c:v>8.1000000000000013E-3</c:v>
                </c:pt>
                <c:pt idx="73">
                  <c:v>8.3999999999999995E-3</c:v>
                </c:pt>
                <c:pt idx="74">
                  <c:v>8.5000000000000006E-3</c:v>
                </c:pt>
                <c:pt idx="75">
                  <c:v>8.1000000000000013E-3</c:v>
                </c:pt>
                <c:pt idx="76">
                  <c:v>8.1000000000000013E-3</c:v>
                </c:pt>
                <c:pt idx="77">
                  <c:v>8.1000000000000013E-3</c:v>
                </c:pt>
                <c:pt idx="78">
                  <c:v>8.3000000000000001E-3</c:v>
                </c:pt>
                <c:pt idx="79">
                  <c:v>8.5000000000000006E-3</c:v>
                </c:pt>
                <c:pt idx="80">
                  <c:v>8.8000000000000005E-3</c:v>
                </c:pt>
                <c:pt idx="81">
                  <c:v>8.6E-3</c:v>
                </c:pt>
                <c:pt idx="82">
                  <c:v>8.6E-3</c:v>
                </c:pt>
                <c:pt idx="83">
                  <c:v>8.6E-3</c:v>
                </c:pt>
                <c:pt idx="84">
                  <c:v>8.3999999999999995E-3</c:v>
                </c:pt>
                <c:pt idx="85">
                  <c:v>8.199999999999999E-3</c:v>
                </c:pt>
                <c:pt idx="86">
                  <c:v>8.0000000000000002E-3</c:v>
                </c:pt>
                <c:pt idx="87">
                  <c:v>8.1000000000000013E-3</c:v>
                </c:pt>
                <c:pt idx="88">
                  <c:v>7.7000000000000002E-3</c:v>
                </c:pt>
                <c:pt idx="89">
                  <c:v>8.0000000000000002E-3</c:v>
                </c:pt>
                <c:pt idx="90">
                  <c:v>8.0000000000000002E-3</c:v>
                </c:pt>
                <c:pt idx="91">
                  <c:v>8.6999999999999994E-3</c:v>
                </c:pt>
                <c:pt idx="92">
                  <c:v>8.3999999999999995E-3</c:v>
                </c:pt>
                <c:pt idx="93">
                  <c:v>8.199999999999999E-3</c:v>
                </c:pt>
                <c:pt idx="94">
                  <c:v>8.3999999999999995E-3</c:v>
                </c:pt>
                <c:pt idx="95">
                  <c:v>8.3000000000000001E-3</c:v>
                </c:pt>
                <c:pt idx="96">
                  <c:v>8.6999999999999994E-3</c:v>
                </c:pt>
                <c:pt idx="97">
                  <c:v>8.3000000000000001E-3</c:v>
                </c:pt>
                <c:pt idx="98">
                  <c:v>8.3999999999999995E-3</c:v>
                </c:pt>
                <c:pt idx="99">
                  <c:v>8.199999999999999E-3</c:v>
                </c:pt>
                <c:pt idx="100">
                  <c:v>7.9000000000000008E-3</c:v>
                </c:pt>
                <c:pt idx="101">
                  <c:v>8.0000000000000002E-3</c:v>
                </c:pt>
                <c:pt idx="102">
                  <c:v>8.1000000000000013E-3</c:v>
                </c:pt>
                <c:pt idx="103">
                  <c:v>7.9000000000000008E-3</c:v>
                </c:pt>
                <c:pt idx="104">
                  <c:v>8.1000000000000013E-3</c:v>
                </c:pt>
                <c:pt idx="105">
                  <c:v>8.0000000000000002E-3</c:v>
                </c:pt>
                <c:pt idx="106">
                  <c:v>8.3999999999999995E-3</c:v>
                </c:pt>
                <c:pt idx="107">
                  <c:v>7.8000000000000005E-3</c:v>
                </c:pt>
                <c:pt idx="108">
                  <c:v>7.9000000000000008E-3</c:v>
                </c:pt>
                <c:pt idx="109">
                  <c:v>7.7000000000000002E-3</c:v>
                </c:pt>
                <c:pt idx="110">
                  <c:v>7.4999999999999997E-3</c:v>
                </c:pt>
                <c:pt idx="111">
                  <c:v>7.3000000000000001E-3</c:v>
                </c:pt>
                <c:pt idx="112">
                  <c:v>7.6E-3</c:v>
                </c:pt>
                <c:pt idx="113">
                  <c:v>8.0000000000000002E-3</c:v>
                </c:pt>
                <c:pt idx="114">
                  <c:v>7.9000000000000008E-3</c:v>
                </c:pt>
                <c:pt idx="115">
                  <c:v>8.8999999999999999E-3</c:v>
                </c:pt>
                <c:pt idx="116">
                  <c:v>9.0000000000000011E-3</c:v>
                </c:pt>
                <c:pt idx="117">
                  <c:v>8.8999999999999999E-3</c:v>
                </c:pt>
                <c:pt idx="118">
                  <c:v>9.0000000000000011E-3</c:v>
                </c:pt>
                <c:pt idx="119">
                  <c:v>8.6999999999999994E-3</c:v>
                </c:pt>
                <c:pt idx="120">
                  <c:v>9.0000000000000011E-3</c:v>
                </c:pt>
                <c:pt idx="121">
                  <c:v>9.0000000000000011E-3</c:v>
                </c:pt>
                <c:pt idx="122">
                  <c:v>9.1999999999999998E-3</c:v>
                </c:pt>
                <c:pt idx="123">
                  <c:v>9.0000000000000011E-3</c:v>
                </c:pt>
                <c:pt idx="124">
                  <c:v>8.8999999999999999E-3</c:v>
                </c:pt>
                <c:pt idx="125">
                  <c:v>8.6999999999999994E-3</c:v>
                </c:pt>
                <c:pt idx="126">
                  <c:v>8.8999999999999999E-3</c:v>
                </c:pt>
                <c:pt idx="127">
                  <c:v>8.6E-3</c:v>
                </c:pt>
                <c:pt idx="128">
                  <c:v>8.1000000000000013E-3</c:v>
                </c:pt>
                <c:pt idx="129">
                  <c:v>7.9000000000000008E-3</c:v>
                </c:pt>
                <c:pt idx="130">
                  <c:v>7.4000000000000003E-3</c:v>
                </c:pt>
                <c:pt idx="131">
                  <c:v>7.9000000000000008E-3</c:v>
                </c:pt>
                <c:pt idx="132">
                  <c:v>8.1000000000000013E-3</c:v>
                </c:pt>
                <c:pt idx="133">
                  <c:v>8.5000000000000006E-3</c:v>
                </c:pt>
                <c:pt idx="134">
                  <c:v>8.0000000000000002E-3</c:v>
                </c:pt>
                <c:pt idx="135">
                  <c:v>7.8000000000000005E-3</c:v>
                </c:pt>
                <c:pt idx="136">
                  <c:v>7.9000000000000008E-3</c:v>
                </c:pt>
                <c:pt idx="137">
                  <c:v>6.9999999999999993E-3</c:v>
                </c:pt>
                <c:pt idx="138">
                  <c:v>6.8999999999999999E-3</c:v>
                </c:pt>
                <c:pt idx="139">
                  <c:v>7.4000000000000003E-3</c:v>
                </c:pt>
                <c:pt idx="140">
                  <c:v>7.0999999999999995E-3</c:v>
                </c:pt>
                <c:pt idx="141">
                  <c:v>7.1999999999999998E-3</c:v>
                </c:pt>
                <c:pt idx="142">
                  <c:v>7.3000000000000001E-3</c:v>
                </c:pt>
                <c:pt idx="143">
                  <c:v>7.0999999999999995E-3</c:v>
                </c:pt>
                <c:pt idx="144">
                  <c:v>7.1999999999999998E-3</c:v>
                </c:pt>
                <c:pt idx="145">
                  <c:v>7.3000000000000001E-3</c:v>
                </c:pt>
                <c:pt idx="146">
                  <c:v>6.8999999999999999E-3</c:v>
                </c:pt>
                <c:pt idx="147">
                  <c:v>6.6E-3</c:v>
                </c:pt>
                <c:pt idx="148">
                  <c:v>6.5000000000000006E-3</c:v>
                </c:pt>
                <c:pt idx="149">
                  <c:v>6.7000000000000002E-3</c:v>
                </c:pt>
                <c:pt idx="150">
                  <c:v>7.1999999999999998E-3</c:v>
                </c:pt>
                <c:pt idx="151">
                  <c:v>7.7000000000000002E-3</c:v>
                </c:pt>
                <c:pt idx="152">
                  <c:v>7.9000000000000008E-3</c:v>
                </c:pt>
                <c:pt idx="153">
                  <c:v>8.199999999999999E-3</c:v>
                </c:pt>
                <c:pt idx="154">
                  <c:v>8.1000000000000013E-3</c:v>
                </c:pt>
                <c:pt idx="155">
                  <c:v>8.3000000000000001E-3</c:v>
                </c:pt>
                <c:pt idx="156">
                  <c:v>7.9000000000000008E-3</c:v>
                </c:pt>
                <c:pt idx="157">
                  <c:v>7.4999999999999997E-3</c:v>
                </c:pt>
                <c:pt idx="158">
                  <c:v>7.7000000000000002E-3</c:v>
                </c:pt>
                <c:pt idx="159">
                  <c:v>7.9000000000000008E-3</c:v>
                </c:pt>
                <c:pt idx="160">
                  <c:v>7.8000000000000005E-3</c:v>
                </c:pt>
                <c:pt idx="161">
                  <c:v>8.0000000000000002E-3</c:v>
                </c:pt>
                <c:pt idx="162">
                  <c:v>7.8000000000000005E-3</c:v>
                </c:pt>
                <c:pt idx="163">
                  <c:v>8.0000000000000002E-3</c:v>
                </c:pt>
                <c:pt idx="164">
                  <c:v>8.3999999999999995E-3</c:v>
                </c:pt>
                <c:pt idx="165">
                  <c:v>8.3999999999999995E-3</c:v>
                </c:pt>
                <c:pt idx="166">
                  <c:v>7.9000000000000008E-3</c:v>
                </c:pt>
                <c:pt idx="167">
                  <c:v>7.7000000000000002E-3</c:v>
                </c:pt>
                <c:pt idx="168">
                  <c:v>7.7000000000000002E-3</c:v>
                </c:pt>
                <c:pt idx="169">
                  <c:v>7.8000000000000005E-3</c:v>
                </c:pt>
                <c:pt idx="170">
                  <c:v>7.8000000000000005E-3</c:v>
                </c:pt>
                <c:pt idx="171">
                  <c:v>7.8000000000000005E-3</c:v>
                </c:pt>
                <c:pt idx="172">
                  <c:v>8.199999999999999E-3</c:v>
                </c:pt>
                <c:pt idx="173">
                  <c:v>8.1000000000000013E-3</c:v>
                </c:pt>
                <c:pt idx="174">
                  <c:v>7.9000000000000008E-3</c:v>
                </c:pt>
                <c:pt idx="175">
                  <c:v>8.199999999999999E-3</c:v>
                </c:pt>
                <c:pt idx="176">
                  <c:v>8.1000000000000013E-3</c:v>
                </c:pt>
                <c:pt idx="177">
                  <c:v>7.9000000000000008E-3</c:v>
                </c:pt>
                <c:pt idx="178">
                  <c:v>8.1000000000000013E-3</c:v>
                </c:pt>
                <c:pt idx="179">
                  <c:v>8.3999999999999995E-3</c:v>
                </c:pt>
                <c:pt idx="180">
                  <c:v>8.8000000000000005E-3</c:v>
                </c:pt>
                <c:pt idx="181">
                  <c:v>8.3000000000000001E-3</c:v>
                </c:pt>
                <c:pt idx="182">
                  <c:v>8.3999999999999995E-3</c:v>
                </c:pt>
                <c:pt idx="183">
                  <c:v>8.6E-3</c:v>
                </c:pt>
                <c:pt idx="184">
                  <c:v>9.3999999999999986E-3</c:v>
                </c:pt>
                <c:pt idx="185">
                  <c:v>9.7000000000000003E-3</c:v>
                </c:pt>
                <c:pt idx="186">
                  <c:v>9.7999999999999997E-3</c:v>
                </c:pt>
                <c:pt idx="187">
                  <c:v>1.0200000000000001E-2</c:v>
                </c:pt>
                <c:pt idx="188">
                  <c:v>1.01E-2</c:v>
                </c:pt>
                <c:pt idx="189">
                  <c:v>9.7999999999999997E-3</c:v>
                </c:pt>
                <c:pt idx="190">
                  <c:v>9.300000000000001E-3</c:v>
                </c:pt>
                <c:pt idx="191">
                  <c:v>9.4999999999999998E-3</c:v>
                </c:pt>
                <c:pt idx="192">
                  <c:v>9.7999999999999997E-3</c:v>
                </c:pt>
                <c:pt idx="193">
                  <c:v>9.8999999999999991E-3</c:v>
                </c:pt>
                <c:pt idx="194">
                  <c:v>1.0200000000000001E-2</c:v>
                </c:pt>
                <c:pt idx="195">
                  <c:v>1.0500000000000001E-2</c:v>
                </c:pt>
                <c:pt idx="196">
                  <c:v>1.0800000000000001E-2</c:v>
                </c:pt>
                <c:pt idx="197">
                  <c:v>1.09E-2</c:v>
                </c:pt>
                <c:pt idx="198">
                  <c:v>1.0500000000000001E-2</c:v>
                </c:pt>
                <c:pt idx="199">
                  <c:v>1.1299999999999999E-2</c:v>
                </c:pt>
                <c:pt idx="200">
                  <c:v>1.1599999999999999E-2</c:v>
                </c:pt>
                <c:pt idx="201">
                  <c:v>1.1699999999999999E-2</c:v>
                </c:pt>
                <c:pt idx="202">
                  <c:v>1.1599999999999999E-2</c:v>
                </c:pt>
                <c:pt idx="203">
                  <c:v>1.23E-2</c:v>
                </c:pt>
                <c:pt idx="204">
                  <c:v>1.2199999999999999E-2</c:v>
                </c:pt>
                <c:pt idx="205">
                  <c:v>1.1899999999999999E-2</c:v>
                </c:pt>
                <c:pt idx="206">
                  <c:v>1.2E-2</c:v>
                </c:pt>
                <c:pt idx="207">
                  <c:v>1.1599999999999999E-2</c:v>
                </c:pt>
                <c:pt idx="208">
                  <c:v>1.18E-2</c:v>
                </c:pt>
                <c:pt idx="209">
                  <c:v>1.18E-2</c:v>
                </c:pt>
                <c:pt idx="210">
                  <c:v>1.2E-2</c:v>
                </c:pt>
                <c:pt idx="211">
                  <c:v>1.15E-2</c:v>
                </c:pt>
                <c:pt idx="212">
                  <c:v>1.1899999999999999E-2</c:v>
                </c:pt>
                <c:pt idx="213">
                  <c:v>1.1000000000000001E-2</c:v>
                </c:pt>
                <c:pt idx="214">
                  <c:v>1.04E-2</c:v>
                </c:pt>
                <c:pt idx="215">
                  <c:v>1.1299999999999999E-2</c:v>
                </c:pt>
                <c:pt idx="216">
                  <c:v>1.0800000000000001E-2</c:v>
                </c:pt>
                <c:pt idx="217">
                  <c:v>1.23E-2</c:v>
                </c:pt>
                <c:pt idx="218">
                  <c:v>1.24E-2</c:v>
                </c:pt>
                <c:pt idx="219">
                  <c:v>1.26E-2</c:v>
                </c:pt>
                <c:pt idx="220">
                  <c:v>1.2699999999999999E-2</c:v>
                </c:pt>
                <c:pt idx="221">
                  <c:v>1.24E-2</c:v>
                </c:pt>
                <c:pt idx="222">
                  <c:v>1.2199999999999999E-2</c:v>
                </c:pt>
                <c:pt idx="223">
                  <c:v>1.2199999999999999E-2</c:v>
                </c:pt>
                <c:pt idx="224">
                  <c:v>1.3300000000000001E-2</c:v>
                </c:pt>
                <c:pt idx="225">
                  <c:v>1.3300000000000001E-2</c:v>
                </c:pt>
                <c:pt idx="226">
                  <c:v>1.34E-2</c:v>
                </c:pt>
                <c:pt idx="227">
                  <c:v>1.1599999999999999E-2</c:v>
                </c:pt>
                <c:pt idx="228">
                  <c:v>1.18E-2</c:v>
                </c:pt>
                <c:pt idx="229">
                  <c:v>1.1399999999999999E-2</c:v>
                </c:pt>
                <c:pt idx="230">
                  <c:v>1.15E-2</c:v>
                </c:pt>
                <c:pt idx="231">
                  <c:v>1.21E-2</c:v>
                </c:pt>
                <c:pt idx="232">
                  <c:v>1.1299999999999999E-2</c:v>
                </c:pt>
                <c:pt idx="233">
                  <c:v>1.21E-2</c:v>
                </c:pt>
                <c:pt idx="234">
                  <c:v>1.26E-2</c:v>
                </c:pt>
                <c:pt idx="235">
                  <c:v>1.2699999999999999E-2</c:v>
                </c:pt>
                <c:pt idx="236">
                  <c:v>1.26E-2</c:v>
                </c:pt>
                <c:pt idx="237">
                  <c:v>1.2500000000000001E-2</c:v>
                </c:pt>
                <c:pt idx="238">
                  <c:v>1.21E-2</c:v>
                </c:pt>
                <c:pt idx="239">
                  <c:v>1.23E-2</c:v>
                </c:pt>
                <c:pt idx="240">
                  <c:v>1.26E-2</c:v>
                </c:pt>
                <c:pt idx="241">
                  <c:v>1.1899999999999999E-2</c:v>
                </c:pt>
                <c:pt idx="242">
                  <c:v>1.18E-2</c:v>
                </c:pt>
                <c:pt idx="243">
                  <c:v>1.1699999999999999E-2</c:v>
                </c:pt>
                <c:pt idx="244">
                  <c:v>1.24E-2</c:v>
                </c:pt>
                <c:pt idx="245">
                  <c:v>1.23E-2</c:v>
                </c:pt>
                <c:pt idx="246">
                  <c:v>1.2500000000000001E-2</c:v>
                </c:pt>
                <c:pt idx="247">
                  <c:v>1.26E-2</c:v>
                </c:pt>
                <c:pt idx="248">
                  <c:v>1.2699999999999999E-2</c:v>
                </c:pt>
                <c:pt idx="249">
                  <c:v>1.29E-2</c:v>
                </c:pt>
                <c:pt idx="250">
                  <c:v>1.2699999999999999E-2</c:v>
                </c:pt>
                <c:pt idx="251">
                  <c:v>1.26E-2</c:v>
                </c:pt>
                <c:pt idx="252">
                  <c:v>1.37E-2</c:v>
                </c:pt>
                <c:pt idx="253">
                  <c:v>1.37E-2</c:v>
                </c:pt>
                <c:pt idx="254">
                  <c:v>1.43E-2</c:v>
                </c:pt>
                <c:pt idx="255">
                  <c:v>1.47E-2</c:v>
                </c:pt>
                <c:pt idx="256">
                  <c:v>1.4999999999999999E-2</c:v>
                </c:pt>
                <c:pt idx="257">
                  <c:v>1.5300000000000001E-2</c:v>
                </c:pt>
                <c:pt idx="258">
                  <c:v>1.5100000000000001E-2</c:v>
                </c:pt>
                <c:pt idx="259">
                  <c:v>1.4999999999999999E-2</c:v>
                </c:pt>
                <c:pt idx="260">
                  <c:v>1.47E-2</c:v>
                </c:pt>
                <c:pt idx="261">
                  <c:v>1.55E-2</c:v>
                </c:pt>
                <c:pt idx="262">
                  <c:v>1.6500000000000001E-2</c:v>
                </c:pt>
                <c:pt idx="263">
                  <c:v>1.6200000000000003E-2</c:v>
                </c:pt>
                <c:pt idx="264">
                  <c:v>1.6200000000000003E-2</c:v>
                </c:pt>
                <c:pt idx="265">
                  <c:v>1.54E-2</c:v>
                </c:pt>
                <c:pt idx="266">
                  <c:v>1.5300000000000001E-2</c:v>
                </c:pt>
                <c:pt idx="267">
                  <c:v>1.5600000000000001E-2</c:v>
                </c:pt>
                <c:pt idx="268">
                  <c:v>1.66E-2</c:v>
                </c:pt>
                <c:pt idx="269">
                  <c:v>1.66E-2</c:v>
                </c:pt>
                <c:pt idx="270">
                  <c:v>1.61E-2</c:v>
                </c:pt>
                <c:pt idx="271">
                  <c:v>1.6200000000000003E-2</c:v>
                </c:pt>
                <c:pt idx="272">
                  <c:v>1.6299999999999999E-2</c:v>
                </c:pt>
                <c:pt idx="273">
                  <c:v>1.6E-2</c:v>
                </c:pt>
                <c:pt idx="274">
                  <c:v>1.66E-2</c:v>
                </c:pt>
                <c:pt idx="275">
                  <c:v>1.78E-2</c:v>
                </c:pt>
                <c:pt idx="276">
                  <c:v>1.7600000000000001E-2</c:v>
                </c:pt>
                <c:pt idx="277">
                  <c:v>1.8100000000000002E-2</c:v>
                </c:pt>
                <c:pt idx="278">
                  <c:v>1.8200000000000001E-2</c:v>
                </c:pt>
                <c:pt idx="279">
                  <c:v>1.9599999999999999E-2</c:v>
                </c:pt>
                <c:pt idx="280">
                  <c:v>1.84E-2</c:v>
                </c:pt>
                <c:pt idx="281">
                  <c:v>1.9E-2</c:v>
                </c:pt>
                <c:pt idx="282">
                  <c:v>1.9400000000000001E-2</c:v>
                </c:pt>
                <c:pt idx="283">
                  <c:v>1.9E-2</c:v>
                </c:pt>
                <c:pt idx="284">
                  <c:v>1.8500000000000003E-2</c:v>
                </c:pt>
                <c:pt idx="285">
                  <c:v>1.8200000000000001E-2</c:v>
                </c:pt>
                <c:pt idx="286">
                  <c:v>1.8500000000000003E-2</c:v>
                </c:pt>
                <c:pt idx="287">
                  <c:v>1.89E-2</c:v>
                </c:pt>
                <c:pt idx="288">
                  <c:v>1.84E-2</c:v>
                </c:pt>
                <c:pt idx="289">
                  <c:v>1.8600000000000002E-2</c:v>
                </c:pt>
                <c:pt idx="290">
                  <c:v>1.7100000000000001E-2</c:v>
                </c:pt>
                <c:pt idx="291">
                  <c:v>1.5600000000000001E-2</c:v>
                </c:pt>
                <c:pt idx="292">
                  <c:v>1.7399999999999999E-2</c:v>
                </c:pt>
                <c:pt idx="293">
                  <c:v>1.7399999999999999E-2</c:v>
                </c:pt>
                <c:pt idx="294">
                  <c:v>1.6500000000000001E-2</c:v>
                </c:pt>
                <c:pt idx="295">
                  <c:v>1.7100000000000001E-2</c:v>
                </c:pt>
                <c:pt idx="296">
                  <c:v>1.8000000000000002E-2</c:v>
                </c:pt>
                <c:pt idx="297">
                  <c:v>1.8700000000000001E-2</c:v>
                </c:pt>
                <c:pt idx="298">
                  <c:v>1.9199999999999998E-2</c:v>
                </c:pt>
                <c:pt idx="299">
                  <c:v>1.9599999999999999E-2</c:v>
                </c:pt>
                <c:pt idx="300">
                  <c:v>2.1000000000000001E-2</c:v>
                </c:pt>
                <c:pt idx="301">
                  <c:v>2.1000000000000001E-2</c:v>
                </c:pt>
                <c:pt idx="302">
                  <c:v>2.18E-2</c:v>
                </c:pt>
                <c:pt idx="303">
                  <c:v>2.1700000000000001E-2</c:v>
                </c:pt>
                <c:pt idx="304">
                  <c:v>2.1400000000000002E-2</c:v>
                </c:pt>
                <c:pt idx="305">
                  <c:v>2.3300000000000001E-2</c:v>
                </c:pt>
                <c:pt idx="306">
                  <c:v>2.3900000000000001E-2</c:v>
                </c:pt>
                <c:pt idx="307">
                  <c:v>2.3399999999999997E-2</c:v>
                </c:pt>
                <c:pt idx="308">
                  <c:v>2.3700000000000002E-2</c:v>
                </c:pt>
                <c:pt idx="309">
                  <c:v>2.5499999999999998E-2</c:v>
                </c:pt>
                <c:pt idx="310">
                  <c:v>2.5399999999999999E-2</c:v>
                </c:pt>
                <c:pt idx="311">
                  <c:v>2.4900000000000002E-2</c:v>
                </c:pt>
                <c:pt idx="312">
                  <c:v>2.4399999999999998E-2</c:v>
                </c:pt>
                <c:pt idx="313">
                  <c:v>2.4199999999999999E-2</c:v>
                </c:pt>
                <c:pt idx="314">
                  <c:v>2.5499999999999998E-2</c:v>
                </c:pt>
                <c:pt idx="315">
                  <c:v>2.5600000000000001E-2</c:v>
                </c:pt>
                <c:pt idx="316">
                  <c:v>2.69E-2</c:v>
                </c:pt>
                <c:pt idx="317">
                  <c:v>2.7000000000000003E-2</c:v>
                </c:pt>
                <c:pt idx="318">
                  <c:v>2.7000000000000003E-2</c:v>
                </c:pt>
                <c:pt idx="319">
                  <c:v>2.76E-2</c:v>
                </c:pt>
                <c:pt idx="320">
                  <c:v>2.7900000000000001E-2</c:v>
                </c:pt>
                <c:pt idx="321">
                  <c:v>2.6600000000000002E-2</c:v>
                </c:pt>
                <c:pt idx="322">
                  <c:v>2.6600000000000002E-2</c:v>
                </c:pt>
                <c:pt idx="323">
                  <c:v>2.7900000000000001E-2</c:v>
                </c:pt>
                <c:pt idx="324">
                  <c:v>2.7900000000000001E-2</c:v>
                </c:pt>
                <c:pt idx="325">
                  <c:v>2.9100000000000001E-2</c:v>
                </c:pt>
                <c:pt idx="326">
                  <c:v>2.87E-2</c:v>
                </c:pt>
                <c:pt idx="327">
                  <c:v>2.9600000000000001E-2</c:v>
                </c:pt>
                <c:pt idx="328">
                  <c:v>2.9399999999999999E-2</c:v>
                </c:pt>
                <c:pt idx="329">
                  <c:v>2.8399999999999998E-2</c:v>
                </c:pt>
                <c:pt idx="330">
                  <c:v>2.7900000000000001E-2</c:v>
                </c:pt>
                <c:pt idx="331">
                  <c:v>2.81E-2</c:v>
                </c:pt>
                <c:pt idx="332">
                  <c:v>2.86E-2</c:v>
                </c:pt>
                <c:pt idx="333">
                  <c:v>2.92E-2</c:v>
                </c:pt>
                <c:pt idx="334">
                  <c:v>3.0099999999999998E-2</c:v>
                </c:pt>
                <c:pt idx="335">
                  <c:v>3.0099999999999998E-2</c:v>
                </c:pt>
                <c:pt idx="336">
                  <c:v>2.9300000000000003E-2</c:v>
                </c:pt>
                <c:pt idx="337">
                  <c:v>3.0099999999999998E-2</c:v>
                </c:pt>
                <c:pt idx="338">
                  <c:v>3.0600000000000002E-2</c:v>
                </c:pt>
                <c:pt idx="339">
                  <c:v>2.9500000000000002E-2</c:v>
                </c:pt>
                <c:pt idx="340">
                  <c:v>2.9100000000000001E-2</c:v>
                </c:pt>
                <c:pt idx="341">
                  <c:v>2.8900000000000002E-2</c:v>
                </c:pt>
                <c:pt idx="342">
                  <c:v>2.81E-2</c:v>
                </c:pt>
                <c:pt idx="343">
                  <c:v>2.8900000000000002E-2</c:v>
                </c:pt>
                <c:pt idx="344">
                  <c:v>2.8300000000000002E-2</c:v>
                </c:pt>
                <c:pt idx="345">
                  <c:v>2.9600000000000001E-2</c:v>
                </c:pt>
                <c:pt idx="346">
                  <c:v>2.8900000000000002E-2</c:v>
                </c:pt>
                <c:pt idx="347">
                  <c:v>2.8399999999999998E-2</c:v>
                </c:pt>
                <c:pt idx="348">
                  <c:v>2.7999999999999997E-2</c:v>
                </c:pt>
                <c:pt idx="349">
                  <c:v>2.8799999999999999E-2</c:v>
                </c:pt>
                <c:pt idx="350">
                  <c:v>2.76E-2</c:v>
                </c:pt>
                <c:pt idx="351">
                  <c:v>2.7099999999999999E-2</c:v>
                </c:pt>
                <c:pt idx="352">
                  <c:v>2.7000000000000003E-2</c:v>
                </c:pt>
                <c:pt idx="353">
                  <c:v>2.7099999999999999E-2</c:v>
                </c:pt>
                <c:pt idx="354">
                  <c:v>2.81E-2</c:v>
                </c:pt>
                <c:pt idx="355">
                  <c:v>2.9399999999999999E-2</c:v>
                </c:pt>
                <c:pt idx="356">
                  <c:v>2.92E-2</c:v>
                </c:pt>
                <c:pt idx="357">
                  <c:v>2.9500000000000002E-2</c:v>
                </c:pt>
                <c:pt idx="358">
                  <c:v>3.0299999999999997E-2</c:v>
                </c:pt>
                <c:pt idx="359">
                  <c:v>2.9900000000000003E-2</c:v>
                </c:pt>
                <c:pt idx="360">
                  <c:v>3.0299999999999997E-2</c:v>
                </c:pt>
                <c:pt idx="361">
                  <c:v>3.0699999999999998E-2</c:v>
                </c:pt>
                <c:pt idx="362">
                  <c:v>3.2500000000000001E-2</c:v>
                </c:pt>
                <c:pt idx="363">
                  <c:v>3.56E-2</c:v>
                </c:pt>
                <c:pt idx="364">
                  <c:v>3.61E-2</c:v>
                </c:pt>
                <c:pt idx="365">
                  <c:v>3.3799999999999997E-2</c:v>
                </c:pt>
                <c:pt idx="366">
                  <c:v>3.3500000000000002E-2</c:v>
                </c:pt>
                <c:pt idx="367">
                  <c:v>3.3399999999999999E-2</c:v>
                </c:pt>
                <c:pt idx="368">
                  <c:v>3.3799999999999997E-2</c:v>
                </c:pt>
                <c:pt idx="369">
                  <c:v>3.2199999999999999E-2</c:v>
                </c:pt>
                <c:pt idx="370">
                  <c:v>3.1400000000000004E-2</c:v>
                </c:pt>
                <c:pt idx="371">
                  <c:v>3.1800000000000002E-2</c:v>
                </c:pt>
                <c:pt idx="372">
                  <c:v>3.2400000000000005E-2</c:v>
                </c:pt>
                <c:pt idx="373">
                  <c:v>3.2500000000000001E-2</c:v>
                </c:pt>
                <c:pt idx="374">
                  <c:v>3.15E-2</c:v>
                </c:pt>
                <c:pt idx="375">
                  <c:v>3.0099999999999998E-2</c:v>
                </c:pt>
                <c:pt idx="376">
                  <c:v>2.8799999999999999E-2</c:v>
                </c:pt>
                <c:pt idx="377">
                  <c:v>2.8199999999999999E-2</c:v>
                </c:pt>
                <c:pt idx="378">
                  <c:v>2.9600000000000001E-2</c:v>
                </c:pt>
                <c:pt idx="379">
                  <c:v>3.0499999999999999E-2</c:v>
                </c:pt>
                <c:pt idx="380">
                  <c:v>3.1300000000000001E-2</c:v>
                </c:pt>
                <c:pt idx="381">
                  <c:v>3.0499999999999999E-2</c:v>
                </c:pt>
                <c:pt idx="382">
                  <c:v>3.0099999999999998E-2</c:v>
                </c:pt>
                <c:pt idx="383">
                  <c:v>3.0200000000000001E-2</c:v>
                </c:pt>
                <c:pt idx="384">
                  <c:v>3.0600000000000002E-2</c:v>
                </c:pt>
                <c:pt idx="385">
                  <c:v>3.0499999999999999E-2</c:v>
                </c:pt>
                <c:pt idx="386">
                  <c:v>3.0600000000000002E-2</c:v>
                </c:pt>
                <c:pt idx="387">
                  <c:v>3.1400000000000004E-2</c:v>
                </c:pt>
                <c:pt idx="388">
                  <c:v>3.1800000000000002E-2</c:v>
                </c:pt>
                <c:pt idx="389">
                  <c:v>0.03</c:v>
                </c:pt>
                <c:pt idx="390">
                  <c:v>2.87E-2</c:v>
                </c:pt>
                <c:pt idx="391">
                  <c:v>2.8900000000000002E-2</c:v>
                </c:pt>
                <c:pt idx="392">
                  <c:v>2.8900000000000002E-2</c:v>
                </c:pt>
                <c:pt idx="393">
                  <c:v>2.8199999999999999E-2</c:v>
                </c:pt>
                <c:pt idx="394">
                  <c:v>2.69E-2</c:v>
                </c:pt>
                <c:pt idx="395">
                  <c:v>2.7000000000000003E-2</c:v>
                </c:pt>
                <c:pt idx="396">
                  <c:v>2.6600000000000002E-2</c:v>
                </c:pt>
                <c:pt idx="397">
                  <c:v>2.8500000000000001E-2</c:v>
                </c:pt>
                <c:pt idx="398">
                  <c:v>2.86E-2</c:v>
                </c:pt>
                <c:pt idx="399">
                  <c:v>2.76E-2</c:v>
                </c:pt>
                <c:pt idx="400">
                  <c:v>2.9700000000000001E-2</c:v>
                </c:pt>
                <c:pt idx="401">
                  <c:v>2.9100000000000001E-2</c:v>
                </c:pt>
                <c:pt idx="402">
                  <c:v>2.9700000000000001E-2</c:v>
                </c:pt>
                <c:pt idx="403">
                  <c:v>2.9300000000000003E-2</c:v>
                </c:pt>
                <c:pt idx="404">
                  <c:v>2.98E-2</c:v>
                </c:pt>
                <c:pt idx="405">
                  <c:v>2.9700000000000001E-2</c:v>
                </c:pt>
                <c:pt idx="406">
                  <c:v>2.9100000000000001E-2</c:v>
                </c:pt>
                <c:pt idx="407">
                  <c:v>2.9500000000000002E-2</c:v>
                </c:pt>
                <c:pt idx="408">
                  <c:v>3.04E-2</c:v>
                </c:pt>
                <c:pt idx="409">
                  <c:v>3.0200000000000001E-2</c:v>
                </c:pt>
                <c:pt idx="410">
                  <c:v>3.1099999999999999E-2</c:v>
                </c:pt>
                <c:pt idx="411">
                  <c:v>3.1699999999999999E-2</c:v>
                </c:pt>
                <c:pt idx="412">
                  <c:v>3.1800000000000002E-2</c:v>
                </c:pt>
                <c:pt idx="413">
                  <c:v>3.2000000000000001E-2</c:v>
                </c:pt>
                <c:pt idx="414">
                  <c:v>3.15E-2</c:v>
                </c:pt>
                <c:pt idx="415">
                  <c:v>3.2000000000000001E-2</c:v>
                </c:pt>
                <c:pt idx="416">
                  <c:v>3.27E-2</c:v>
                </c:pt>
                <c:pt idx="417">
                  <c:v>3.27E-2</c:v>
                </c:pt>
                <c:pt idx="418">
                  <c:v>3.3000000000000002E-2</c:v>
                </c:pt>
                <c:pt idx="419">
                  <c:v>3.39E-2</c:v>
                </c:pt>
                <c:pt idx="420">
                  <c:v>3.3000000000000002E-2</c:v>
                </c:pt>
                <c:pt idx="421">
                  <c:v>3.4300000000000004E-2</c:v>
                </c:pt>
                <c:pt idx="422">
                  <c:v>3.3700000000000001E-2</c:v>
                </c:pt>
                <c:pt idx="423">
                  <c:v>3.39E-2</c:v>
                </c:pt>
                <c:pt idx="424">
                  <c:v>3.4500000000000003E-2</c:v>
                </c:pt>
                <c:pt idx="425">
                  <c:v>3.4700000000000002E-2</c:v>
                </c:pt>
                <c:pt idx="426">
                  <c:v>3.5799999999999998E-2</c:v>
                </c:pt>
                <c:pt idx="427">
                  <c:v>3.6000000000000004E-2</c:v>
                </c:pt>
                <c:pt idx="428">
                  <c:v>3.6600000000000001E-2</c:v>
                </c:pt>
                <c:pt idx="429">
                  <c:v>3.6200000000000003E-2</c:v>
                </c:pt>
                <c:pt idx="430">
                  <c:v>3.6900000000000002E-2</c:v>
                </c:pt>
                <c:pt idx="431">
                  <c:v>3.7499999999999999E-2</c:v>
                </c:pt>
                <c:pt idx="432">
                  <c:v>3.7400000000000003E-2</c:v>
                </c:pt>
                <c:pt idx="433">
                  <c:v>3.9100000000000003E-2</c:v>
                </c:pt>
                <c:pt idx="434">
                  <c:v>3.9599999999999996E-2</c:v>
                </c:pt>
                <c:pt idx="435">
                  <c:v>4.1500000000000002E-2</c:v>
                </c:pt>
                <c:pt idx="436">
                  <c:v>4.2099999999999999E-2</c:v>
                </c:pt>
                <c:pt idx="437">
                  <c:v>3.9199999999999999E-2</c:v>
                </c:pt>
                <c:pt idx="438">
                  <c:v>3.9800000000000002E-2</c:v>
                </c:pt>
                <c:pt idx="439">
                  <c:v>4.0599999999999997E-2</c:v>
                </c:pt>
                <c:pt idx="440">
                  <c:v>3.9E-2</c:v>
                </c:pt>
                <c:pt idx="441">
                  <c:v>3.8399999999999997E-2</c:v>
                </c:pt>
                <c:pt idx="442">
                  <c:v>3.9599999999999996E-2</c:v>
                </c:pt>
                <c:pt idx="443">
                  <c:v>4.0500000000000001E-2</c:v>
                </c:pt>
                <c:pt idx="444">
                  <c:v>4.1399999999999999E-2</c:v>
                </c:pt>
                <c:pt idx="445">
                  <c:v>4.1399999999999999E-2</c:v>
                </c:pt>
                <c:pt idx="446">
                  <c:v>4.1200000000000001E-2</c:v>
                </c:pt>
                <c:pt idx="447">
                  <c:v>4.2099999999999999E-2</c:v>
                </c:pt>
                <c:pt idx="448">
                  <c:v>4.2500000000000003E-2</c:v>
                </c:pt>
                <c:pt idx="449">
                  <c:v>4.24E-2</c:v>
                </c:pt>
                <c:pt idx="450">
                  <c:v>4.2099999999999999E-2</c:v>
                </c:pt>
                <c:pt idx="451">
                  <c:v>4.3499999999999997E-2</c:v>
                </c:pt>
                <c:pt idx="452">
                  <c:v>4.4500000000000005E-2</c:v>
                </c:pt>
                <c:pt idx="453">
                  <c:v>4.3400000000000001E-2</c:v>
                </c:pt>
                <c:pt idx="454">
                  <c:v>4.36E-2</c:v>
                </c:pt>
                <c:pt idx="455">
                  <c:v>4.2500000000000003E-2</c:v>
                </c:pt>
                <c:pt idx="456">
                  <c:v>4.2000000000000003E-2</c:v>
                </c:pt>
                <c:pt idx="457">
                  <c:v>4.0899999999999999E-2</c:v>
                </c:pt>
                <c:pt idx="458">
                  <c:v>4.1900000000000007E-2</c:v>
                </c:pt>
                <c:pt idx="459">
                  <c:v>4.2699999999999995E-2</c:v>
                </c:pt>
                <c:pt idx="460">
                  <c:v>4.2699999999999995E-2</c:v>
                </c:pt>
                <c:pt idx="461">
                  <c:v>4.2999999999999997E-2</c:v>
                </c:pt>
                <c:pt idx="462">
                  <c:v>4.36E-2</c:v>
                </c:pt>
                <c:pt idx="463">
                  <c:v>4.3299999999999998E-2</c:v>
                </c:pt>
                <c:pt idx="464">
                  <c:v>4.3899999999999995E-2</c:v>
                </c:pt>
                <c:pt idx="465">
                  <c:v>4.3099999999999999E-2</c:v>
                </c:pt>
                <c:pt idx="466">
                  <c:v>4.2699999999999995E-2</c:v>
                </c:pt>
                <c:pt idx="467">
                  <c:v>3.95E-2</c:v>
                </c:pt>
                <c:pt idx="468">
                  <c:v>0.04</c:v>
                </c:pt>
                <c:pt idx="469">
                  <c:v>3.9300000000000002E-2</c:v>
                </c:pt>
                <c:pt idx="470">
                  <c:v>3.8300000000000001E-2</c:v>
                </c:pt>
                <c:pt idx="471">
                  <c:v>3.9300000000000002E-2</c:v>
                </c:pt>
                <c:pt idx="472">
                  <c:v>3.9900000000000005E-2</c:v>
                </c:pt>
                <c:pt idx="473">
                  <c:v>3.9699999999999999E-2</c:v>
                </c:pt>
                <c:pt idx="474">
                  <c:v>3.9300000000000002E-2</c:v>
                </c:pt>
                <c:pt idx="475">
                  <c:v>3.8800000000000001E-2</c:v>
                </c:pt>
                <c:pt idx="476">
                  <c:v>3.85E-2</c:v>
                </c:pt>
                <c:pt idx="477">
                  <c:v>3.8800000000000001E-2</c:v>
                </c:pt>
                <c:pt idx="478">
                  <c:v>3.9199999999999999E-2</c:v>
                </c:pt>
                <c:pt idx="479">
                  <c:v>3.8199999999999998E-2</c:v>
                </c:pt>
                <c:pt idx="480">
                  <c:v>3.6799999999999999E-2</c:v>
                </c:pt>
                <c:pt idx="481">
                  <c:v>3.6699999999999997E-2</c:v>
                </c:pt>
                <c:pt idx="482">
                  <c:v>3.7999999999999999E-2</c:v>
                </c:pt>
                <c:pt idx="483">
                  <c:v>3.73E-2</c:v>
                </c:pt>
                <c:pt idx="484">
                  <c:v>3.6200000000000003E-2</c:v>
                </c:pt>
                <c:pt idx="485">
                  <c:v>3.7100000000000001E-2</c:v>
                </c:pt>
                <c:pt idx="486">
                  <c:v>3.7499999999999999E-2</c:v>
                </c:pt>
                <c:pt idx="487">
                  <c:v>3.7999999999999999E-2</c:v>
                </c:pt>
                <c:pt idx="488">
                  <c:v>3.6600000000000001E-2</c:v>
                </c:pt>
                <c:pt idx="489">
                  <c:v>3.6400000000000002E-2</c:v>
                </c:pt>
                <c:pt idx="490">
                  <c:v>3.6200000000000003E-2</c:v>
                </c:pt>
                <c:pt idx="491">
                  <c:v>3.61E-2</c:v>
                </c:pt>
                <c:pt idx="492">
                  <c:v>3.7000000000000005E-2</c:v>
                </c:pt>
                <c:pt idx="493">
                  <c:v>3.7900000000000003E-2</c:v>
                </c:pt>
                <c:pt idx="494">
                  <c:v>3.78E-2</c:v>
                </c:pt>
                <c:pt idx="495">
                  <c:v>3.7900000000000003E-2</c:v>
                </c:pt>
                <c:pt idx="496">
                  <c:v>3.8599999999999995E-2</c:v>
                </c:pt>
                <c:pt idx="497">
                  <c:v>3.9399999999999998E-2</c:v>
                </c:pt>
                <c:pt idx="498">
                  <c:v>3.9699999999999999E-2</c:v>
                </c:pt>
                <c:pt idx="499">
                  <c:v>3.9399999999999998E-2</c:v>
                </c:pt>
                <c:pt idx="500">
                  <c:v>3.9900000000000005E-2</c:v>
                </c:pt>
                <c:pt idx="501">
                  <c:v>3.9399999999999998E-2</c:v>
                </c:pt>
                <c:pt idx="502">
                  <c:v>3.85E-2</c:v>
                </c:pt>
                <c:pt idx="503">
                  <c:v>3.9E-2</c:v>
                </c:pt>
                <c:pt idx="504">
                  <c:v>3.6900000000000002E-2</c:v>
                </c:pt>
                <c:pt idx="505">
                  <c:v>3.6600000000000001E-2</c:v>
                </c:pt>
                <c:pt idx="506">
                  <c:v>3.7200000000000004E-2</c:v>
                </c:pt>
                <c:pt idx="507">
                  <c:v>3.6600000000000001E-2</c:v>
                </c:pt>
                <c:pt idx="508">
                  <c:v>3.5299999999999998E-2</c:v>
                </c:pt>
                <c:pt idx="509">
                  <c:v>3.6000000000000004E-2</c:v>
                </c:pt>
                <c:pt idx="510">
                  <c:v>3.6000000000000004E-2</c:v>
                </c:pt>
                <c:pt idx="511">
                  <c:v>3.4300000000000004E-2</c:v>
                </c:pt>
                <c:pt idx="512">
                  <c:v>3.4799999999999998E-2</c:v>
                </c:pt>
                <c:pt idx="513">
                  <c:v>3.56E-2</c:v>
                </c:pt>
                <c:pt idx="514">
                  <c:v>3.61E-2</c:v>
                </c:pt>
                <c:pt idx="515">
                  <c:v>3.5799999999999998E-2</c:v>
                </c:pt>
                <c:pt idx="516">
                  <c:v>3.5400000000000001E-2</c:v>
                </c:pt>
                <c:pt idx="517">
                  <c:v>3.5799999999999998E-2</c:v>
                </c:pt>
                <c:pt idx="518">
                  <c:v>3.6200000000000003E-2</c:v>
                </c:pt>
                <c:pt idx="519">
                  <c:v>3.6799999999999999E-2</c:v>
                </c:pt>
                <c:pt idx="520">
                  <c:v>3.6299999999999999E-2</c:v>
                </c:pt>
                <c:pt idx="521">
                  <c:v>3.4799999999999998E-2</c:v>
                </c:pt>
                <c:pt idx="522">
                  <c:v>3.49E-2</c:v>
                </c:pt>
                <c:pt idx="523">
                  <c:v>3.6699999999999997E-2</c:v>
                </c:pt>
                <c:pt idx="524">
                  <c:v>3.8100000000000002E-2</c:v>
                </c:pt>
                <c:pt idx="525">
                  <c:v>3.85E-2</c:v>
                </c:pt>
                <c:pt idx="526">
                  <c:v>3.8199999999999998E-2</c:v>
                </c:pt>
                <c:pt idx="527">
                  <c:v>3.8699999999999998E-2</c:v>
                </c:pt>
                <c:pt idx="528">
                  <c:v>3.9300000000000002E-2</c:v>
                </c:pt>
                <c:pt idx="529">
                  <c:v>3.9300000000000002E-2</c:v>
                </c:pt>
                <c:pt idx="530">
                  <c:v>0.04</c:v>
                </c:pt>
                <c:pt idx="531">
                  <c:v>4.0399999999999998E-2</c:v>
                </c:pt>
                <c:pt idx="532">
                  <c:v>4.0599999999999997E-2</c:v>
                </c:pt>
                <c:pt idx="533">
                  <c:v>4.0300000000000002E-2</c:v>
                </c:pt>
                <c:pt idx="534">
                  <c:v>4.1599999999999998E-2</c:v>
                </c:pt>
                <c:pt idx="535">
                  <c:v>4.1299999999999996E-2</c:v>
                </c:pt>
                <c:pt idx="536">
                  <c:v>4.0899999999999999E-2</c:v>
                </c:pt>
                <c:pt idx="537">
                  <c:v>4.1900000000000007E-2</c:v>
                </c:pt>
                <c:pt idx="538">
                  <c:v>4.1700000000000001E-2</c:v>
                </c:pt>
                <c:pt idx="539">
                  <c:v>4.1799999999999997E-2</c:v>
                </c:pt>
                <c:pt idx="540">
                  <c:v>4.2699999999999995E-2</c:v>
                </c:pt>
                <c:pt idx="541">
                  <c:v>4.3200000000000002E-2</c:v>
                </c:pt>
                <c:pt idx="542">
                  <c:v>4.2599999999999999E-2</c:v>
                </c:pt>
                <c:pt idx="543">
                  <c:v>4.2699999999999995E-2</c:v>
                </c:pt>
                <c:pt idx="544">
                  <c:v>4.3099999999999999E-2</c:v>
                </c:pt>
                <c:pt idx="545">
                  <c:v>4.3400000000000001E-2</c:v>
                </c:pt>
                <c:pt idx="546">
                  <c:v>4.2199999999999994E-2</c:v>
                </c:pt>
                <c:pt idx="547">
                  <c:v>3.9599999999999996E-2</c:v>
                </c:pt>
                <c:pt idx="548">
                  <c:v>3.6799999999999999E-2</c:v>
                </c:pt>
                <c:pt idx="549">
                  <c:v>3.78E-2</c:v>
                </c:pt>
                <c:pt idx="550">
                  <c:v>3.5900000000000001E-2</c:v>
                </c:pt>
                <c:pt idx="551">
                  <c:v>3.7200000000000004E-2</c:v>
                </c:pt>
                <c:pt idx="552">
                  <c:v>3.44E-2</c:v>
                </c:pt>
                <c:pt idx="553">
                  <c:v>3.56E-2</c:v>
                </c:pt>
                <c:pt idx="554">
                  <c:v>3.73E-2</c:v>
                </c:pt>
                <c:pt idx="555">
                  <c:v>3.5400000000000001E-2</c:v>
                </c:pt>
                <c:pt idx="556">
                  <c:v>3.39E-2</c:v>
                </c:pt>
                <c:pt idx="557">
                  <c:v>3.4099999999999998E-2</c:v>
                </c:pt>
                <c:pt idx="558">
                  <c:v>3.5900000000000001E-2</c:v>
                </c:pt>
                <c:pt idx="559">
                  <c:v>3.6299999999999999E-2</c:v>
                </c:pt>
                <c:pt idx="560">
                  <c:v>3.6699999999999997E-2</c:v>
                </c:pt>
                <c:pt idx="561">
                  <c:v>3.6600000000000001E-2</c:v>
                </c:pt>
                <c:pt idx="562">
                  <c:v>3.6000000000000004E-2</c:v>
                </c:pt>
                <c:pt idx="563">
                  <c:v>3.5200000000000002E-2</c:v>
                </c:pt>
                <c:pt idx="564">
                  <c:v>3.39E-2</c:v>
                </c:pt>
                <c:pt idx="565">
                  <c:v>3.3599999999999998E-2</c:v>
                </c:pt>
                <c:pt idx="566">
                  <c:v>3.3700000000000001E-2</c:v>
                </c:pt>
                <c:pt idx="567">
                  <c:v>3.49E-2</c:v>
                </c:pt>
                <c:pt idx="568">
                  <c:v>3.5200000000000002E-2</c:v>
                </c:pt>
                <c:pt idx="569">
                  <c:v>3.5400000000000001E-2</c:v>
                </c:pt>
                <c:pt idx="570">
                  <c:v>3.4599999999999999E-2</c:v>
                </c:pt>
                <c:pt idx="571">
                  <c:v>3.5099999999999999E-2</c:v>
                </c:pt>
                <c:pt idx="572">
                  <c:v>3.6000000000000004E-2</c:v>
                </c:pt>
                <c:pt idx="573">
                  <c:v>3.6900000000000002E-2</c:v>
                </c:pt>
                <c:pt idx="574">
                  <c:v>3.6900000000000002E-2</c:v>
                </c:pt>
                <c:pt idx="575">
                  <c:v>3.7100000000000001E-2</c:v>
                </c:pt>
                <c:pt idx="576">
                  <c:v>3.6299999999999999E-2</c:v>
                </c:pt>
                <c:pt idx="577">
                  <c:v>3.6600000000000001E-2</c:v>
                </c:pt>
                <c:pt idx="578">
                  <c:v>3.6000000000000004E-2</c:v>
                </c:pt>
                <c:pt idx="579">
                  <c:v>3.4300000000000004E-2</c:v>
                </c:pt>
                <c:pt idx="580">
                  <c:v>3.4599999999999999E-2</c:v>
                </c:pt>
                <c:pt idx="581">
                  <c:v>3.6000000000000004E-2</c:v>
                </c:pt>
                <c:pt idx="582">
                  <c:v>3.5099999999999999E-2</c:v>
                </c:pt>
                <c:pt idx="583">
                  <c:v>3.6400000000000002E-2</c:v>
                </c:pt>
                <c:pt idx="584">
                  <c:v>3.4599999999999999E-2</c:v>
                </c:pt>
                <c:pt idx="585">
                  <c:v>3.3700000000000001E-2</c:v>
                </c:pt>
                <c:pt idx="586">
                  <c:v>3.2899999999999999E-2</c:v>
                </c:pt>
                <c:pt idx="587">
                  <c:v>3.4099999999999998E-2</c:v>
                </c:pt>
                <c:pt idx="588">
                  <c:v>3.49E-2</c:v>
                </c:pt>
                <c:pt idx="589">
                  <c:v>3.5099999999999999E-2</c:v>
                </c:pt>
                <c:pt idx="590">
                  <c:v>3.3700000000000001E-2</c:v>
                </c:pt>
                <c:pt idx="591">
                  <c:v>3.3599999999999998E-2</c:v>
                </c:pt>
                <c:pt idx="592">
                  <c:v>3.4500000000000003E-2</c:v>
                </c:pt>
                <c:pt idx="593">
                  <c:v>3.4599999999999999E-2</c:v>
                </c:pt>
                <c:pt idx="594">
                  <c:v>3.5200000000000002E-2</c:v>
                </c:pt>
                <c:pt idx="595">
                  <c:v>3.5799999999999998E-2</c:v>
                </c:pt>
                <c:pt idx="596">
                  <c:v>3.6900000000000002E-2</c:v>
                </c:pt>
                <c:pt idx="597">
                  <c:v>3.7599999999999995E-2</c:v>
                </c:pt>
                <c:pt idx="598">
                  <c:v>3.7699999999999997E-2</c:v>
                </c:pt>
                <c:pt idx="599">
                  <c:v>3.7599999999999995E-2</c:v>
                </c:pt>
                <c:pt idx="600">
                  <c:v>3.7499999999999999E-2</c:v>
                </c:pt>
                <c:pt idx="601">
                  <c:v>3.9E-2</c:v>
                </c:pt>
                <c:pt idx="602">
                  <c:v>3.9199999999999999E-2</c:v>
                </c:pt>
                <c:pt idx="603">
                  <c:v>3.8100000000000002E-2</c:v>
                </c:pt>
                <c:pt idx="604">
                  <c:v>3.7400000000000003E-2</c:v>
                </c:pt>
                <c:pt idx="605">
                  <c:v>3.7000000000000005E-2</c:v>
                </c:pt>
                <c:pt idx="606">
                  <c:v>3.8399999999999997E-2</c:v>
                </c:pt>
                <c:pt idx="607">
                  <c:v>3.8199999999999998E-2</c:v>
                </c:pt>
                <c:pt idx="608">
                  <c:v>3.85E-2</c:v>
                </c:pt>
                <c:pt idx="609">
                  <c:v>3.9300000000000002E-2</c:v>
                </c:pt>
                <c:pt idx="610">
                  <c:v>3.8699999999999998E-2</c:v>
                </c:pt>
                <c:pt idx="611">
                  <c:v>3.9199999999999999E-2</c:v>
                </c:pt>
                <c:pt idx="612">
                  <c:v>3.8900000000000004E-2</c:v>
                </c:pt>
                <c:pt idx="613">
                  <c:v>4.0099999999999997E-2</c:v>
                </c:pt>
                <c:pt idx="614">
                  <c:v>4.0599999999999997E-2</c:v>
                </c:pt>
                <c:pt idx="615">
                  <c:v>3.9100000000000003E-2</c:v>
                </c:pt>
                <c:pt idx="616">
                  <c:v>3.9900000000000005E-2</c:v>
                </c:pt>
                <c:pt idx="617">
                  <c:v>3.9599999999999996E-2</c:v>
                </c:pt>
                <c:pt idx="618">
                  <c:v>3.95E-2</c:v>
                </c:pt>
                <c:pt idx="619">
                  <c:v>4.0300000000000002E-2</c:v>
                </c:pt>
                <c:pt idx="620">
                  <c:v>3.9900000000000005E-2</c:v>
                </c:pt>
                <c:pt idx="621">
                  <c:v>3.9599999999999996E-2</c:v>
                </c:pt>
                <c:pt idx="622">
                  <c:v>4.0199999999999993E-2</c:v>
                </c:pt>
                <c:pt idx="623">
                  <c:v>3.9699999999999999E-2</c:v>
                </c:pt>
                <c:pt idx="624">
                  <c:v>4.1399999999999999E-2</c:v>
                </c:pt>
                <c:pt idx="625">
                  <c:v>4.1299999999999996E-2</c:v>
                </c:pt>
                <c:pt idx="626">
                  <c:v>4.1900000000000007E-2</c:v>
                </c:pt>
                <c:pt idx="627">
                  <c:v>4.2500000000000003E-2</c:v>
                </c:pt>
                <c:pt idx="628">
                  <c:v>4.3700000000000003E-2</c:v>
                </c:pt>
                <c:pt idx="629">
                  <c:v>4.3499999999999997E-2</c:v>
                </c:pt>
                <c:pt idx="630">
                  <c:v>4.2500000000000003E-2</c:v>
                </c:pt>
                <c:pt idx="631">
                  <c:v>4.24E-2</c:v>
                </c:pt>
                <c:pt idx="632">
                  <c:v>4.07E-2</c:v>
                </c:pt>
                <c:pt idx="633">
                  <c:v>3.9300000000000002E-2</c:v>
                </c:pt>
                <c:pt idx="634">
                  <c:v>4.0399999999999998E-2</c:v>
                </c:pt>
                <c:pt idx="635">
                  <c:v>4.0199999999999993E-2</c:v>
                </c:pt>
                <c:pt idx="636">
                  <c:v>0.04</c:v>
                </c:pt>
                <c:pt idx="637">
                  <c:v>3.9800000000000002E-2</c:v>
                </c:pt>
                <c:pt idx="638">
                  <c:v>4.0800000000000003E-2</c:v>
                </c:pt>
                <c:pt idx="639">
                  <c:v>4.0899999999999999E-2</c:v>
                </c:pt>
                <c:pt idx="640">
                  <c:v>4.1299999999999996E-2</c:v>
                </c:pt>
                <c:pt idx="641">
                  <c:v>4.1500000000000002E-2</c:v>
                </c:pt>
                <c:pt idx="642">
                  <c:v>4.0899999999999999E-2</c:v>
                </c:pt>
                <c:pt idx="643">
                  <c:v>4.24E-2</c:v>
                </c:pt>
                <c:pt idx="644">
                  <c:v>4.1799999999999997E-2</c:v>
                </c:pt>
                <c:pt idx="645">
                  <c:v>4.1799999999999997E-2</c:v>
                </c:pt>
                <c:pt idx="646">
                  <c:v>4.24E-2</c:v>
                </c:pt>
                <c:pt idx="647">
                  <c:v>4.24E-2</c:v>
                </c:pt>
                <c:pt idx="648">
                  <c:v>4.2999999999999997E-2</c:v>
                </c:pt>
                <c:pt idx="649">
                  <c:v>4.1500000000000002E-2</c:v>
                </c:pt>
                <c:pt idx="650">
                  <c:v>4.1599999999999998E-2</c:v>
                </c:pt>
                <c:pt idx="651">
                  <c:v>4.0999999999999995E-2</c:v>
                </c:pt>
                <c:pt idx="652">
                  <c:v>4.1200000000000001E-2</c:v>
                </c:pt>
                <c:pt idx="653">
                  <c:v>4.2099999999999999E-2</c:v>
                </c:pt>
                <c:pt idx="654">
                  <c:v>4.3099999999999999E-2</c:v>
                </c:pt>
                <c:pt idx="655">
                  <c:v>4.36E-2</c:v>
                </c:pt>
                <c:pt idx="656">
                  <c:v>4.36E-2</c:v>
                </c:pt>
                <c:pt idx="657">
                  <c:v>4.4199999999999996E-2</c:v>
                </c:pt>
                <c:pt idx="658">
                  <c:v>4.4199999999999996E-2</c:v>
                </c:pt>
                <c:pt idx="659">
                  <c:v>4.3799999999999999E-2</c:v>
                </c:pt>
                <c:pt idx="660">
                  <c:v>4.4600000000000001E-2</c:v>
                </c:pt>
                <c:pt idx="661">
                  <c:v>4.4900000000000002E-2</c:v>
                </c:pt>
                <c:pt idx="662">
                  <c:v>4.36E-2</c:v>
                </c:pt>
                <c:pt idx="663">
                  <c:v>4.3899999999999995E-2</c:v>
                </c:pt>
                <c:pt idx="664">
                  <c:v>4.4400000000000002E-2</c:v>
                </c:pt>
                <c:pt idx="665">
                  <c:v>4.3799999999999999E-2</c:v>
                </c:pt>
                <c:pt idx="666">
                  <c:v>4.2599999999999999E-2</c:v>
                </c:pt>
                <c:pt idx="667">
                  <c:v>4.2699999999999995E-2</c:v>
                </c:pt>
                <c:pt idx="668">
                  <c:v>4.2300000000000004E-2</c:v>
                </c:pt>
                <c:pt idx="669">
                  <c:v>4.2900000000000001E-2</c:v>
                </c:pt>
                <c:pt idx="670">
                  <c:v>4.3700000000000003E-2</c:v>
                </c:pt>
                <c:pt idx="671">
                  <c:v>4.4400000000000002E-2</c:v>
                </c:pt>
                <c:pt idx="672">
                  <c:v>4.3799999999999999E-2</c:v>
                </c:pt>
                <c:pt idx="673">
                  <c:v>4.3899999999999995E-2</c:v>
                </c:pt>
                <c:pt idx="674">
                  <c:v>4.4000000000000004E-2</c:v>
                </c:pt>
                <c:pt idx="675">
                  <c:v>4.41E-2</c:v>
                </c:pt>
                <c:pt idx="676">
                  <c:v>4.3899999999999995E-2</c:v>
                </c:pt>
                <c:pt idx="677">
                  <c:v>4.4199999999999996E-2</c:v>
                </c:pt>
                <c:pt idx="678">
                  <c:v>4.4500000000000005E-2</c:v>
                </c:pt>
                <c:pt idx="679">
                  <c:v>4.4600000000000001E-2</c:v>
                </c:pt>
                <c:pt idx="680">
                  <c:v>4.5100000000000001E-2</c:v>
                </c:pt>
                <c:pt idx="681">
                  <c:v>4.5199999999999997E-2</c:v>
                </c:pt>
                <c:pt idx="682">
                  <c:v>4.6100000000000002E-2</c:v>
                </c:pt>
                <c:pt idx="683">
                  <c:v>4.5700000000000005E-2</c:v>
                </c:pt>
                <c:pt idx="684">
                  <c:v>4.6199999999999998E-2</c:v>
                </c:pt>
                <c:pt idx="685">
                  <c:v>4.6199999999999998E-2</c:v>
                </c:pt>
                <c:pt idx="686">
                  <c:v>4.6699999999999998E-2</c:v>
                </c:pt>
                <c:pt idx="687">
                  <c:v>4.6199999999999998E-2</c:v>
                </c:pt>
                <c:pt idx="688">
                  <c:v>4.5999999999999999E-2</c:v>
                </c:pt>
                <c:pt idx="689">
                  <c:v>4.7199999999999999E-2</c:v>
                </c:pt>
                <c:pt idx="690">
                  <c:v>4.8000000000000001E-2</c:v>
                </c:pt>
                <c:pt idx="691">
                  <c:v>4.7199999999999999E-2</c:v>
                </c:pt>
                <c:pt idx="692">
                  <c:v>4.6799999999999994E-2</c:v>
                </c:pt>
                <c:pt idx="693">
                  <c:v>4.7500000000000001E-2</c:v>
                </c:pt>
                <c:pt idx="694">
                  <c:v>4.6199999999999998E-2</c:v>
                </c:pt>
                <c:pt idx="695">
                  <c:v>4.5899999999999996E-2</c:v>
                </c:pt>
                <c:pt idx="696">
                  <c:v>4.6900000000000004E-2</c:v>
                </c:pt>
                <c:pt idx="697">
                  <c:v>4.6500000000000007E-2</c:v>
                </c:pt>
                <c:pt idx="698">
                  <c:v>4.7199999999999999E-2</c:v>
                </c:pt>
                <c:pt idx="699">
                  <c:v>4.8600000000000004E-2</c:v>
                </c:pt>
                <c:pt idx="700">
                  <c:v>4.9200000000000001E-2</c:v>
                </c:pt>
                <c:pt idx="701">
                  <c:v>4.9500000000000002E-2</c:v>
                </c:pt>
                <c:pt idx="702">
                  <c:v>4.8600000000000004E-2</c:v>
                </c:pt>
                <c:pt idx="703">
                  <c:v>4.8099999999999997E-2</c:v>
                </c:pt>
                <c:pt idx="704">
                  <c:v>4.82E-2</c:v>
                </c:pt>
                <c:pt idx="705">
                  <c:v>4.8899999999999999E-2</c:v>
                </c:pt>
                <c:pt idx="706">
                  <c:v>4.7899999999999998E-2</c:v>
                </c:pt>
                <c:pt idx="707">
                  <c:v>4.7599999999999996E-2</c:v>
                </c:pt>
                <c:pt idx="708">
                  <c:v>4.8000000000000001E-2</c:v>
                </c:pt>
                <c:pt idx="709">
                  <c:v>4.82E-2</c:v>
                </c:pt>
                <c:pt idx="710">
                  <c:v>4.6699999999999998E-2</c:v>
                </c:pt>
                <c:pt idx="711">
                  <c:v>4.6500000000000007E-2</c:v>
                </c:pt>
                <c:pt idx="712">
                  <c:v>4.4900000000000002E-2</c:v>
                </c:pt>
                <c:pt idx="713">
                  <c:v>4.5999999999999999E-2</c:v>
                </c:pt>
                <c:pt idx="714">
                  <c:v>4.53E-2</c:v>
                </c:pt>
                <c:pt idx="715">
                  <c:v>4.5100000000000001E-2</c:v>
                </c:pt>
                <c:pt idx="716">
                  <c:v>4.6500000000000007E-2</c:v>
                </c:pt>
                <c:pt idx="717">
                  <c:v>4.6500000000000007E-2</c:v>
                </c:pt>
                <c:pt idx="718">
                  <c:v>4.6600000000000003E-2</c:v>
                </c:pt>
                <c:pt idx="719">
                  <c:v>4.4199999999999996E-2</c:v>
                </c:pt>
                <c:pt idx="720">
                  <c:v>4.5199999999999997E-2</c:v>
                </c:pt>
                <c:pt idx="721">
                  <c:v>4.4299999999999999E-2</c:v>
                </c:pt>
                <c:pt idx="722">
                  <c:v>4.4500000000000005E-2</c:v>
                </c:pt>
                <c:pt idx="723">
                  <c:v>4.4400000000000002E-2</c:v>
                </c:pt>
                <c:pt idx="724">
                  <c:v>4.41E-2</c:v>
                </c:pt>
                <c:pt idx="725">
                  <c:v>4.4400000000000002E-2</c:v>
                </c:pt>
                <c:pt idx="726">
                  <c:v>4.4900000000000002E-2</c:v>
                </c:pt>
                <c:pt idx="727">
                  <c:v>4.3799999999999999E-2</c:v>
                </c:pt>
                <c:pt idx="728">
                  <c:v>4.2900000000000001E-2</c:v>
                </c:pt>
                <c:pt idx="729">
                  <c:v>4.2199999999999994E-2</c:v>
                </c:pt>
                <c:pt idx="730">
                  <c:v>4.3099999999999999E-2</c:v>
                </c:pt>
                <c:pt idx="731">
                  <c:v>4.1399999999999999E-2</c:v>
                </c:pt>
                <c:pt idx="732">
                  <c:v>4.2300000000000004E-2</c:v>
                </c:pt>
                <c:pt idx="733">
                  <c:v>4.1399999999999999E-2</c:v>
                </c:pt>
                <c:pt idx="734">
                  <c:v>4.1200000000000001E-2</c:v>
                </c:pt>
                <c:pt idx="735">
                  <c:v>4.1100000000000005E-2</c:v>
                </c:pt>
                <c:pt idx="736">
                  <c:v>4.24E-2</c:v>
                </c:pt>
                <c:pt idx="737">
                  <c:v>4.2500000000000003E-2</c:v>
                </c:pt>
                <c:pt idx="738">
                  <c:v>4.2300000000000004E-2</c:v>
                </c:pt>
                <c:pt idx="739">
                  <c:v>0.04</c:v>
                </c:pt>
                <c:pt idx="740">
                  <c:v>3.9E-2</c:v>
                </c:pt>
                <c:pt idx="741">
                  <c:v>3.9100000000000003E-2</c:v>
                </c:pt>
                <c:pt idx="742">
                  <c:v>3.9399999999999998E-2</c:v>
                </c:pt>
                <c:pt idx="743">
                  <c:v>3.9399999999999998E-2</c:v>
                </c:pt>
                <c:pt idx="744">
                  <c:v>3.8599999999999995E-2</c:v>
                </c:pt>
                <c:pt idx="745">
                  <c:v>3.8699999999999998E-2</c:v>
                </c:pt>
                <c:pt idx="746">
                  <c:v>3.8699999999999998E-2</c:v>
                </c:pt>
                <c:pt idx="747">
                  <c:v>3.8900000000000004E-2</c:v>
                </c:pt>
                <c:pt idx="748">
                  <c:v>3.78E-2</c:v>
                </c:pt>
                <c:pt idx="749">
                  <c:v>3.8300000000000001E-2</c:v>
                </c:pt>
                <c:pt idx="750">
                  <c:v>3.8399999999999997E-2</c:v>
                </c:pt>
                <c:pt idx="751">
                  <c:v>3.9300000000000002E-2</c:v>
                </c:pt>
                <c:pt idx="752">
                  <c:v>3.9E-2</c:v>
                </c:pt>
                <c:pt idx="753">
                  <c:v>3.9699999999999999E-2</c:v>
                </c:pt>
                <c:pt idx="754">
                  <c:v>4.0199999999999993E-2</c:v>
                </c:pt>
                <c:pt idx="755">
                  <c:v>3.9699999999999999E-2</c:v>
                </c:pt>
                <c:pt idx="756">
                  <c:v>3.9699999999999999E-2</c:v>
                </c:pt>
                <c:pt idx="757">
                  <c:v>3.9900000000000005E-2</c:v>
                </c:pt>
                <c:pt idx="758">
                  <c:v>3.9E-2</c:v>
                </c:pt>
                <c:pt idx="759">
                  <c:v>3.8399999999999997E-2</c:v>
                </c:pt>
                <c:pt idx="760">
                  <c:v>3.95E-2</c:v>
                </c:pt>
                <c:pt idx="761">
                  <c:v>4.0199999999999993E-2</c:v>
                </c:pt>
                <c:pt idx="762">
                  <c:v>4.0399999999999998E-2</c:v>
                </c:pt>
                <c:pt idx="763">
                  <c:v>4.0800000000000003E-2</c:v>
                </c:pt>
                <c:pt idx="764">
                  <c:v>4.0300000000000002E-2</c:v>
                </c:pt>
                <c:pt idx="765">
                  <c:v>4.0599999999999997E-2</c:v>
                </c:pt>
                <c:pt idx="766">
                  <c:v>4.0599999999999997E-2</c:v>
                </c:pt>
                <c:pt idx="767">
                  <c:v>4.0099999999999997E-2</c:v>
                </c:pt>
                <c:pt idx="768">
                  <c:v>4.0399999999999998E-2</c:v>
                </c:pt>
                <c:pt idx="769">
                  <c:v>3.9699999999999999E-2</c:v>
                </c:pt>
                <c:pt idx="770">
                  <c:v>0.04</c:v>
                </c:pt>
                <c:pt idx="771">
                  <c:v>3.9100000000000003E-2</c:v>
                </c:pt>
                <c:pt idx="772">
                  <c:v>3.7999999999999999E-2</c:v>
                </c:pt>
                <c:pt idx="773">
                  <c:v>3.9900000000000005E-2</c:v>
                </c:pt>
                <c:pt idx="774">
                  <c:v>4.1299999999999996E-2</c:v>
                </c:pt>
                <c:pt idx="775">
                  <c:v>4.0300000000000002E-2</c:v>
                </c:pt>
                <c:pt idx="776">
                  <c:v>4.0599999999999997E-2</c:v>
                </c:pt>
                <c:pt idx="777">
                  <c:v>4.1200000000000001E-2</c:v>
                </c:pt>
                <c:pt idx="778">
                  <c:v>4.1399999999999999E-2</c:v>
                </c:pt>
                <c:pt idx="779">
                  <c:v>4.1299999999999996E-2</c:v>
                </c:pt>
                <c:pt idx="780">
                  <c:v>4.3099999999999999E-2</c:v>
                </c:pt>
                <c:pt idx="781">
                  <c:v>4.2500000000000003E-2</c:v>
                </c:pt>
                <c:pt idx="782">
                  <c:v>4.2199999999999994E-2</c:v>
                </c:pt>
                <c:pt idx="783">
                  <c:v>4.2900000000000001E-2</c:v>
                </c:pt>
                <c:pt idx="784">
                  <c:v>4.2500000000000003E-2</c:v>
                </c:pt>
                <c:pt idx="785">
                  <c:v>4.2999999999999997E-2</c:v>
                </c:pt>
                <c:pt idx="786">
                  <c:v>4.3299999999999998E-2</c:v>
                </c:pt>
                <c:pt idx="787">
                  <c:v>4.2800000000000005E-2</c:v>
                </c:pt>
                <c:pt idx="788">
                  <c:v>4.2900000000000001E-2</c:v>
                </c:pt>
                <c:pt idx="789">
                  <c:v>4.3200000000000002E-2</c:v>
                </c:pt>
                <c:pt idx="790">
                  <c:v>4.2599999999999999E-2</c:v>
                </c:pt>
                <c:pt idx="791">
                  <c:v>4.2599999999999999E-2</c:v>
                </c:pt>
                <c:pt idx="792">
                  <c:v>4.1700000000000001E-2</c:v>
                </c:pt>
                <c:pt idx="793">
                  <c:v>4.2099999999999999E-2</c:v>
                </c:pt>
                <c:pt idx="794">
                  <c:v>4.1299999999999996E-2</c:v>
                </c:pt>
                <c:pt idx="795">
                  <c:v>4.1200000000000001E-2</c:v>
                </c:pt>
                <c:pt idx="796">
                  <c:v>4.07E-2</c:v>
                </c:pt>
                <c:pt idx="797">
                  <c:v>4.0599999999999997E-2</c:v>
                </c:pt>
                <c:pt idx="798">
                  <c:v>4.0800000000000003E-2</c:v>
                </c:pt>
                <c:pt idx="799">
                  <c:v>4.1500000000000002E-2</c:v>
                </c:pt>
                <c:pt idx="800">
                  <c:v>4.1900000000000007E-2</c:v>
                </c:pt>
                <c:pt idx="801">
                  <c:v>4.2900000000000001E-2</c:v>
                </c:pt>
                <c:pt idx="802">
                  <c:v>4.3299999999999998E-2</c:v>
                </c:pt>
                <c:pt idx="803">
                  <c:v>4.36E-2</c:v>
                </c:pt>
                <c:pt idx="804">
                  <c:v>4.3099999999999999E-2</c:v>
                </c:pt>
                <c:pt idx="805">
                  <c:v>4.2500000000000003E-2</c:v>
                </c:pt>
                <c:pt idx="806">
                  <c:v>4.2599999999999999E-2</c:v>
                </c:pt>
                <c:pt idx="807">
                  <c:v>4.2000000000000003E-2</c:v>
                </c:pt>
                <c:pt idx="808">
                  <c:v>4.2300000000000004E-2</c:v>
                </c:pt>
                <c:pt idx="809">
                  <c:v>4.2199999999999994E-2</c:v>
                </c:pt>
                <c:pt idx="810">
                  <c:v>4.1799999999999997E-2</c:v>
                </c:pt>
                <c:pt idx="811">
                  <c:v>4.2099999999999999E-2</c:v>
                </c:pt>
                <c:pt idx="812">
                  <c:v>4.3400000000000001E-2</c:v>
                </c:pt>
                <c:pt idx="813">
                  <c:v>4.3499999999999997E-2</c:v>
                </c:pt>
                <c:pt idx="814">
                  <c:v>4.3400000000000001E-2</c:v>
                </c:pt>
                <c:pt idx="815">
                  <c:v>4.2999999999999997E-2</c:v>
                </c:pt>
                <c:pt idx="816">
                  <c:v>4.3799999999999999E-2</c:v>
                </c:pt>
                <c:pt idx="817">
                  <c:v>4.4299999999999999E-2</c:v>
                </c:pt>
                <c:pt idx="818">
                  <c:v>4.3700000000000003E-2</c:v>
                </c:pt>
                <c:pt idx="819">
                  <c:v>4.6100000000000002E-2</c:v>
                </c:pt>
                <c:pt idx="820">
                  <c:v>4.6100000000000002E-2</c:v>
                </c:pt>
                <c:pt idx="821">
                  <c:v>4.5400000000000003E-2</c:v>
                </c:pt>
                <c:pt idx="822">
                  <c:v>4.6500000000000007E-2</c:v>
                </c:pt>
                <c:pt idx="823">
                  <c:v>4.6900000000000004E-2</c:v>
                </c:pt>
                <c:pt idx="824">
                  <c:v>4.6199999999999998E-2</c:v>
                </c:pt>
                <c:pt idx="825">
                  <c:v>4.6799999999999994E-2</c:v>
                </c:pt>
                <c:pt idx="826">
                  <c:v>4.6600000000000003E-2</c:v>
                </c:pt>
                <c:pt idx="827">
                  <c:v>4.6600000000000003E-2</c:v>
                </c:pt>
                <c:pt idx="828">
                  <c:v>4.6300000000000001E-2</c:v>
                </c:pt>
                <c:pt idx="829">
                  <c:v>4.6399999999999997E-2</c:v>
                </c:pt>
                <c:pt idx="830">
                  <c:v>4.7E-2</c:v>
                </c:pt>
                <c:pt idx="831">
                  <c:v>4.6799999999999994E-2</c:v>
                </c:pt>
                <c:pt idx="832">
                  <c:v>4.6500000000000007E-2</c:v>
                </c:pt>
                <c:pt idx="833">
                  <c:v>4.7199999999999999E-2</c:v>
                </c:pt>
                <c:pt idx="834">
                  <c:v>4.6399999999999997E-2</c:v>
                </c:pt>
                <c:pt idx="835">
                  <c:v>4.5700000000000005E-2</c:v>
                </c:pt>
                <c:pt idx="836">
                  <c:v>4.4800000000000006E-2</c:v>
                </c:pt>
                <c:pt idx="837">
                  <c:v>4.4800000000000006E-2</c:v>
                </c:pt>
                <c:pt idx="838">
                  <c:v>4.4800000000000006E-2</c:v>
                </c:pt>
                <c:pt idx="839">
                  <c:v>4.4999999999999998E-2</c:v>
                </c:pt>
                <c:pt idx="840">
                  <c:v>4.4699999999999997E-2</c:v>
                </c:pt>
                <c:pt idx="841">
                  <c:v>4.5199999999999997E-2</c:v>
                </c:pt>
                <c:pt idx="842">
                  <c:v>4.4999999999999998E-2</c:v>
                </c:pt>
                <c:pt idx="843">
                  <c:v>4.4600000000000001E-2</c:v>
                </c:pt>
                <c:pt idx="844">
                  <c:v>4.3499999999999997E-2</c:v>
                </c:pt>
                <c:pt idx="845">
                  <c:v>4.4000000000000004E-2</c:v>
                </c:pt>
                <c:pt idx="846">
                  <c:v>4.4400000000000002E-2</c:v>
                </c:pt>
                <c:pt idx="847">
                  <c:v>4.4600000000000001E-2</c:v>
                </c:pt>
                <c:pt idx="848">
                  <c:v>4.4299999999999999E-2</c:v>
                </c:pt>
                <c:pt idx="849">
                  <c:v>4.4699999999999997E-2</c:v>
                </c:pt>
                <c:pt idx="850">
                  <c:v>4.5199999999999997E-2</c:v>
                </c:pt>
                <c:pt idx="851">
                  <c:v>4.53E-2</c:v>
                </c:pt>
                <c:pt idx="852">
                  <c:v>4.5599999999999995E-2</c:v>
                </c:pt>
                <c:pt idx="853">
                  <c:v>4.6300000000000001E-2</c:v>
                </c:pt>
                <c:pt idx="854">
                  <c:v>4.5700000000000005E-2</c:v>
                </c:pt>
                <c:pt idx="855">
                  <c:v>4.5199999999999997E-2</c:v>
                </c:pt>
                <c:pt idx="856">
                  <c:v>4.4199999999999996E-2</c:v>
                </c:pt>
                <c:pt idx="857">
                  <c:v>4.3499999999999997E-2</c:v>
                </c:pt>
                <c:pt idx="858">
                  <c:v>4.3099999999999999E-2</c:v>
                </c:pt>
                <c:pt idx="859">
                  <c:v>4.2900000000000001E-2</c:v>
                </c:pt>
                <c:pt idx="860">
                  <c:v>4.4600000000000001E-2</c:v>
                </c:pt>
                <c:pt idx="861">
                  <c:v>4.4800000000000006E-2</c:v>
                </c:pt>
                <c:pt idx="862">
                  <c:v>4.41E-2</c:v>
                </c:pt>
                <c:pt idx="863">
                  <c:v>4.3200000000000002E-2</c:v>
                </c:pt>
                <c:pt idx="864">
                  <c:v>4.24E-2</c:v>
                </c:pt>
                <c:pt idx="865">
                  <c:v>4.2199999999999994E-2</c:v>
                </c:pt>
                <c:pt idx="866">
                  <c:v>4.2999999999999997E-2</c:v>
                </c:pt>
                <c:pt idx="867">
                  <c:v>4.24E-2</c:v>
                </c:pt>
                <c:pt idx="868">
                  <c:v>4.2599999999999999E-2</c:v>
                </c:pt>
                <c:pt idx="869">
                  <c:v>4.2599999999999999E-2</c:v>
                </c:pt>
                <c:pt idx="870">
                  <c:v>4.2699999999999995E-2</c:v>
                </c:pt>
                <c:pt idx="871">
                  <c:v>4.2500000000000003E-2</c:v>
                </c:pt>
                <c:pt idx="872">
                  <c:v>4.3200000000000002E-2</c:v>
                </c:pt>
                <c:pt idx="873">
                  <c:v>4.2900000000000001E-2</c:v>
                </c:pt>
                <c:pt idx="874">
                  <c:v>4.3299999999999998E-2</c:v>
                </c:pt>
                <c:pt idx="875">
                  <c:v>4.4400000000000002E-2</c:v>
                </c:pt>
                <c:pt idx="876">
                  <c:v>4.3899999999999995E-2</c:v>
                </c:pt>
                <c:pt idx="877">
                  <c:v>4.3299999999999998E-2</c:v>
                </c:pt>
                <c:pt idx="878">
                  <c:v>4.2199999999999994E-2</c:v>
                </c:pt>
                <c:pt idx="879">
                  <c:v>4.2300000000000004E-2</c:v>
                </c:pt>
                <c:pt idx="880">
                  <c:v>4.24E-2</c:v>
                </c:pt>
                <c:pt idx="881">
                  <c:v>4.24E-2</c:v>
                </c:pt>
                <c:pt idx="882">
                  <c:v>4.1299999999999996E-2</c:v>
                </c:pt>
                <c:pt idx="883">
                  <c:v>4.0999999999999995E-2</c:v>
                </c:pt>
                <c:pt idx="884">
                  <c:v>4.1299999999999996E-2</c:v>
                </c:pt>
                <c:pt idx="885">
                  <c:v>4.0899999999999999E-2</c:v>
                </c:pt>
                <c:pt idx="886">
                  <c:v>4.07E-2</c:v>
                </c:pt>
                <c:pt idx="887">
                  <c:v>4.1100000000000005E-2</c:v>
                </c:pt>
                <c:pt idx="888">
                  <c:v>4.1599999999999998E-2</c:v>
                </c:pt>
                <c:pt idx="889">
                  <c:v>4.1700000000000001E-2</c:v>
                </c:pt>
                <c:pt idx="890">
                  <c:v>4.1500000000000002E-2</c:v>
                </c:pt>
                <c:pt idx="891">
                  <c:v>4.1200000000000001E-2</c:v>
                </c:pt>
                <c:pt idx="892">
                  <c:v>4.1299999999999996E-2</c:v>
                </c:pt>
                <c:pt idx="893">
                  <c:v>4.0599999999999997E-2</c:v>
                </c:pt>
                <c:pt idx="894">
                  <c:v>4.0500000000000001E-2</c:v>
                </c:pt>
                <c:pt idx="895">
                  <c:v>4.0300000000000002E-2</c:v>
                </c:pt>
                <c:pt idx="896">
                  <c:v>3.9699999999999999E-2</c:v>
                </c:pt>
                <c:pt idx="897">
                  <c:v>3.8399999999999997E-2</c:v>
                </c:pt>
                <c:pt idx="898">
                  <c:v>3.6200000000000003E-2</c:v>
                </c:pt>
                <c:pt idx="899">
                  <c:v>3.6200000000000003E-2</c:v>
                </c:pt>
                <c:pt idx="900">
                  <c:v>3.73E-2</c:v>
                </c:pt>
                <c:pt idx="901">
                  <c:v>3.7900000000000003E-2</c:v>
                </c:pt>
                <c:pt idx="902">
                  <c:v>3.8300000000000001E-2</c:v>
                </c:pt>
                <c:pt idx="903">
                  <c:v>3.7999999999999999E-2</c:v>
                </c:pt>
                <c:pt idx="904">
                  <c:v>3.7499999999999999E-2</c:v>
                </c:pt>
                <c:pt idx="905">
                  <c:v>3.6799999999999999E-2</c:v>
                </c:pt>
                <c:pt idx="906">
                  <c:v>3.6699999999999997E-2</c:v>
                </c:pt>
                <c:pt idx="907">
                  <c:v>3.7900000000000003E-2</c:v>
                </c:pt>
                <c:pt idx="908">
                  <c:v>3.7699999999999997E-2</c:v>
                </c:pt>
                <c:pt idx="909">
                  <c:v>3.7499999999999999E-2</c:v>
                </c:pt>
                <c:pt idx="910">
                  <c:v>3.7000000000000005E-2</c:v>
                </c:pt>
                <c:pt idx="911">
                  <c:v>3.6400000000000002E-2</c:v>
                </c:pt>
                <c:pt idx="912">
                  <c:v>3.7200000000000004E-2</c:v>
                </c:pt>
                <c:pt idx="913">
                  <c:v>3.6499999999999998E-2</c:v>
                </c:pt>
                <c:pt idx="914">
                  <c:v>3.6600000000000001E-2</c:v>
                </c:pt>
                <c:pt idx="915">
                  <c:v>3.6600000000000001E-2</c:v>
                </c:pt>
                <c:pt idx="916">
                  <c:v>3.6299999999999999E-2</c:v>
                </c:pt>
                <c:pt idx="917">
                  <c:v>3.6600000000000001E-2</c:v>
                </c:pt>
                <c:pt idx="918">
                  <c:v>3.7100000000000001E-2</c:v>
                </c:pt>
                <c:pt idx="919">
                  <c:v>3.6499999999999998E-2</c:v>
                </c:pt>
                <c:pt idx="920">
                  <c:v>3.56E-2</c:v>
                </c:pt>
                <c:pt idx="921">
                  <c:v>3.5400000000000001E-2</c:v>
                </c:pt>
                <c:pt idx="922">
                  <c:v>3.5000000000000003E-2</c:v>
                </c:pt>
                <c:pt idx="923">
                  <c:v>3.49E-2</c:v>
                </c:pt>
                <c:pt idx="924">
                  <c:v>3.4300000000000004E-2</c:v>
                </c:pt>
                <c:pt idx="925">
                  <c:v>3.4500000000000003E-2</c:v>
                </c:pt>
                <c:pt idx="926">
                  <c:v>3.4700000000000002E-2</c:v>
                </c:pt>
                <c:pt idx="927">
                  <c:v>3.4300000000000004E-2</c:v>
                </c:pt>
                <c:pt idx="928">
                  <c:v>3.4099999999999998E-2</c:v>
                </c:pt>
                <c:pt idx="929">
                  <c:v>3.44E-2</c:v>
                </c:pt>
                <c:pt idx="930">
                  <c:v>3.4700000000000002E-2</c:v>
                </c:pt>
                <c:pt idx="931">
                  <c:v>3.49E-2</c:v>
                </c:pt>
                <c:pt idx="932">
                  <c:v>3.4799999999999998E-2</c:v>
                </c:pt>
                <c:pt idx="933">
                  <c:v>3.5099999999999999E-2</c:v>
                </c:pt>
                <c:pt idx="934">
                  <c:v>3.4700000000000002E-2</c:v>
                </c:pt>
                <c:pt idx="935">
                  <c:v>3.5200000000000002E-2</c:v>
                </c:pt>
                <c:pt idx="936">
                  <c:v>3.5499999999999997E-2</c:v>
                </c:pt>
                <c:pt idx="937">
                  <c:v>3.5000000000000003E-2</c:v>
                </c:pt>
                <c:pt idx="938">
                  <c:v>3.5799999999999998E-2</c:v>
                </c:pt>
                <c:pt idx="939">
                  <c:v>3.5099999999999999E-2</c:v>
                </c:pt>
                <c:pt idx="940">
                  <c:v>3.5499999999999997E-2</c:v>
                </c:pt>
                <c:pt idx="941">
                  <c:v>3.6200000000000003E-2</c:v>
                </c:pt>
                <c:pt idx="942">
                  <c:v>3.8100000000000002E-2</c:v>
                </c:pt>
                <c:pt idx="943">
                  <c:v>3.8599999999999995E-2</c:v>
                </c:pt>
                <c:pt idx="944">
                  <c:v>3.8599999999999995E-2</c:v>
                </c:pt>
                <c:pt idx="945">
                  <c:v>3.9100000000000003E-2</c:v>
                </c:pt>
                <c:pt idx="946">
                  <c:v>3.9100000000000003E-2</c:v>
                </c:pt>
                <c:pt idx="947">
                  <c:v>3.8800000000000001E-2</c:v>
                </c:pt>
                <c:pt idx="948">
                  <c:v>3.8599999999999995E-2</c:v>
                </c:pt>
                <c:pt idx="949">
                  <c:v>3.8399999999999997E-2</c:v>
                </c:pt>
                <c:pt idx="950">
                  <c:v>3.9E-2</c:v>
                </c:pt>
                <c:pt idx="951">
                  <c:v>3.8800000000000001E-2</c:v>
                </c:pt>
                <c:pt idx="952">
                  <c:v>3.9800000000000002E-2</c:v>
                </c:pt>
                <c:pt idx="953">
                  <c:v>0.04</c:v>
                </c:pt>
                <c:pt idx="954">
                  <c:v>4.0500000000000001E-2</c:v>
                </c:pt>
                <c:pt idx="955">
                  <c:v>4.0300000000000002E-2</c:v>
                </c:pt>
                <c:pt idx="956">
                  <c:v>4.07E-2</c:v>
                </c:pt>
                <c:pt idx="957">
                  <c:v>4.1100000000000005E-2</c:v>
                </c:pt>
                <c:pt idx="958">
                  <c:v>4.1100000000000005E-2</c:v>
                </c:pt>
                <c:pt idx="959">
                  <c:v>4.1399999999999999E-2</c:v>
                </c:pt>
                <c:pt idx="960">
                  <c:v>4.1500000000000002E-2</c:v>
                </c:pt>
                <c:pt idx="961">
                  <c:v>4.2199999999999994E-2</c:v>
                </c:pt>
                <c:pt idx="962">
                  <c:v>4.1700000000000001E-2</c:v>
                </c:pt>
                <c:pt idx="963">
                  <c:v>4.1599999999999998E-2</c:v>
                </c:pt>
                <c:pt idx="964">
                  <c:v>4.2699999999999995E-2</c:v>
                </c:pt>
                <c:pt idx="965">
                  <c:v>4.1700000000000001E-2</c:v>
                </c:pt>
                <c:pt idx="966">
                  <c:v>4.2000000000000003E-2</c:v>
                </c:pt>
                <c:pt idx="967">
                  <c:v>4.3200000000000002E-2</c:v>
                </c:pt>
                <c:pt idx="968">
                  <c:v>4.2999999999999997E-2</c:v>
                </c:pt>
                <c:pt idx="969">
                  <c:v>4.3200000000000002E-2</c:v>
                </c:pt>
                <c:pt idx="970">
                  <c:v>4.2999999999999997E-2</c:v>
                </c:pt>
                <c:pt idx="971">
                  <c:v>4.2800000000000005E-2</c:v>
                </c:pt>
                <c:pt idx="972">
                  <c:v>4.2500000000000003E-2</c:v>
                </c:pt>
                <c:pt idx="973">
                  <c:v>4.2800000000000005E-2</c:v>
                </c:pt>
                <c:pt idx="974">
                  <c:v>4.2999999999999997E-2</c:v>
                </c:pt>
                <c:pt idx="975">
                  <c:v>4.2999999999999997E-2</c:v>
                </c:pt>
                <c:pt idx="976">
                  <c:v>4.1700000000000001E-2</c:v>
                </c:pt>
                <c:pt idx="977">
                  <c:v>4.1700000000000001E-2</c:v>
                </c:pt>
                <c:pt idx="978">
                  <c:v>4.1100000000000005E-2</c:v>
                </c:pt>
                <c:pt idx="979">
                  <c:v>4.0500000000000001E-2</c:v>
                </c:pt>
                <c:pt idx="980">
                  <c:v>4.0800000000000003E-2</c:v>
                </c:pt>
                <c:pt idx="981">
                  <c:v>4.1100000000000005E-2</c:v>
                </c:pt>
                <c:pt idx="982">
                  <c:v>4.07E-2</c:v>
                </c:pt>
                <c:pt idx="983">
                  <c:v>4.07E-2</c:v>
                </c:pt>
                <c:pt idx="984">
                  <c:v>4.0300000000000002E-2</c:v>
                </c:pt>
                <c:pt idx="985">
                  <c:v>4.07E-2</c:v>
                </c:pt>
                <c:pt idx="986">
                  <c:v>4.0899999999999999E-2</c:v>
                </c:pt>
                <c:pt idx="987">
                  <c:v>4.1299999999999996E-2</c:v>
                </c:pt>
                <c:pt idx="988">
                  <c:v>4.1799999999999997E-2</c:v>
                </c:pt>
                <c:pt idx="989">
                  <c:v>4.2500000000000003E-2</c:v>
                </c:pt>
                <c:pt idx="990">
                  <c:v>4.2500000000000003E-2</c:v>
                </c:pt>
                <c:pt idx="991">
                  <c:v>4.2599999999999999E-2</c:v>
                </c:pt>
                <c:pt idx="992">
                  <c:v>4.4000000000000004E-2</c:v>
                </c:pt>
                <c:pt idx="993">
                  <c:v>4.4299999999999999E-2</c:v>
                </c:pt>
                <c:pt idx="994">
                  <c:v>4.3700000000000003E-2</c:v>
                </c:pt>
                <c:pt idx="995">
                  <c:v>4.4400000000000002E-2</c:v>
                </c:pt>
                <c:pt idx="996">
                  <c:v>4.4299999999999999E-2</c:v>
                </c:pt>
                <c:pt idx="997">
                  <c:v>4.4199999999999996E-2</c:v>
                </c:pt>
                <c:pt idx="998">
                  <c:v>4.4500000000000005E-2</c:v>
                </c:pt>
                <c:pt idx="999">
                  <c:v>4.3700000000000003E-2</c:v>
                </c:pt>
                <c:pt idx="1000">
                  <c:v>4.3799999999999999E-2</c:v>
                </c:pt>
              </c:numCache>
            </c:numRef>
          </c:val>
          <c:smooth val="0"/>
          <c:extLst>
            <c:ext xmlns:c16="http://schemas.microsoft.com/office/drawing/2014/chart" uri="{C3380CC4-5D6E-409C-BE32-E72D297353CC}">
              <c16:uniqueId val="{00000000-5E8E-4FB3-A6B7-9F7FF88FE94B}"/>
            </c:ext>
          </c:extLst>
        </c:ser>
        <c:ser>
          <c:idx val="1"/>
          <c:order val="1"/>
          <c:tx>
            <c:strRef>
              <c:f>Data!$R$37</c:f>
              <c:strCache>
                <c:ptCount val="1"/>
                <c:pt idx="0">
                  <c:v>Risk Free Rate (Treasury Constant Maturity - 10 Year)</c:v>
                </c:pt>
              </c:strCache>
            </c:strRef>
          </c:tx>
          <c:spPr>
            <a:ln w="12700" cap="rnd">
              <a:solidFill>
                <a:srgbClr val="7A0019"/>
              </a:solidFill>
              <a:round/>
            </a:ln>
            <a:effectLst/>
          </c:spPr>
          <c:marker>
            <c:symbol val="none"/>
          </c:marker>
          <c:cat>
            <c:numRef>
              <c:f>Data!$Q$1287:$Q$2287</c:f>
              <c:numCache>
                <c:formatCode>[$-409]mmm\-dd\-yyyy;@</c:formatCode>
                <c:ptCount val="1001"/>
                <c:pt idx="0">
                  <c:v>44196</c:v>
                </c:pt>
                <c:pt idx="1">
                  <c:v>44200</c:v>
                </c:pt>
                <c:pt idx="2">
                  <c:v>44201</c:v>
                </c:pt>
                <c:pt idx="3">
                  <c:v>44202</c:v>
                </c:pt>
                <c:pt idx="4">
                  <c:v>44203</c:v>
                </c:pt>
                <c:pt idx="5">
                  <c:v>44204</c:v>
                </c:pt>
                <c:pt idx="6">
                  <c:v>44207</c:v>
                </c:pt>
                <c:pt idx="7">
                  <c:v>44208</c:v>
                </c:pt>
                <c:pt idx="8">
                  <c:v>44209</c:v>
                </c:pt>
                <c:pt idx="9">
                  <c:v>44210</c:v>
                </c:pt>
                <c:pt idx="10">
                  <c:v>44211</c:v>
                </c:pt>
                <c:pt idx="11">
                  <c:v>44215</c:v>
                </c:pt>
                <c:pt idx="12">
                  <c:v>44216</c:v>
                </c:pt>
                <c:pt idx="13">
                  <c:v>44217</c:v>
                </c:pt>
                <c:pt idx="14">
                  <c:v>44218</c:v>
                </c:pt>
                <c:pt idx="15">
                  <c:v>44221</c:v>
                </c:pt>
                <c:pt idx="16">
                  <c:v>44222</c:v>
                </c:pt>
                <c:pt idx="17">
                  <c:v>44223</c:v>
                </c:pt>
                <c:pt idx="18">
                  <c:v>44224</c:v>
                </c:pt>
                <c:pt idx="19">
                  <c:v>44225</c:v>
                </c:pt>
                <c:pt idx="20">
                  <c:v>44228</c:v>
                </c:pt>
                <c:pt idx="21">
                  <c:v>44229</c:v>
                </c:pt>
                <c:pt idx="22">
                  <c:v>44230</c:v>
                </c:pt>
                <c:pt idx="23">
                  <c:v>44231</c:v>
                </c:pt>
                <c:pt idx="24">
                  <c:v>44232</c:v>
                </c:pt>
                <c:pt idx="25">
                  <c:v>44235</c:v>
                </c:pt>
                <c:pt idx="26">
                  <c:v>44236</c:v>
                </c:pt>
                <c:pt idx="27">
                  <c:v>44237</c:v>
                </c:pt>
                <c:pt idx="28">
                  <c:v>44238</c:v>
                </c:pt>
                <c:pt idx="29">
                  <c:v>44239</c:v>
                </c:pt>
                <c:pt idx="30">
                  <c:v>44243</c:v>
                </c:pt>
                <c:pt idx="31">
                  <c:v>44244</c:v>
                </c:pt>
                <c:pt idx="32">
                  <c:v>44245</c:v>
                </c:pt>
                <c:pt idx="33">
                  <c:v>44246</c:v>
                </c:pt>
                <c:pt idx="34">
                  <c:v>44249</c:v>
                </c:pt>
                <c:pt idx="35">
                  <c:v>44250</c:v>
                </c:pt>
                <c:pt idx="36">
                  <c:v>44251</c:v>
                </c:pt>
                <c:pt idx="37">
                  <c:v>44252</c:v>
                </c:pt>
                <c:pt idx="38">
                  <c:v>44253</c:v>
                </c:pt>
                <c:pt idx="39">
                  <c:v>44256</c:v>
                </c:pt>
                <c:pt idx="40">
                  <c:v>44257</c:v>
                </c:pt>
                <c:pt idx="41">
                  <c:v>44258</c:v>
                </c:pt>
                <c:pt idx="42">
                  <c:v>44259</c:v>
                </c:pt>
                <c:pt idx="43">
                  <c:v>44260</c:v>
                </c:pt>
                <c:pt idx="44">
                  <c:v>44263</c:v>
                </c:pt>
                <c:pt idx="45">
                  <c:v>44264</c:v>
                </c:pt>
                <c:pt idx="46">
                  <c:v>44265</c:v>
                </c:pt>
                <c:pt idx="47">
                  <c:v>44266</c:v>
                </c:pt>
                <c:pt idx="48">
                  <c:v>44267</c:v>
                </c:pt>
                <c:pt idx="49">
                  <c:v>44270</c:v>
                </c:pt>
                <c:pt idx="50">
                  <c:v>44271</c:v>
                </c:pt>
                <c:pt idx="51">
                  <c:v>44272</c:v>
                </c:pt>
                <c:pt idx="52">
                  <c:v>44273</c:v>
                </c:pt>
                <c:pt idx="53">
                  <c:v>44274</c:v>
                </c:pt>
                <c:pt idx="54">
                  <c:v>44277</c:v>
                </c:pt>
                <c:pt idx="55">
                  <c:v>44278</c:v>
                </c:pt>
                <c:pt idx="56">
                  <c:v>44279</c:v>
                </c:pt>
                <c:pt idx="57">
                  <c:v>44280</c:v>
                </c:pt>
                <c:pt idx="58">
                  <c:v>44281</c:v>
                </c:pt>
                <c:pt idx="59">
                  <c:v>44284</c:v>
                </c:pt>
                <c:pt idx="60">
                  <c:v>44285</c:v>
                </c:pt>
                <c:pt idx="61">
                  <c:v>44286</c:v>
                </c:pt>
                <c:pt idx="62">
                  <c:v>44287</c:v>
                </c:pt>
                <c:pt idx="63">
                  <c:v>44288</c:v>
                </c:pt>
                <c:pt idx="64">
                  <c:v>44291</c:v>
                </c:pt>
                <c:pt idx="65">
                  <c:v>44292</c:v>
                </c:pt>
                <c:pt idx="66">
                  <c:v>44293</c:v>
                </c:pt>
                <c:pt idx="67">
                  <c:v>44294</c:v>
                </c:pt>
                <c:pt idx="68">
                  <c:v>44295</c:v>
                </c:pt>
                <c:pt idx="69">
                  <c:v>44298</c:v>
                </c:pt>
                <c:pt idx="70">
                  <c:v>44299</c:v>
                </c:pt>
                <c:pt idx="71">
                  <c:v>44300</c:v>
                </c:pt>
                <c:pt idx="72">
                  <c:v>44301</c:v>
                </c:pt>
                <c:pt idx="73">
                  <c:v>44302</c:v>
                </c:pt>
                <c:pt idx="74">
                  <c:v>44305</c:v>
                </c:pt>
                <c:pt idx="75">
                  <c:v>44306</c:v>
                </c:pt>
                <c:pt idx="76">
                  <c:v>44307</c:v>
                </c:pt>
                <c:pt idx="77">
                  <c:v>44308</c:v>
                </c:pt>
                <c:pt idx="78">
                  <c:v>44309</c:v>
                </c:pt>
                <c:pt idx="79">
                  <c:v>44312</c:v>
                </c:pt>
                <c:pt idx="80">
                  <c:v>44313</c:v>
                </c:pt>
                <c:pt idx="81">
                  <c:v>44314</c:v>
                </c:pt>
                <c:pt idx="82">
                  <c:v>44315</c:v>
                </c:pt>
                <c:pt idx="83">
                  <c:v>44316</c:v>
                </c:pt>
                <c:pt idx="84">
                  <c:v>44319</c:v>
                </c:pt>
                <c:pt idx="85">
                  <c:v>44320</c:v>
                </c:pt>
                <c:pt idx="86">
                  <c:v>44321</c:v>
                </c:pt>
                <c:pt idx="87">
                  <c:v>44322</c:v>
                </c:pt>
                <c:pt idx="88">
                  <c:v>44323</c:v>
                </c:pt>
                <c:pt idx="89">
                  <c:v>44326</c:v>
                </c:pt>
                <c:pt idx="90">
                  <c:v>44327</c:v>
                </c:pt>
                <c:pt idx="91">
                  <c:v>44328</c:v>
                </c:pt>
                <c:pt idx="92">
                  <c:v>44329</c:v>
                </c:pt>
                <c:pt idx="93">
                  <c:v>44330</c:v>
                </c:pt>
                <c:pt idx="94">
                  <c:v>44333</c:v>
                </c:pt>
                <c:pt idx="95">
                  <c:v>44334</c:v>
                </c:pt>
                <c:pt idx="96">
                  <c:v>44335</c:v>
                </c:pt>
                <c:pt idx="97">
                  <c:v>44336</c:v>
                </c:pt>
                <c:pt idx="98">
                  <c:v>44337</c:v>
                </c:pt>
                <c:pt idx="99">
                  <c:v>44340</c:v>
                </c:pt>
                <c:pt idx="100">
                  <c:v>44341</c:v>
                </c:pt>
                <c:pt idx="101">
                  <c:v>44342</c:v>
                </c:pt>
                <c:pt idx="102">
                  <c:v>44343</c:v>
                </c:pt>
                <c:pt idx="103">
                  <c:v>44344</c:v>
                </c:pt>
                <c:pt idx="104">
                  <c:v>44348</c:v>
                </c:pt>
                <c:pt idx="105">
                  <c:v>44349</c:v>
                </c:pt>
                <c:pt idx="106">
                  <c:v>44350</c:v>
                </c:pt>
                <c:pt idx="107">
                  <c:v>44351</c:v>
                </c:pt>
                <c:pt idx="108">
                  <c:v>44354</c:v>
                </c:pt>
                <c:pt idx="109">
                  <c:v>44355</c:v>
                </c:pt>
                <c:pt idx="110">
                  <c:v>44356</c:v>
                </c:pt>
                <c:pt idx="111">
                  <c:v>44357</c:v>
                </c:pt>
                <c:pt idx="112">
                  <c:v>44358</c:v>
                </c:pt>
                <c:pt idx="113">
                  <c:v>44361</c:v>
                </c:pt>
                <c:pt idx="114">
                  <c:v>44362</c:v>
                </c:pt>
                <c:pt idx="115">
                  <c:v>44363</c:v>
                </c:pt>
                <c:pt idx="116">
                  <c:v>44364</c:v>
                </c:pt>
                <c:pt idx="117">
                  <c:v>44365</c:v>
                </c:pt>
                <c:pt idx="118">
                  <c:v>44368</c:v>
                </c:pt>
                <c:pt idx="119">
                  <c:v>44369</c:v>
                </c:pt>
                <c:pt idx="120">
                  <c:v>44370</c:v>
                </c:pt>
                <c:pt idx="121">
                  <c:v>44371</c:v>
                </c:pt>
                <c:pt idx="122">
                  <c:v>44372</c:v>
                </c:pt>
                <c:pt idx="123">
                  <c:v>44375</c:v>
                </c:pt>
                <c:pt idx="124">
                  <c:v>44376</c:v>
                </c:pt>
                <c:pt idx="125">
                  <c:v>44377</c:v>
                </c:pt>
                <c:pt idx="126">
                  <c:v>44378</c:v>
                </c:pt>
                <c:pt idx="127">
                  <c:v>44379</c:v>
                </c:pt>
                <c:pt idx="128">
                  <c:v>44383</c:v>
                </c:pt>
                <c:pt idx="129">
                  <c:v>44384</c:v>
                </c:pt>
                <c:pt idx="130">
                  <c:v>44385</c:v>
                </c:pt>
                <c:pt idx="131">
                  <c:v>44386</c:v>
                </c:pt>
                <c:pt idx="132">
                  <c:v>44389</c:v>
                </c:pt>
                <c:pt idx="133">
                  <c:v>44390</c:v>
                </c:pt>
                <c:pt idx="134">
                  <c:v>44391</c:v>
                </c:pt>
                <c:pt idx="135">
                  <c:v>44392</c:v>
                </c:pt>
                <c:pt idx="136">
                  <c:v>44393</c:v>
                </c:pt>
                <c:pt idx="137">
                  <c:v>44396</c:v>
                </c:pt>
                <c:pt idx="138">
                  <c:v>44397</c:v>
                </c:pt>
                <c:pt idx="139">
                  <c:v>44398</c:v>
                </c:pt>
                <c:pt idx="140">
                  <c:v>44399</c:v>
                </c:pt>
                <c:pt idx="141">
                  <c:v>44400</c:v>
                </c:pt>
                <c:pt idx="142">
                  <c:v>44403</c:v>
                </c:pt>
                <c:pt idx="143">
                  <c:v>44404</c:v>
                </c:pt>
                <c:pt idx="144">
                  <c:v>44405</c:v>
                </c:pt>
                <c:pt idx="145">
                  <c:v>44406</c:v>
                </c:pt>
                <c:pt idx="146">
                  <c:v>44407</c:v>
                </c:pt>
                <c:pt idx="147">
                  <c:v>44410</c:v>
                </c:pt>
                <c:pt idx="148">
                  <c:v>44411</c:v>
                </c:pt>
                <c:pt idx="149">
                  <c:v>44412</c:v>
                </c:pt>
                <c:pt idx="150">
                  <c:v>44413</c:v>
                </c:pt>
                <c:pt idx="151">
                  <c:v>44414</c:v>
                </c:pt>
                <c:pt idx="152">
                  <c:v>44417</c:v>
                </c:pt>
                <c:pt idx="153">
                  <c:v>44418</c:v>
                </c:pt>
                <c:pt idx="154">
                  <c:v>44419</c:v>
                </c:pt>
                <c:pt idx="155">
                  <c:v>44420</c:v>
                </c:pt>
                <c:pt idx="156">
                  <c:v>44421</c:v>
                </c:pt>
                <c:pt idx="157">
                  <c:v>44424</c:v>
                </c:pt>
                <c:pt idx="158">
                  <c:v>44425</c:v>
                </c:pt>
                <c:pt idx="159">
                  <c:v>44426</c:v>
                </c:pt>
                <c:pt idx="160">
                  <c:v>44427</c:v>
                </c:pt>
                <c:pt idx="161">
                  <c:v>44428</c:v>
                </c:pt>
                <c:pt idx="162">
                  <c:v>44431</c:v>
                </c:pt>
                <c:pt idx="163">
                  <c:v>44432</c:v>
                </c:pt>
                <c:pt idx="164">
                  <c:v>44433</c:v>
                </c:pt>
                <c:pt idx="165">
                  <c:v>44434</c:v>
                </c:pt>
                <c:pt idx="166">
                  <c:v>44435</c:v>
                </c:pt>
                <c:pt idx="167">
                  <c:v>44438</c:v>
                </c:pt>
                <c:pt idx="168">
                  <c:v>44439</c:v>
                </c:pt>
                <c:pt idx="169">
                  <c:v>44440</c:v>
                </c:pt>
                <c:pt idx="170">
                  <c:v>44441</c:v>
                </c:pt>
                <c:pt idx="171">
                  <c:v>44442</c:v>
                </c:pt>
                <c:pt idx="172">
                  <c:v>44446</c:v>
                </c:pt>
                <c:pt idx="173">
                  <c:v>44447</c:v>
                </c:pt>
                <c:pt idx="174">
                  <c:v>44448</c:v>
                </c:pt>
                <c:pt idx="175">
                  <c:v>44449</c:v>
                </c:pt>
                <c:pt idx="176">
                  <c:v>44452</c:v>
                </c:pt>
                <c:pt idx="177">
                  <c:v>44453</c:v>
                </c:pt>
                <c:pt idx="178">
                  <c:v>44454</c:v>
                </c:pt>
                <c:pt idx="179">
                  <c:v>44455</c:v>
                </c:pt>
                <c:pt idx="180">
                  <c:v>44456</c:v>
                </c:pt>
                <c:pt idx="181">
                  <c:v>44459</c:v>
                </c:pt>
                <c:pt idx="182">
                  <c:v>44460</c:v>
                </c:pt>
                <c:pt idx="183">
                  <c:v>44461</c:v>
                </c:pt>
                <c:pt idx="184">
                  <c:v>44462</c:v>
                </c:pt>
                <c:pt idx="185">
                  <c:v>44463</c:v>
                </c:pt>
                <c:pt idx="186">
                  <c:v>44466</c:v>
                </c:pt>
                <c:pt idx="187">
                  <c:v>44467</c:v>
                </c:pt>
                <c:pt idx="188">
                  <c:v>44468</c:v>
                </c:pt>
                <c:pt idx="189">
                  <c:v>44469</c:v>
                </c:pt>
                <c:pt idx="190">
                  <c:v>44470</c:v>
                </c:pt>
                <c:pt idx="191">
                  <c:v>44473</c:v>
                </c:pt>
                <c:pt idx="192">
                  <c:v>44474</c:v>
                </c:pt>
                <c:pt idx="193">
                  <c:v>44475</c:v>
                </c:pt>
                <c:pt idx="194">
                  <c:v>44476</c:v>
                </c:pt>
                <c:pt idx="195">
                  <c:v>44477</c:v>
                </c:pt>
                <c:pt idx="196">
                  <c:v>44481</c:v>
                </c:pt>
                <c:pt idx="197">
                  <c:v>44482</c:v>
                </c:pt>
                <c:pt idx="198">
                  <c:v>44483</c:v>
                </c:pt>
                <c:pt idx="199">
                  <c:v>44484</c:v>
                </c:pt>
                <c:pt idx="200">
                  <c:v>44487</c:v>
                </c:pt>
                <c:pt idx="201">
                  <c:v>44488</c:v>
                </c:pt>
                <c:pt idx="202">
                  <c:v>44489</c:v>
                </c:pt>
                <c:pt idx="203">
                  <c:v>44490</c:v>
                </c:pt>
                <c:pt idx="204">
                  <c:v>44491</c:v>
                </c:pt>
                <c:pt idx="205">
                  <c:v>44494</c:v>
                </c:pt>
                <c:pt idx="206">
                  <c:v>44495</c:v>
                </c:pt>
                <c:pt idx="207">
                  <c:v>44496</c:v>
                </c:pt>
                <c:pt idx="208">
                  <c:v>44497</c:v>
                </c:pt>
                <c:pt idx="209">
                  <c:v>44498</c:v>
                </c:pt>
                <c:pt idx="210">
                  <c:v>44501</c:v>
                </c:pt>
                <c:pt idx="211">
                  <c:v>44502</c:v>
                </c:pt>
                <c:pt idx="212">
                  <c:v>44503</c:v>
                </c:pt>
                <c:pt idx="213">
                  <c:v>44504</c:v>
                </c:pt>
                <c:pt idx="214">
                  <c:v>44505</c:v>
                </c:pt>
                <c:pt idx="215">
                  <c:v>44508</c:v>
                </c:pt>
                <c:pt idx="216">
                  <c:v>44509</c:v>
                </c:pt>
                <c:pt idx="217">
                  <c:v>44510</c:v>
                </c:pt>
                <c:pt idx="218">
                  <c:v>44512</c:v>
                </c:pt>
                <c:pt idx="219">
                  <c:v>44515</c:v>
                </c:pt>
                <c:pt idx="220">
                  <c:v>44516</c:v>
                </c:pt>
                <c:pt idx="221">
                  <c:v>44517</c:v>
                </c:pt>
                <c:pt idx="222">
                  <c:v>44518</c:v>
                </c:pt>
                <c:pt idx="223">
                  <c:v>44519</c:v>
                </c:pt>
                <c:pt idx="224">
                  <c:v>44522</c:v>
                </c:pt>
                <c:pt idx="225">
                  <c:v>44523</c:v>
                </c:pt>
                <c:pt idx="226">
                  <c:v>44524</c:v>
                </c:pt>
                <c:pt idx="227">
                  <c:v>44526</c:v>
                </c:pt>
                <c:pt idx="228">
                  <c:v>44529</c:v>
                </c:pt>
                <c:pt idx="229">
                  <c:v>44530</c:v>
                </c:pt>
                <c:pt idx="230">
                  <c:v>44531</c:v>
                </c:pt>
                <c:pt idx="231">
                  <c:v>44532</c:v>
                </c:pt>
                <c:pt idx="232">
                  <c:v>44533</c:v>
                </c:pt>
                <c:pt idx="233">
                  <c:v>44536</c:v>
                </c:pt>
                <c:pt idx="234">
                  <c:v>44537</c:v>
                </c:pt>
                <c:pt idx="235">
                  <c:v>44538</c:v>
                </c:pt>
                <c:pt idx="236">
                  <c:v>44539</c:v>
                </c:pt>
                <c:pt idx="237">
                  <c:v>44540</c:v>
                </c:pt>
                <c:pt idx="238">
                  <c:v>44543</c:v>
                </c:pt>
                <c:pt idx="239">
                  <c:v>44544</c:v>
                </c:pt>
                <c:pt idx="240">
                  <c:v>44545</c:v>
                </c:pt>
                <c:pt idx="241">
                  <c:v>44546</c:v>
                </c:pt>
                <c:pt idx="242">
                  <c:v>44547</c:v>
                </c:pt>
                <c:pt idx="243">
                  <c:v>44550</c:v>
                </c:pt>
                <c:pt idx="244">
                  <c:v>44551</c:v>
                </c:pt>
                <c:pt idx="245">
                  <c:v>44552</c:v>
                </c:pt>
                <c:pt idx="246">
                  <c:v>44553</c:v>
                </c:pt>
                <c:pt idx="247">
                  <c:v>44557</c:v>
                </c:pt>
                <c:pt idx="248">
                  <c:v>44558</c:v>
                </c:pt>
                <c:pt idx="249">
                  <c:v>44559</c:v>
                </c:pt>
                <c:pt idx="250">
                  <c:v>44560</c:v>
                </c:pt>
                <c:pt idx="251">
                  <c:v>44561</c:v>
                </c:pt>
                <c:pt idx="252">
                  <c:v>44564</c:v>
                </c:pt>
                <c:pt idx="253">
                  <c:v>44565</c:v>
                </c:pt>
                <c:pt idx="254">
                  <c:v>44566</c:v>
                </c:pt>
                <c:pt idx="255">
                  <c:v>44567</c:v>
                </c:pt>
                <c:pt idx="256">
                  <c:v>44568</c:v>
                </c:pt>
                <c:pt idx="257">
                  <c:v>44571</c:v>
                </c:pt>
                <c:pt idx="258">
                  <c:v>44572</c:v>
                </c:pt>
                <c:pt idx="259">
                  <c:v>44573</c:v>
                </c:pt>
                <c:pt idx="260">
                  <c:v>44574</c:v>
                </c:pt>
                <c:pt idx="261">
                  <c:v>44575</c:v>
                </c:pt>
                <c:pt idx="262">
                  <c:v>44579</c:v>
                </c:pt>
                <c:pt idx="263">
                  <c:v>44580</c:v>
                </c:pt>
                <c:pt idx="264">
                  <c:v>44581</c:v>
                </c:pt>
                <c:pt idx="265">
                  <c:v>44582</c:v>
                </c:pt>
                <c:pt idx="266">
                  <c:v>44585</c:v>
                </c:pt>
                <c:pt idx="267">
                  <c:v>44586</c:v>
                </c:pt>
                <c:pt idx="268">
                  <c:v>44587</c:v>
                </c:pt>
                <c:pt idx="269">
                  <c:v>44588</c:v>
                </c:pt>
                <c:pt idx="270">
                  <c:v>44589</c:v>
                </c:pt>
                <c:pt idx="271">
                  <c:v>44592</c:v>
                </c:pt>
                <c:pt idx="272">
                  <c:v>44593</c:v>
                </c:pt>
                <c:pt idx="273">
                  <c:v>44594</c:v>
                </c:pt>
                <c:pt idx="274">
                  <c:v>44595</c:v>
                </c:pt>
                <c:pt idx="275">
                  <c:v>44596</c:v>
                </c:pt>
                <c:pt idx="276">
                  <c:v>44599</c:v>
                </c:pt>
                <c:pt idx="277">
                  <c:v>44600</c:v>
                </c:pt>
                <c:pt idx="278">
                  <c:v>44601</c:v>
                </c:pt>
                <c:pt idx="279">
                  <c:v>44602</c:v>
                </c:pt>
                <c:pt idx="280">
                  <c:v>44603</c:v>
                </c:pt>
                <c:pt idx="281">
                  <c:v>44606</c:v>
                </c:pt>
                <c:pt idx="282">
                  <c:v>44607</c:v>
                </c:pt>
                <c:pt idx="283">
                  <c:v>44608</c:v>
                </c:pt>
                <c:pt idx="284">
                  <c:v>44609</c:v>
                </c:pt>
                <c:pt idx="285">
                  <c:v>44610</c:v>
                </c:pt>
                <c:pt idx="286">
                  <c:v>44614</c:v>
                </c:pt>
                <c:pt idx="287">
                  <c:v>44615</c:v>
                </c:pt>
                <c:pt idx="288">
                  <c:v>44616</c:v>
                </c:pt>
                <c:pt idx="289">
                  <c:v>44617</c:v>
                </c:pt>
                <c:pt idx="290">
                  <c:v>44620</c:v>
                </c:pt>
                <c:pt idx="291">
                  <c:v>44621</c:v>
                </c:pt>
                <c:pt idx="292">
                  <c:v>44622</c:v>
                </c:pt>
                <c:pt idx="293">
                  <c:v>44623</c:v>
                </c:pt>
                <c:pt idx="294">
                  <c:v>44624</c:v>
                </c:pt>
                <c:pt idx="295">
                  <c:v>44627</c:v>
                </c:pt>
                <c:pt idx="296">
                  <c:v>44628</c:v>
                </c:pt>
                <c:pt idx="297">
                  <c:v>44629</c:v>
                </c:pt>
                <c:pt idx="298">
                  <c:v>44630</c:v>
                </c:pt>
                <c:pt idx="299">
                  <c:v>44631</c:v>
                </c:pt>
                <c:pt idx="300">
                  <c:v>44634</c:v>
                </c:pt>
                <c:pt idx="301">
                  <c:v>44635</c:v>
                </c:pt>
                <c:pt idx="302">
                  <c:v>44636</c:v>
                </c:pt>
                <c:pt idx="303">
                  <c:v>44637</c:v>
                </c:pt>
                <c:pt idx="304">
                  <c:v>44638</c:v>
                </c:pt>
                <c:pt idx="305">
                  <c:v>44641</c:v>
                </c:pt>
                <c:pt idx="306">
                  <c:v>44642</c:v>
                </c:pt>
                <c:pt idx="307">
                  <c:v>44643</c:v>
                </c:pt>
                <c:pt idx="308">
                  <c:v>44644</c:v>
                </c:pt>
                <c:pt idx="309">
                  <c:v>44645</c:v>
                </c:pt>
                <c:pt idx="310">
                  <c:v>44648</c:v>
                </c:pt>
                <c:pt idx="311">
                  <c:v>44649</c:v>
                </c:pt>
                <c:pt idx="312">
                  <c:v>44650</c:v>
                </c:pt>
                <c:pt idx="313">
                  <c:v>44651</c:v>
                </c:pt>
                <c:pt idx="314">
                  <c:v>44652</c:v>
                </c:pt>
                <c:pt idx="315">
                  <c:v>44655</c:v>
                </c:pt>
                <c:pt idx="316">
                  <c:v>44656</c:v>
                </c:pt>
                <c:pt idx="317">
                  <c:v>44657</c:v>
                </c:pt>
                <c:pt idx="318">
                  <c:v>44658</c:v>
                </c:pt>
                <c:pt idx="319">
                  <c:v>44659</c:v>
                </c:pt>
                <c:pt idx="320">
                  <c:v>44662</c:v>
                </c:pt>
                <c:pt idx="321">
                  <c:v>44663</c:v>
                </c:pt>
                <c:pt idx="322">
                  <c:v>44664</c:v>
                </c:pt>
                <c:pt idx="323">
                  <c:v>44665</c:v>
                </c:pt>
                <c:pt idx="324">
                  <c:v>44669</c:v>
                </c:pt>
                <c:pt idx="325">
                  <c:v>44670</c:v>
                </c:pt>
                <c:pt idx="326">
                  <c:v>44671</c:v>
                </c:pt>
                <c:pt idx="327">
                  <c:v>44672</c:v>
                </c:pt>
                <c:pt idx="328">
                  <c:v>44673</c:v>
                </c:pt>
                <c:pt idx="329">
                  <c:v>44676</c:v>
                </c:pt>
                <c:pt idx="330">
                  <c:v>44677</c:v>
                </c:pt>
                <c:pt idx="331">
                  <c:v>44678</c:v>
                </c:pt>
                <c:pt idx="332">
                  <c:v>44679</c:v>
                </c:pt>
                <c:pt idx="333">
                  <c:v>44680</c:v>
                </c:pt>
                <c:pt idx="334">
                  <c:v>44683</c:v>
                </c:pt>
                <c:pt idx="335">
                  <c:v>44684</c:v>
                </c:pt>
                <c:pt idx="336">
                  <c:v>44685</c:v>
                </c:pt>
                <c:pt idx="337">
                  <c:v>44686</c:v>
                </c:pt>
                <c:pt idx="338">
                  <c:v>44687</c:v>
                </c:pt>
                <c:pt idx="339">
                  <c:v>44690</c:v>
                </c:pt>
                <c:pt idx="340">
                  <c:v>44691</c:v>
                </c:pt>
                <c:pt idx="341">
                  <c:v>44692</c:v>
                </c:pt>
                <c:pt idx="342">
                  <c:v>44693</c:v>
                </c:pt>
                <c:pt idx="343">
                  <c:v>44694</c:v>
                </c:pt>
                <c:pt idx="344">
                  <c:v>44697</c:v>
                </c:pt>
                <c:pt idx="345">
                  <c:v>44698</c:v>
                </c:pt>
                <c:pt idx="346">
                  <c:v>44699</c:v>
                </c:pt>
                <c:pt idx="347">
                  <c:v>44700</c:v>
                </c:pt>
                <c:pt idx="348">
                  <c:v>44701</c:v>
                </c:pt>
                <c:pt idx="349">
                  <c:v>44704</c:v>
                </c:pt>
                <c:pt idx="350">
                  <c:v>44705</c:v>
                </c:pt>
                <c:pt idx="351">
                  <c:v>44706</c:v>
                </c:pt>
                <c:pt idx="352">
                  <c:v>44707</c:v>
                </c:pt>
                <c:pt idx="353">
                  <c:v>44708</c:v>
                </c:pt>
                <c:pt idx="354">
                  <c:v>44712</c:v>
                </c:pt>
                <c:pt idx="355">
                  <c:v>44713</c:v>
                </c:pt>
                <c:pt idx="356">
                  <c:v>44714</c:v>
                </c:pt>
                <c:pt idx="357">
                  <c:v>44715</c:v>
                </c:pt>
                <c:pt idx="358">
                  <c:v>44718</c:v>
                </c:pt>
                <c:pt idx="359">
                  <c:v>44719</c:v>
                </c:pt>
                <c:pt idx="360">
                  <c:v>44720</c:v>
                </c:pt>
                <c:pt idx="361">
                  <c:v>44721</c:v>
                </c:pt>
                <c:pt idx="362">
                  <c:v>44722</c:v>
                </c:pt>
                <c:pt idx="363">
                  <c:v>44725</c:v>
                </c:pt>
                <c:pt idx="364">
                  <c:v>44726</c:v>
                </c:pt>
                <c:pt idx="365">
                  <c:v>44727</c:v>
                </c:pt>
                <c:pt idx="366">
                  <c:v>44728</c:v>
                </c:pt>
                <c:pt idx="367">
                  <c:v>44729</c:v>
                </c:pt>
                <c:pt idx="368">
                  <c:v>44733</c:v>
                </c:pt>
                <c:pt idx="369">
                  <c:v>44734</c:v>
                </c:pt>
                <c:pt idx="370">
                  <c:v>44735</c:v>
                </c:pt>
                <c:pt idx="371">
                  <c:v>44736</c:v>
                </c:pt>
                <c:pt idx="372">
                  <c:v>44739</c:v>
                </c:pt>
                <c:pt idx="373">
                  <c:v>44740</c:v>
                </c:pt>
                <c:pt idx="374">
                  <c:v>44741</c:v>
                </c:pt>
                <c:pt idx="375">
                  <c:v>44742</c:v>
                </c:pt>
                <c:pt idx="376">
                  <c:v>44743</c:v>
                </c:pt>
                <c:pt idx="377">
                  <c:v>44747</c:v>
                </c:pt>
                <c:pt idx="378">
                  <c:v>44748</c:v>
                </c:pt>
                <c:pt idx="379">
                  <c:v>44749</c:v>
                </c:pt>
                <c:pt idx="380">
                  <c:v>44750</c:v>
                </c:pt>
                <c:pt idx="381">
                  <c:v>44753</c:v>
                </c:pt>
                <c:pt idx="382">
                  <c:v>44754</c:v>
                </c:pt>
                <c:pt idx="383">
                  <c:v>44755</c:v>
                </c:pt>
                <c:pt idx="384">
                  <c:v>44756</c:v>
                </c:pt>
                <c:pt idx="385">
                  <c:v>44757</c:v>
                </c:pt>
                <c:pt idx="386">
                  <c:v>44760</c:v>
                </c:pt>
                <c:pt idx="387">
                  <c:v>44761</c:v>
                </c:pt>
                <c:pt idx="388">
                  <c:v>44762</c:v>
                </c:pt>
                <c:pt idx="389">
                  <c:v>44763</c:v>
                </c:pt>
                <c:pt idx="390">
                  <c:v>44764</c:v>
                </c:pt>
                <c:pt idx="391">
                  <c:v>44767</c:v>
                </c:pt>
                <c:pt idx="392">
                  <c:v>44768</c:v>
                </c:pt>
                <c:pt idx="393">
                  <c:v>44769</c:v>
                </c:pt>
                <c:pt idx="394">
                  <c:v>44770</c:v>
                </c:pt>
                <c:pt idx="395">
                  <c:v>44771</c:v>
                </c:pt>
                <c:pt idx="396">
                  <c:v>44774</c:v>
                </c:pt>
                <c:pt idx="397">
                  <c:v>44775</c:v>
                </c:pt>
                <c:pt idx="398">
                  <c:v>44776</c:v>
                </c:pt>
                <c:pt idx="399">
                  <c:v>44777</c:v>
                </c:pt>
                <c:pt idx="400">
                  <c:v>44778</c:v>
                </c:pt>
                <c:pt idx="401">
                  <c:v>44781</c:v>
                </c:pt>
                <c:pt idx="402">
                  <c:v>44782</c:v>
                </c:pt>
                <c:pt idx="403">
                  <c:v>44783</c:v>
                </c:pt>
                <c:pt idx="404">
                  <c:v>44784</c:v>
                </c:pt>
                <c:pt idx="405">
                  <c:v>44785</c:v>
                </c:pt>
                <c:pt idx="406">
                  <c:v>44788</c:v>
                </c:pt>
                <c:pt idx="407">
                  <c:v>44789</c:v>
                </c:pt>
                <c:pt idx="408">
                  <c:v>44790</c:v>
                </c:pt>
                <c:pt idx="409">
                  <c:v>44791</c:v>
                </c:pt>
                <c:pt idx="410">
                  <c:v>44792</c:v>
                </c:pt>
                <c:pt idx="411">
                  <c:v>44795</c:v>
                </c:pt>
                <c:pt idx="412">
                  <c:v>44796</c:v>
                </c:pt>
                <c:pt idx="413">
                  <c:v>44797</c:v>
                </c:pt>
                <c:pt idx="414">
                  <c:v>44798</c:v>
                </c:pt>
                <c:pt idx="415">
                  <c:v>44799</c:v>
                </c:pt>
                <c:pt idx="416">
                  <c:v>44802</c:v>
                </c:pt>
                <c:pt idx="417">
                  <c:v>44803</c:v>
                </c:pt>
                <c:pt idx="418">
                  <c:v>44804</c:v>
                </c:pt>
                <c:pt idx="419">
                  <c:v>44805</c:v>
                </c:pt>
                <c:pt idx="420">
                  <c:v>44806</c:v>
                </c:pt>
                <c:pt idx="421">
                  <c:v>44810</c:v>
                </c:pt>
                <c:pt idx="422">
                  <c:v>44811</c:v>
                </c:pt>
                <c:pt idx="423">
                  <c:v>44812</c:v>
                </c:pt>
                <c:pt idx="424">
                  <c:v>44813</c:v>
                </c:pt>
                <c:pt idx="425">
                  <c:v>44816</c:v>
                </c:pt>
                <c:pt idx="426">
                  <c:v>44817</c:v>
                </c:pt>
                <c:pt idx="427">
                  <c:v>44818</c:v>
                </c:pt>
                <c:pt idx="428">
                  <c:v>44819</c:v>
                </c:pt>
                <c:pt idx="429">
                  <c:v>44820</c:v>
                </c:pt>
                <c:pt idx="430">
                  <c:v>44823</c:v>
                </c:pt>
                <c:pt idx="431">
                  <c:v>44824</c:v>
                </c:pt>
                <c:pt idx="432">
                  <c:v>44825</c:v>
                </c:pt>
                <c:pt idx="433">
                  <c:v>44826</c:v>
                </c:pt>
                <c:pt idx="434">
                  <c:v>44827</c:v>
                </c:pt>
                <c:pt idx="435">
                  <c:v>44830</c:v>
                </c:pt>
                <c:pt idx="436">
                  <c:v>44831</c:v>
                </c:pt>
                <c:pt idx="437">
                  <c:v>44832</c:v>
                </c:pt>
                <c:pt idx="438">
                  <c:v>44833</c:v>
                </c:pt>
                <c:pt idx="439">
                  <c:v>44834</c:v>
                </c:pt>
                <c:pt idx="440">
                  <c:v>44837</c:v>
                </c:pt>
                <c:pt idx="441">
                  <c:v>44838</c:v>
                </c:pt>
                <c:pt idx="442">
                  <c:v>44839</c:v>
                </c:pt>
                <c:pt idx="443">
                  <c:v>44840</c:v>
                </c:pt>
                <c:pt idx="444">
                  <c:v>44841</c:v>
                </c:pt>
                <c:pt idx="445">
                  <c:v>44845</c:v>
                </c:pt>
                <c:pt idx="446">
                  <c:v>44846</c:v>
                </c:pt>
                <c:pt idx="447">
                  <c:v>44847</c:v>
                </c:pt>
                <c:pt idx="448">
                  <c:v>44848</c:v>
                </c:pt>
                <c:pt idx="449">
                  <c:v>44851</c:v>
                </c:pt>
                <c:pt idx="450">
                  <c:v>44852</c:v>
                </c:pt>
                <c:pt idx="451">
                  <c:v>44853</c:v>
                </c:pt>
                <c:pt idx="452">
                  <c:v>44854</c:v>
                </c:pt>
                <c:pt idx="453">
                  <c:v>44855</c:v>
                </c:pt>
                <c:pt idx="454">
                  <c:v>44858</c:v>
                </c:pt>
                <c:pt idx="455">
                  <c:v>44859</c:v>
                </c:pt>
                <c:pt idx="456">
                  <c:v>44860</c:v>
                </c:pt>
                <c:pt idx="457">
                  <c:v>44861</c:v>
                </c:pt>
                <c:pt idx="458">
                  <c:v>44862</c:v>
                </c:pt>
                <c:pt idx="459">
                  <c:v>44865</c:v>
                </c:pt>
                <c:pt idx="460">
                  <c:v>44866</c:v>
                </c:pt>
                <c:pt idx="461">
                  <c:v>44867</c:v>
                </c:pt>
                <c:pt idx="462">
                  <c:v>44868</c:v>
                </c:pt>
                <c:pt idx="463">
                  <c:v>44869</c:v>
                </c:pt>
                <c:pt idx="464">
                  <c:v>44872</c:v>
                </c:pt>
                <c:pt idx="465">
                  <c:v>44873</c:v>
                </c:pt>
                <c:pt idx="466">
                  <c:v>44874</c:v>
                </c:pt>
                <c:pt idx="467">
                  <c:v>44875</c:v>
                </c:pt>
                <c:pt idx="468">
                  <c:v>44879</c:v>
                </c:pt>
                <c:pt idx="469">
                  <c:v>44880</c:v>
                </c:pt>
                <c:pt idx="470">
                  <c:v>44881</c:v>
                </c:pt>
                <c:pt idx="471">
                  <c:v>44882</c:v>
                </c:pt>
                <c:pt idx="472">
                  <c:v>44883</c:v>
                </c:pt>
                <c:pt idx="473">
                  <c:v>44886</c:v>
                </c:pt>
                <c:pt idx="474">
                  <c:v>44887</c:v>
                </c:pt>
                <c:pt idx="475">
                  <c:v>44888</c:v>
                </c:pt>
                <c:pt idx="476">
                  <c:v>44890</c:v>
                </c:pt>
                <c:pt idx="477">
                  <c:v>44893</c:v>
                </c:pt>
                <c:pt idx="478">
                  <c:v>44894</c:v>
                </c:pt>
                <c:pt idx="479">
                  <c:v>44895</c:v>
                </c:pt>
                <c:pt idx="480">
                  <c:v>44896</c:v>
                </c:pt>
                <c:pt idx="481">
                  <c:v>44897</c:v>
                </c:pt>
                <c:pt idx="482">
                  <c:v>44900</c:v>
                </c:pt>
                <c:pt idx="483">
                  <c:v>44901</c:v>
                </c:pt>
                <c:pt idx="484">
                  <c:v>44902</c:v>
                </c:pt>
                <c:pt idx="485">
                  <c:v>44903</c:v>
                </c:pt>
                <c:pt idx="486">
                  <c:v>44904</c:v>
                </c:pt>
                <c:pt idx="487">
                  <c:v>44907</c:v>
                </c:pt>
                <c:pt idx="488">
                  <c:v>44908</c:v>
                </c:pt>
                <c:pt idx="489">
                  <c:v>44909</c:v>
                </c:pt>
                <c:pt idx="490">
                  <c:v>44910</c:v>
                </c:pt>
                <c:pt idx="491">
                  <c:v>44911</c:v>
                </c:pt>
                <c:pt idx="492">
                  <c:v>44914</c:v>
                </c:pt>
                <c:pt idx="493">
                  <c:v>44915</c:v>
                </c:pt>
                <c:pt idx="494">
                  <c:v>44916</c:v>
                </c:pt>
                <c:pt idx="495">
                  <c:v>44917</c:v>
                </c:pt>
                <c:pt idx="496">
                  <c:v>44918</c:v>
                </c:pt>
                <c:pt idx="497">
                  <c:v>44922</c:v>
                </c:pt>
                <c:pt idx="498">
                  <c:v>44923</c:v>
                </c:pt>
                <c:pt idx="499">
                  <c:v>44924</c:v>
                </c:pt>
                <c:pt idx="500">
                  <c:v>44925</c:v>
                </c:pt>
                <c:pt idx="501">
                  <c:v>44929</c:v>
                </c:pt>
                <c:pt idx="502">
                  <c:v>44930</c:v>
                </c:pt>
                <c:pt idx="503">
                  <c:v>44931</c:v>
                </c:pt>
                <c:pt idx="504">
                  <c:v>44932</c:v>
                </c:pt>
                <c:pt idx="505">
                  <c:v>44935</c:v>
                </c:pt>
                <c:pt idx="506">
                  <c:v>44936</c:v>
                </c:pt>
                <c:pt idx="507">
                  <c:v>44937</c:v>
                </c:pt>
                <c:pt idx="508">
                  <c:v>44938</c:v>
                </c:pt>
                <c:pt idx="509">
                  <c:v>44939</c:v>
                </c:pt>
                <c:pt idx="510">
                  <c:v>44943</c:v>
                </c:pt>
                <c:pt idx="511">
                  <c:v>44944</c:v>
                </c:pt>
                <c:pt idx="512">
                  <c:v>44945</c:v>
                </c:pt>
                <c:pt idx="513">
                  <c:v>44946</c:v>
                </c:pt>
                <c:pt idx="514">
                  <c:v>44949</c:v>
                </c:pt>
                <c:pt idx="515">
                  <c:v>44950</c:v>
                </c:pt>
                <c:pt idx="516">
                  <c:v>44951</c:v>
                </c:pt>
                <c:pt idx="517">
                  <c:v>44952</c:v>
                </c:pt>
                <c:pt idx="518">
                  <c:v>44953</c:v>
                </c:pt>
                <c:pt idx="519">
                  <c:v>44956</c:v>
                </c:pt>
                <c:pt idx="520">
                  <c:v>44957</c:v>
                </c:pt>
                <c:pt idx="521">
                  <c:v>44958</c:v>
                </c:pt>
                <c:pt idx="522">
                  <c:v>44959</c:v>
                </c:pt>
                <c:pt idx="523">
                  <c:v>44960</c:v>
                </c:pt>
                <c:pt idx="524">
                  <c:v>44963</c:v>
                </c:pt>
                <c:pt idx="525">
                  <c:v>44964</c:v>
                </c:pt>
                <c:pt idx="526">
                  <c:v>44965</c:v>
                </c:pt>
                <c:pt idx="527">
                  <c:v>44966</c:v>
                </c:pt>
                <c:pt idx="528">
                  <c:v>44967</c:v>
                </c:pt>
                <c:pt idx="529">
                  <c:v>44970</c:v>
                </c:pt>
                <c:pt idx="530">
                  <c:v>44971</c:v>
                </c:pt>
                <c:pt idx="531">
                  <c:v>44972</c:v>
                </c:pt>
                <c:pt idx="532">
                  <c:v>44973</c:v>
                </c:pt>
                <c:pt idx="533">
                  <c:v>44974</c:v>
                </c:pt>
                <c:pt idx="534">
                  <c:v>44978</c:v>
                </c:pt>
                <c:pt idx="535">
                  <c:v>44979</c:v>
                </c:pt>
                <c:pt idx="536">
                  <c:v>44980</c:v>
                </c:pt>
                <c:pt idx="537">
                  <c:v>44981</c:v>
                </c:pt>
                <c:pt idx="538">
                  <c:v>44984</c:v>
                </c:pt>
                <c:pt idx="539">
                  <c:v>44985</c:v>
                </c:pt>
                <c:pt idx="540">
                  <c:v>44986</c:v>
                </c:pt>
                <c:pt idx="541">
                  <c:v>44987</c:v>
                </c:pt>
                <c:pt idx="542">
                  <c:v>44988</c:v>
                </c:pt>
                <c:pt idx="543">
                  <c:v>44991</c:v>
                </c:pt>
                <c:pt idx="544">
                  <c:v>44992</c:v>
                </c:pt>
                <c:pt idx="545">
                  <c:v>44993</c:v>
                </c:pt>
                <c:pt idx="546">
                  <c:v>44994</c:v>
                </c:pt>
                <c:pt idx="547">
                  <c:v>44995</c:v>
                </c:pt>
                <c:pt idx="548">
                  <c:v>44998</c:v>
                </c:pt>
                <c:pt idx="549">
                  <c:v>44999</c:v>
                </c:pt>
                <c:pt idx="550">
                  <c:v>45000</c:v>
                </c:pt>
                <c:pt idx="551">
                  <c:v>45001</c:v>
                </c:pt>
                <c:pt idx="552">
                  <c:v>45002</c:v>
                </c:pt>
                <c:pt idx="553">
                  <c:v>45005</c:v>
                </c:pt>
                <c:pt idx="554">
                  <c:v>45006</c:v>
                </c:pt>
                <c:pt idx="555">
                  <c:v>45007</c:v>
                </c:pt>
                <c:pt idx="556">
                  <c:v>45008</c:v>
                </c:pt>
                <c:pt idx="557">
                  <c:v>45009</c:v>
                </c:pt>
                <c:pt idx="558">
                  <c:v>45012</c:v>
                </c:pt>
                <c:pt idx="559">
                  <c:v>45013</c:v>
                </c:pt>
                <c:pt idx="560">
                  <c:v>45014</c:v>
                </c:pt>
                <c:pt idx="561">
                  <c:v>45015</c:v>
                </c:pt>
                <c:pt idx="562">
                  <c:v>45016</c:v>
                </c:pt>
                <c:pt idx="563">
                  <c:v>45019</c:v>
                </c:pt>
                <c:pt idx="564">
                  <c:v>45020</c:v>
                </c:pt>
                <c:pt idx="565">
                  <c:v>45021</c:v>
                </c:pt>
                <c:pt idx="566">
                  <c:v>45022</c:v>
                </c:pt>
                <c:pt idx="567">
                  <c:v>45023</c:v>
                </c:pt>
                <c:pt idx="568">
                  <c:v>45026</c:v>
                </c:pt>
                <c:pt idx="569">
                  <c:v>45027</c:v>
                </c:pt>
                <c:pt idx="570">
                  <c:v>45028</c:v>
                </c:pt>
                <c:pt idx="571">
                  <c:v>45029</c:v>
                </c:pt>
                <c:pt idx="572">
                  <c:v>45030</c:v>
                </c:pt>
                <c:pt idx="573">
                  <c:v>45033</c:v>
                </c:pt>
                <c:pt idx="574">
                  <c:v>45034</c:v>
                </c:pt>
                <c:pt idx="575">
                  <c:v>45035</c:v>
                </c:pt>
                <c:pt idx="576">
                  <c:v>45036</c:v>
                </c:pt>
                <c:pt idx="577">
                  <c:v>45037</c:v>
                </c:pt>
                <c:pt idx="578">
                  <c:v>45040</c:v>
                </c:pt>
                <c:pt idx="579">
                  <c:v>45041</c:v>
                </c:pt>
                <c:pt idx="580">
                  <c:v>45042</c:v>
                </c:pt>
                <c:pt idx="581">
                  <c:v>45043</c:v>
                </c:pt>
                <c:pt idx="582">
                  <c:v>45044</c:v>
                </c:pt>
                <c:pt idx="583">
                  <c:v>45047</c:v>
                </c:pt>
                <c:pt idx="584">
                  <c:v>45048</c:v>
                </c:pt>
                <c:pt idx="585">
                  <c:v>45049</c:v>
                </c:pt>
                <c:pt idx="586">
                  <c:v>45050</c:v>
                </c:pt>
                <c:pt idx="587">
                  <c:v>45051</c:v>
                </c:pt>
                <c:pt idx="588">
                  <c:v>45054</c:v>
                </c:pt>
                <c:pt idx="589">
                  <c:v>45055</c:v>
                </c:pt>
                <c:pt idx="590">
                  <c:v>45056</c:v>
                </c:pt>
                <c:pt idx="591">
                  <c:v>45057</c:v>
                </c:pt>
                <c:pt idx="592">
                  <c:v>45058</c:v>
                </c:pt>
                <c:pt idx="593">
                  <c:v>45061</c:v>
                </c:pt>
                <c:pt idx="594">
                  <c:v>45062</c:v>
                </c:pt>
                <c:pt idx="595">
                  <c:v>45063</c:v>
                </c:pt>
                <c:pt idx="596">
                  <c:v>45064</c:v>
                </c:pt>
                <c:pt idx="597">
                  <c:v>45065</c:v>
                </c:pt>
                <c:pt idx="598">
                  <c:v>45068</c:v>
                </c:pt>
                <c:pt idx="599">
                  <c:v>45069</c:v>
                </c:pt>
                <c:pt idx="600">
                  <c:v>45070</c:v>
                </c:pt>
                <c:pt idx="601">
                  <c:v>45071</c:v>
                </c:pt>
                <c:pt idx="602">
                  <c:v>45072</c:v>
                </c:pt>
                <c:pt idx="603">
                  <c:v>45076</c:v>
                </c:pt>
                <c:pt idx="604">
                  <c:v>45077</c:v>
                </c:pt>
                <c:pt idx="605">
                  <c:v>45078</c:v>
                </c:pt>
                <c:pt idx="606">
                  <c:v>45079</c:v>
                </c:pt>
                <c:pt idx="607">
                  <c:v>45082</c:v>
                </c:pt>
                <c:pt idx="608">
                  <c:v>45083</c:v>
                </c:pt>
                <c:pt idx="609">
                  <c:v>45084</c:v>
                </c:pt>
                <c:pt idx="610">
                  <c:v>45085</c:v>
                </c:pt>
                <c:pt idx="611">
                  <c:v>45086</c:v>
                </c:pt>
                <c:pt idx="612">
                  <c:v>45089</c:v>
                </c:pt>
                <c:pt idx="613">
                  <c:v>45090</c:v>
                </c:pt>
                <c:pt idx="614">
                  <c:v>45091</c:v>
                </c:pt>
                <c:pt idx="615">
                  <c:v>45092</c:v>
                </c:pt>
                <c:pt idx="616">
                  <c:v>45093</c:v>
                </c:pt>
                <c:pt idx="617">
                  <c:v>45097</c:v>
                </c:pt>
                <c:pt idx="618">
                  <c:v>45098</c:v>
                </c:pt>
                <c:pt idx="619">
                  <c:v>45099</c:v>
                </c:pt>
                <c:pt idx="620">
                  <c:v>45100</c:v>
                </c:pt>
                <c:pt idx="621">
                  <c:v>45103</c:v>
                </c:pt>
                <c:pt idx="622">
                  <c:v>45104</c:v>
                </c:pt>
                <c:pt idx="623">
                  <c:v>45105</c:v>
                </c:pt>
                <c:pt idx="624">
                  <c:v>45106</c:v>
                </c:pt>
                <c:pt idx="625">
                  <c:v>45107</c:v>
                </c:pt>
                <c:pt idx="626">
                  <c:v>45110</c:v>
                </c:pt>
                <c:pt idx="627">
                  <c:v>45112</c:v>
                </c:pt>
                <c:pt idx="628">
                  <c:v>45113</c:v>
                </c:pt>
                <c:pt idx="629">
                  <c:v>45114</c:v>
                </c:pt>
                <c:pt idx="630">
                  <c:v>45117</c:v>
                </c:pt>
                <c:pt idx="631">
                  <c:v>45118</c:v>
                </c:pt>
                <c:pt idx="632">
                  <c:v>45119</c:v>
                </c:pt>
                <c:pt idx="633">
                  <c:v>45120</c:v>
                </c:pt>
                <c:pt idx="634">
                  <c:v>45121</c:v>
                </c:pt>
                <c:pt idx="635">
                  <c:v>45124</c:v>
                </c:pt>
                <c:pt idx="636">
                  <c:v>45125</c:v>
                </c:pt>
                <c:pt idx="637">
                  <c:v>45126</c:v>
                </c:pt>
                <c:pt idx="638">
                  <c:v>45127</c:v>
                </c:pt>
                <c:pt idx="639">
                  <c:v>45128</c:v>
                </c:pt>
                <c:pt idx="640">
                  <c:v>45131</c:v>
                </c:pt>
                <c:pt idx="641">
                  <c:v>45132</c:v>
                </c:pt>
                <c:pt idx="642">
                  <c:v>45133</c:v>
                </c:pt>
                <c:pt idx="643">
                  <c:v>45134</c:v>
                </c:pt>
                <c:pt idx="644">
                  <c:v>45135</c:v>
                </c:pt>
                <c:pt idx="645">
                  <c:v>45138</c:v>
                </c:pt>
                <c:pt idx="646">
                  <c:v>45139</c:v>
                </c:pt>
                <c:pt idx="647">
                  <c:v>45140</c:v>
                </c:pt>
                <c:pt idx="648">
                  <c:v>45141</c:v>
                </c:pt>
                <c:pt idx="649">
                  <c:v>45142</c:v>
                </c:pt>
                <c:pt idx="650">
                  <c:v>45145</c:v>
                </c:pt>
                <c:pt idx="651">
                  <c:v>45146</c:v>
                </c:pt>
                <c:pt idx="652">
                  <c:v>45147</c:v>
                </c:pt>
                <c:pt idx="653">
                  <c:v>45148</c:v>
                </c:pt>
                <c:pt idx="654">
                  <c:v>45149</c:v>
                </c:pt>
                <c:pt idx="655">
                  <c:v>45152</c:v>
                </c:pt>
                <c:pt idx="656">
                  <c:v>45153</c:v>
                </c:pt>
                <c:pt idx="657">
                  <c:v>45154</c:v>
                </c:pt>
                <c:pt idx="658">
                  <c:v>45155</c:v>
                </c:pt>
                <c:pt idx="659">
                  <c:v>45156</c:v>
                </c:pt>
                <c:pt idx="660">
                  <c:v>45159</c:v>
                </c:pt>
                <c:pt idx="661">
                  <c:v>45160</c:v>
                </c:pt>
                <c:pt idx="662">
                  <c:v>45161</c:v>
                </c:pt>
                <c:pt idx="663">
                  <c:v>45162</c:v>
                </c:pt>
                <c:pt idx="664">
                  <c:v>45163</c:v>
                </c:pt>
                <c:pt idx="665">
                  <c:v>45166</c:v>
                </c:pt>
                <c:pt idx="666">
                  <c:v>45167</c:v>
                </c:pt>
                <c:pt idx="667">
                  <c:v>45168</c:v>
                </c:pt>
                <c:pt idx="668">
                  <c:v>45169</c:v>
                </c:pt>
                <c:pt idx="669">
                  <c:v>45170</c:v>
                </c:pt>
                <c:pt idx="670">
                  <c:v>45174</c:v>
                </c:pt>
                <c:pt idx="671">
                  <c:v>45175</c:v>
                </c:pt>
                <c:pt idx="672">
                  <c:v>45176</c:v>
                </c:pt>
                <c:pt idx="673">
                  <c:v>45177</c:v>
                </c:pt>
                <c:pt idx="674">
                  <c:v>45180</c:v>
                </c:pt>
                <c:pt idx="675">
                  <c:v>45181</c:v>
                </c:pt>
                <c:pt idx="676">
                  <c:v>45182</c:v>
                </c:pt>
                <c:pt idx="677">
                  <c:v>45183</c:v>
                </c:pt>
                <c:pt idx="678">
                  <c:v>45184</c:v>
                </c:pt>
                <c:pt idx="679">
                  <c:v>45187</c:v>
                </c:pt>
                <c:pt idx="680">
                  <c:v>45188</c:v>
                </c:pt>
                <c:pt idx="681">
                  <c:v>45189</c:v>
                </c:pt>
                <c:pt idx="682">
                  <c:v>45190</c:v>
                </c:pt>
                <c:pt idx="683">
                  <c:v>45191</c:v>
                </c:pt>
                <c:pt idx="684">
                  <c:v>45194</c:v>
                </c:pt>
                <c:pt idx="685">
                  <c:v>45195</c:v>
                </c:pt>
                <c:pt idx="686">
                  <c:v>45196</c:v>
                </c:pt>
                <c:pt idx="687">
                  <c:v>45197</c:v>
                </c:pt>
                <c:pt idx="688">
                  <c:v>45198</c:v>
                </c:pt>
                <c:pt idx="689">
                  <c:v>45201</c:v>
                </c:pt>
                <c:pt idx="690">
                  <c:v>45202</c:v>
                </c:pt>
                <c:pt idx="691">
                  <c:v>45203</c:v>
                </c:pt>
                <c:pt idx="692">
                  <c:v>45204</c:v>
                </c:pt>
                <c:pt idx="693">
                  <c:v>45205</c:v>
                </c:pt>
                <c:pt idx="694">
                  <c:v>45209</c:v>
                </c:pt>
                <c:pt idx="695">
                  <c:v>45210</c:v>
                </c:pt>
                <c:pt idx="696">
                  <c:v>45211</c:v>
                </c:pt>
                <c:pt idx="697">
                  <c:v>45212</c:v>
                </c:pt>
                <c:pt idx="698">
                  <c:v>45215</c:v>
                </c:pt>
                <c:pt idx="699">
                  <c:v>45216</c:v>
                </c:pt>
                <c:pt idx="700">
                  <c:v>45217</c:v>
                </c:pt>
                <c:pt idx="701">
                  <c:v>45218</c:v>
                </c:pt>
                <c:pt idx="702">
                  <c:v>45219</c:v>
                </c:pt>
                <c:pt idx="703">
                  <c:v>45222</c:v>
                </c:pt>
                <c:pt idx="704">
                  <c:v>45223</c:v>
                </c:pt>
                <c:pt idx="705">
                  <c:v>45224</c:v>
                </c:pt>
                <c:pt idx="706">
                  <c:v>45225</c:v>
                </c:pt>
                <c:pt idx="707">
                  <c:v>45226</c:v>
                </c:pt>
                <c:pt idx="708">
                  <c:v>45229</c:v>
                </c:pt>
                <c:pt idx="709">
                  <c:v>45230</c:v>
                </c:pt>
                <c:pt idx="710">
                  <c:v>45231</c:v>
                </c:pt>
                <c:pt idx="711">
                  <c:v>45232</c:v>
                </c:pt>
                <c:pt idx="712">
                  <c:v>45233</c:v>
                </c:pt>
                <c:pt idx="713">
                  <c:v>45236</c:v>
                </c:pt>
                <c:pt idx="714">
                  <c:v>45237</c:v>
                </c:pt>
                <c:pt idx="715">
                  <c:v>45238</c:v>
                </c:pt>
                <c:pt idx="716">
                  <c:v>45239</c:v>
                </c:pt>
                <c:pt idx="717">
                  <c:v>45240</c:v>
                </c:pt>
                <c:pt idx="718">
                  <c:v>45243</c:v>
                </c:pt>
                <c:pt idx="719">
                  <c:v>45244</c:v>
                </c:pt>
                <c:pt idx="720">
                  <c:v>45245</c:v>
                </c:pt>
                <c:pt idx="721">
                  <c:v>45246</c:v>
                </c:pt>
                <c:pt idx="722">
                  <c:v>45247</c:v>
                </c:pt>
                <c:pt idx="723">
                  <c:v>45250</c:v>
                </c:pt>
                <c:pt idx="724">
                  <c:v>45251</c:v>
                </c:pt>
                <c:pt idx="725">
                  <c:v>45252</c:v>
                </c:pt>
                <c:pt idx="726">
                  <c:v>45254</c:v>
                </c:pt>
                <c:pt idx="727">
                  <c:v>45257</c:v>
                </c:pt>
                <c:pt idx="728">
                  <c:v>45258</c:v>
                </c:pt>
                <c:pt idx="729">
                  <c:v>45259</c:v>
                </c:pt>
                <c:pt idx="730">
                  <c:v>45260</c:v>
                </c:pt>
                <c:pt idx="731">
                  <c:v>45261</c:v>
                </c:pt>
                <c:pt idx="732">
                  <c:v>45264</c:v>
                </c:pt>
                <c:pt idx="733">
                  <c:v>45265</c:v>
                </c:pt>
                <c:pt idx="734">
                  <c:v>45266</c:v>
                </c:pt>
                <c:pt idx="735">
                  <c:v>45267</c:v>
                </c:pt>
                <c:pt idx="736">
                  <c:v>45268</c:v>
                </c:pt>
                <c:pt idx="737">
                  <c:v>45271</c:v>
                </c:pt>
                <c:pt idx="738">
                  <c:v>45272</c:v>
                </c:pt>
                <c:pt idx="739">
                  <c:v>45273</c:v>
                </c:pt>
                <c:pt idx="740">
                  <c:v>45274</c:v>
                </c:pt>
                <c:pt idx="741">
                  <c:v>45275</c:v>
                </c:pt>
                <c:pt idx="742">
                  <c:v>45278</c:v>
                </c:pt>
                <c:pt idx="743">
                  <c:v>45279</c:v>
                </c:pt>
                <c:pt idx="744">
                  <c:v>45280</c:v>
                </c:pt>
                <c:pt idx="745">
                  <c:v>45281</c:v>
                </c:pt>
                <c:pt idx="746">
                  <c:v>45282</c:v>
                </c:pt>
                <c:pt idx="747">
                  <c:v>45286</c:v>
                </c:pt>
                <c:pt idx="748">
                  <c:v>45287</c:v>
                </c:pt>
                <c:pt idx="749">
                  <c:v>45288</c:v>
                </c:pt>
                <c:pt idx="750">
                  <c:v>45289</c:v>
                </c:pt>
                <c:pt idx="751">
                  <c:v>45293</c:v>
                </c:pt>
                <c:pt idx="752">
                  <c:v>45294</c:v>
                </c:pt>
                <c:pt idx="753">
                  <c:v>45295</c:v>
                </c:pt>
                <c:pt idx="754">
                  <c:v>45296</c:v>
                </c:pt>
                <c:pt idx="755">
                  <c:v>45299</c:v>
                </c:pt>
                <c:pt idx="756">
                  <c:v>45300</c:v>
                </c:pt>
                <c:pt idx="757">
                  <c:v>45301</c:v>
                </c:pt>
                <c:pt idx="758">
                  <c:v>45302</c:v>
                </c:pt>
                <c:pt idx="759">
                  <c:v>45303</c:v>
                </c:pt>
                <c:pt idx="760">
                  <c:v>45307</c:v>
                </c:pt>
                <c:pt idx="761">
                  <c:v>45308</c:v>
                </c:pt>
                <c:pt idx="762">
                  <c:v>45309</c:v>
                </c:pt>
                <c:pt idx="763">
                  <c:v>45310</c:v>
                </c:pt>
                <c:pt idx="764">
                  <c:v>45313</c:v>
                </c:pt>
                <c:pt idx="765">
                  <c:v>45314</c:v>
                </c:pt>
                <c:pt idx="766">
                  <c:v>45315</c:v>
                </c:pt>
                <c:pt idx="767">
                  <c:v>45316</c:v>
                </c:pt>
                <c:pt idx="768">
                  <c:v>45317</c:v>
                </c:pt>
                <c:pt idx="769">
                  <c:v>45320</c:v>
                </c:pt>
                <c:pt idx="770">
                  <c:v>45321</c:v>
                </c:pt>
                <c:pt idx="771">
                  <c:v>45322</c:v>
                </c:pt>
                <c:pt idx="772">
                  <c:v>45323</c:v>
                </c:pt>
                <c:pt idx="773">
                  <c:v>45324</c:v>
                </c:pt>
                <c:pt idx="774">
                  <c:v>45327</c:v>
                </c:pt>
                <c:pt idx="775">
                  <c:v>45328</c:v>
                </c:pt>
                <c:pt idx="776">
                  <c:v>45329</c:v>
                </c:pt>
                <c:pt idx="777">
                  <c:v>45330</c:v>
                </c:pt>
                <c:pt idx="778">
                  <c:v>45331</c:v>
                </c:pt>
                <c:pt idx="779">
                  <c:v>45334</c:v>
                </c:pt>
                <c:pt idx="780">
                  <c:v>45335</c:v>
                </c:pt>
                <c:pt idx="781">
                  <c:v>45336</c:v>
                </c:pt>
                <c:pt idx="782">
                  <c:v>45337</c:v>
                </c:pt>
                <c:pt idx="783">
                  <c:v>45338</c:v>
                </c:pt>
                <c:pt idx="784">
                  <c:v>45342</c:v>
                </c:pt>
                <c:pt idx="785">
                  <c:v>45343</c:v>
                </c:pt>
                <c:pt idx="786">
                  <c:v>45344</c:v>
                </c:pt>
                <c:pt idx="787">
                  <c:v>45345</c:v>
                </c:pt>
                <c:pt idx="788">
                  <c:v>45348</c:v>
                </c:pt>
                <c:pt idx="789">
                  <c:v>45349</c:v>
                </c:pt>
                <c:pt idx="790">
                  <c:v>45350</c:v>
                </c:pt>
                <c:pt idx="791">
                  <c:v>45351</c:v>
                </c:pt>
                <c:pt idx="792">
                  <c:v>45352</c:v>
                </c:pt>
                <c:pt idx="793">
                  <c:v>45355</c:v>
                </c:pt>
                <c:pt idx="794">
                  <c:v>45356</c:v>
                </c:pt>
                <c:pt idx="795">
                  <c:v>45357</c:v>
                </c:pt>
                <c:pt idx="796">
                  <c:v>45358</c:v>
                </c:pt>
                <c:pt idx="797">
                  <c:v>45359</c:v>
                </c:pt>
                <c:pt idx="798">
                  <c:v>45362</c:v>
                </c:pt>
                <c:pt idx="799">
                  <c:v>45363</c:v>
                </c:pt>
                <c:pt idx="800">
                  <c:v>45364</c:v>
                </c:pt>
                <c:pt idx="801">
                  <c:v>45365</c:v>
                </c:pt>
                <c:pt idx="802">
                  <c:v>45366</c:v>
                </c:pt>
                <c:pt idx="803">
                  <c:v>45369</c:v>
                </c:pt>
                <c:pt idx="804">
                  <c:v>45370</c:v>
                </c:pt>
                <c:pt idx="805">
                  <c:v>45371</c:v>
                </c:pt>
                <c:pt idx="806">
                  <c:v>45372</c:v>
                </c:pt>
                <c:pt idx="807">
                  <c:v>45373</c:v>
                </c:pt>
                <c:pt idx="808">
                  <c:v>45376</c:v>
                </c:pt>
                <c:pt idx="809">
                  <c:v>45377</c:v>
                </c:pt>
                <c:pt idx="810">
                  <c:v>45378</c:v>
                </c:pt>
                <c:pt idx="811">
                  <c:v>45379</c:v>
                </c:pt>
                <c:pt idx="812">
                  <c:v>45383</c:v>
                </c:pt>
                <c:pt idx="813">
                  <c:v>45384</c:v>
                </c:pt>
                <c:pt idx="814">
                  <c:v>45385</c:v>
                </c:pt>
                <c:pt idx="815">
                  <c:v>45386</c:v>
                </c:pt>
                <c:pt idx="816">
                  <c:v>45387</c:v>
                </c:pt>
                <c:pt idx="817">
                  <c:v>45390</c:v>
                </c:pt>
                <c:pt idx="818">
                  <c:v>45391</c:v>
                </c:pt>
                <c:pt idx="819">
                  <c:v>45392</c:v>
                </c:pt>
                <c:pt idx="820">
                  <c:v>45393</c:v>
                </c:pt>
                <c:pt idx="821">
                  <c:v>45394</c:v>
                </c:pt>
                <c:pt idx="822">
                  <c:v>45397</c:v>
                </c:pt>
                <c:pt idx="823">
                  <c:v>45398</c:v>
                </c:pt>
                <c:pt idx="824">
                  <c:v>45399</c:v>
                </c:pt>
                <c:pt idx="825">
                  <c:v>45400</c:v>
                </c:pt>
                <c:pt idx="826">
                  <c:v>45401</c:v>
                </c:pt>
                <c:pt idx="827">
                  <c:v>45404</c:v>
                </c:pt>
                <c:pt idx="828">
                  <c:v>45405</c:v>
                </c:pt>
                <c:pt idx="829">
                  <c:v>45406</c:v>
                </c:pt>
                <c:pt idx="830">
                  <c:v>45407</c:v>
                </c:pt>
                <c:pt idx="831">
                  <c:v>45408</c:v>
                </c:pt>
                <c:pt idx="832">
                  <c:v>45411</c:v>
                </c:pt>
                <c:pt idx="833">
                  <c:v>45412</c:v>
                </c:pt>
                <c:pt idx="834">
                  <c:v>45413</c:v>
                </c:pt>
                <c:pt idx="835">
                  <c:v>45414</c:v>
                </c:pt>
                <c:pt idx="836">
                  <c:v>45415</c:v>
                </c:pt>
                <c:pt idx="837">
                  <c:v>45418</c:v>
                </c:pt>
                <c:pt idx="838">
                  <c:v>45419</c:v>
                </c:pt>
                <c:pt idx="839">
                  <c:v>45420</c:v>
                </c:pt>
                <c:pt idx="840">
                  <c:v>45421</c:v>
                </c:pt>
                <c:pt idx="841">
                  <c:v>45422</c:v>
                </c:pt>
                <c:pt idx="842">
                  <c:v>45425</c:v>
                </c:pt>
                <c:pt idx="843">
                  <c:v>45426</c:v>
                </c:pt>
                <c:pt idx="844">
                  <c:v>45427</c:v>
                </c:pt>
                <c:pt idx="845">
                  <c:v>45428</c:v>
                </c:pt>
                <c:pt idx="846">
                  <c:v>45429</c:v>
                </c:pt>
                <c:pt idx="847">
                  <c:v>45432</c:v>
                </c:pt>
                <c:pt idx="848">
                  <c:v>45433</c:v>
                </c:pt>
                <c:pt idx="849">
                  <c:v>45434</c:v>
                </c:pt>
                <c:pt idx="850">
                  <c:v>45435</c:v>
                </c:pt>
                <c:pt idx="851">
                  <c:v>45436</c:v>
                </c:pt>
                <c:pt idx="852">
                  <c:v>45440</c:v>
                </c:pt>
                <c:pt idx="853">
                  <c:v>45441</c:v>
                </c:pt>
                <c:pt idx="854">
                  <c:v>45442</c:v>
                </c:pt>
                <c:pt idx="855">
                  <c:v>45443</c:v>
                </c:pt>
                <c:pt idx="856">
                  <c:v>45446</c:v>
                </c:pt>
                <c:pt idx="857">
                  <c:v>45447</c:v>
                </c:pt>
                <c:pt idx="858">
                  <c:v>45448</c:v>
                </c:pt>
                <c:pt idx="859">
                  <c:v>45449</c:v>
                </c:pt>
                <c:pt idx="860">
                  <c:v>45450</c:v>
                </c:pt>
                <c:pt idx="861">
                  <c:v>45453</c:v>
                </c:pt>
                <c:pt idx="862">
                  <c:v>45454</c:v>
                </c:pt>
                <c:pt idx="863">
                  <c:v>45455</c:v>
                </c:pt>
                <c:pt idx="864">
                  <c:v>45456</c:v>
                </c:pt>
                <c:pt idx="865">
                  <c:v>45457</c:v>
                </c:pt>
                <c:pt idx="866">
                  <c:v>45460</c:v>
                </c:pt>
                <c:pt idx="867">
                  <c:v>45461</c:v>
                </c:pt>
                <c:pt idx="868">
                  <c:v>45463</c:v>
                </c:pt>
                <c:pt idx="869">
                  <c:v>45464</c:v>
                </c:pt>
                <c:pt idx="870">
                  <c:v>45467</c:v>
                </c:pt>
                <c:pt idx="871">
                  <c:v>45468</c:v>
                </c:pt>
                <c:pt idx="872">
                  <c:v>45469</c:v>
                </c:pt>
                <c:pt idx="873">
                  <c:v>45470</c:v>
                </c:pt>
                <c:pt idx="874">
                  <c:v>45471</c:v>
                </c:pt>
                <c:pt idx="875">
                  <c:v>45474</c:v>
                </c:pt>
                <c:pt idx="876">
                  <c:v>45475</c:v>
                </c:pt>
                <c:pt idx="877">
                  <c:v>45476</c:v>
                </c:pt>
                <c:pt idx="878">
                  <c:v>45478</c:v>
                </c:pt>
                <c:pt idx="879">
                  <c:v>45481</c:v>
                </c:pt>
                <c:pt idx="880">
                  <c:v>45482</c:v>
                </c:pt>
                <c:pt idx="881">
                  <c:v>45483</c:v>
                </c:pt>
                <c:pt idx="882">
                  <c:v>45484</c:v>
                </c:pt>
                <c:pt idx="883">
                  <c:v>45485</c:v>
                </c:pt>
                <c:pt idx="884">
                  <c:v>45488</c:v>
                </c:pt>
                <c:pt idx="885">
                  <c:v>45489</c:v>
                </c:pt>
                <c:pt idx="886">
                  <c:v>45490</c:v>
                </c:pt>
                <c:pt idx="887">
                  <c:v>45491</c:v>
                </c:pt>
                <c:pt idx="888">
                  <c:v>45492</c:v>
                </c:pt>
                <c:pt idx="889">
                  <c:v>45495</c:v>
                </c:pt>
                <c:pt idx="890">
                  <c:v>45496</c:v>
                </c:pt>
                <c:pt idx="891">
                  <c:v>45497</c:v>
                </c:pt>
                <c:pt idx="892">
                  <c:v>45498</c:v>
                </c:pt>
                <c:pt idx="893">
                  <c:v>45499</c:v>
                </c:pt>
                <c:pt idx="894">
                  <c:v>45502</c:v>
                </c:pt>
                <c:pt idx="895">
                  <c:v>45503</c:v>
                </c:pt>
                <c:pt idx="896">
                  <c:v>45504</c:v>
                </c:pt>
                <c:pt idx="897">
                  <c:v>45505</c:v>
                </c:pt>
                <c:pt idx="898">
                  <c:v>45506</c:v>
                </c:pt>
                <c:pt idx="899">
                  <c:v>45509</c:v>
                </c:pt>
                <c:pt idx="900">
                  <c:v>45510</c:v>
                </c:pt>
                <c:pt idx="901">
                  <c:v>45511</c:v>
                </c:pt>
                <c:pt idx="902">
                  <c:v>45512</c:v>
                </c:pt>
                <c:pt idx="903">
                  <c:v>45513</c:v>
                </c:pt>
                <c:pt idx="904">
                  <c:v>45516</c:v>
                </c:pt>
                <c:pt idx="905">
                  <c:v>45517</c:v>
                </c:pt>
                <c:pt idx="906">
                  <c:v>45518</c:v>
                </c:pt>
                <c:pt idx="907">
                  <c:v>45519</c:v>
                </c:pt>
                <c:pt idx="908">
                  <c:v>45520</c:v>
                </c:pt>
                <c:pt idx="909">
                  <c:v>45523</c:v>
                </c:pt>
                <c:pt idx="910">
                  <c:v>45524</c:v>
                </c:pt>
                <c:pt idx="911">
                  <c:v>45525</c:v>
                </c:pt>
                <c:pt idx="912">
                  <c:v>45526</c:v>
                </c:pt>
                <c:pt idx="913">
                  <c:v>45527</c:v>
                </c:pt>
                <c:pt idx="914">
                  <c:v>45530</c:v>
                </c:pt>
                <c:pt idx="915">
                  <c:v>45531</c:v>
                </c:pt>
                <c:pt idx="916">
                  <c:v>45532</c:v>
                </c:pt>
                <c:pt idx="917">
                  <c:v>45533</c:v>
                </c:pt>
                <c:pt idx="918">
                  <c:v>45534</c:v>
                </c:pt>
                <c:pt idx="919">
                  <c:v>45538</c:v>
                </c:pt>
                <c:pt idx="920">
                  <c:v>45539</c:v>
                </c:pt>
                <c:pt idx="921">
                  <c:v>45540</c:v>
                </c:pt>
                <c:pt idx="922">
                  <c:v>45541</c:v>
                </c:pt>
                <c:pt idx="923">
                  <c:v>45544</c:v>
                </c:pt>
                <c:pt idx="924">
                  <c:v>45545</c:v>
                </c:pt>
                <c:pt idx="925">
                  <c:v>45546</c:v>
                </c:pt>
                <c:pt idx="926">
                  <c:v>45547</c:v>
                </c:pt>
                <c:pt idx="927">
                  <c:v>45548</c:v>
                </c:pt>
                <c:pt idx="928">
                  <c:v>45551</c:v>
                </c:pt>
                <c:pt idx="929">
                  <c:v>45552</c:v>
                </c:pt>
                <c:pt idx="930">
                  <c:v>45553</c:v>
                </c:pt>
                <c:pt idx="931">
                  <c:v>45554</c:v>
                </c:pt>
                <c:pt idx="932">
                  <c:v>45555</c:v>
                </c:pt>
                <c:pt idx="933">
                  <c:v>45558</c:v>
                </c:pt>
                <c:pt idx="934">
                  <c:v>45559</c:v>
                </c:pt>
                <c:pt idx="935">
                  <c:v>45560</c:v>
                </c:pt>
                <c:pt idx="936">
                  <c:v>45561</c:v>
                </c:pt>
                <c:pt idx="937">
                  <c:v>45562</c:v>
                </c:pt>
                <c:pt idx="938">
                  <c:v>45565</c:v>
                </c:pt>
                <c:pt idx="939">
                  <c:v>45566</c:v>
                </c:pt>
                <c:pt idx="940">
                  <c:v>45567</c:v>
                </c:pt>
                <c:pt idx="941">
                  <c:v>45568</c:v>
                </c:pt>
                <c:pt idx="942">
                  <c:v>45569</c:v>
                </c:pt>
                <c:pt idx="943">
                  <c:v>45572</c:v>
                </c:pt>
                <c:pt idx="944">
                  <c:v>45573</c:v>
                </c:pt>
                <c:pt idx="945">
                  <c:v>45574</c:v>
                </c:pt>
                <c:pt idx="946">
                  <c:v>45575</c:v>
                </c:pt>
                <c:pt idx="947">
                  <c:v>45576</c:v>
                </c:pt>
                <c:pt idx="948">
                  <c:v>45580</c:v>
                </c:pt>
                <c:pt idx="949">
                  <c:v>45581</c:v>
                </c:pt>
                <c:pt idx="950">
                  <c:v>45582</c:v>
                </c:pt>
                <c:pt idx="951">
                  <c:v>45583</c:v>
                </c:pt>
                <c:pt idx="952">
                  <c:v>45586</c:v>
                </c:pt>
                <c:pt idx="953">
                  <c:v>45587</c:v>
                </c:pt>
                <c:pt idx="954">
                  <c:v>45588</c:v>
                </c:pt>
                <c:pt idx="955">
                  <c:v>45589</c:v>
                </c:pt>
                <c:pt idx="956">
                  <c:v>45590</c:v>
                </c:pt>
                <c:pt idx="957">
                  <c:v>45593</c:v>
                </c:pt>
                <c:pt idx="958">
                  <c:v>45594</c:v>
                </c:pt>
                <c:pt idx="959">
                  <c:v>45595</c:v>
                </c:pt>
                <c:pt idx="960">
                  <c:v>45596</c:v>
                </c:pt>
                <c:pt idx="961">
                  <c:v>45597</c:v>
                </c:pt>
                <c:pt idx="962">
                  <c:v>45600</c:v>
                </c:pt>
                <c:pt idx="963">
                  <c:v>45601</c:v>
                </c:pt>
                <c:pt idx="964">
                  <c:v>45602</c:v>
                </c:pt>
                <c:pt idx="965">
                  <c:v>45603</c:v>
                </c:pt>
                <c:pt idx="966">
                  <c:v>45604</c:v>
                </c:pt>
                <c:pt idx="967">
                  <c:v>45608</c:v>
                </c:pt>
                <c:pt idx="968">
                  <c:v>45609</c:v>
                </c:pt>
                <c:pt idx="969">
                  <c:v>45610</c:v>
                </c:pt>
                <c:pt idx="970">
                  <c:v>45611</c:v>
                </c:pt>
                <c:pt idx="971">
                  <c:v>45614</c:v>
                </c:pt>
                <c:pt idx="972">
                  <c:v>45615</c:v>
                </c:pt>
                <c:pt idx="973">
                  <c:v>45616</c:v>
                </c:pt>
                <c:pt idx="974">
                  <c:v>45617</c:v>
                </c:pt>
                <c:pt idx="975">
                  <c:v>45618</c:v>
                </c:pt>
                <c:pt idx="976">
                  <c:v>45621</c:v>
                </c:pt>
                <c:pt idx="977">
                  <c:v>45622</c:v>
                </c:pt>
                <c:pt idx="978">
                  <c:v>45623</c:v>
                </c:pt>
                <c:pt idx="979">
                  <c:v>45625</c:v>
                </c:pt>
                <c:pt idx="980">
                  <c:v>45628</c:v>
                </c:pt>
                <c:pt idx="981">
                  <c:v>45629</c:v>
                </c:pt>
                <c:pt idx="982">
                  <c:v>45630</c:v>
                </c:pt>
                <c:pt idx="983">
                  <c:v>45631</c:v>
                </c:pt>
                <c:pt idx="984">
                  <c:v>45632</c:v>
                </c:pt>
                <c:pt idx="985">
                  <c:v>45635</c:v>
                </c:pt>
                <c:pt idx="986">
                  <c:v>45636</c:v>
                </c:pt>
                <c:pt idx="987">
                  <c:v>45637</c:v>
                </c:pt>
                <c:pt idx="988">
                  <c:v>45638</c:v>
                </c:pt>
                <c:pt idx="989">
                  <c:v>45639</c:v>
                </c:pt>
                <c:pt idx="990">
                  <c:v>45642</c:v>
                </c:pt>
                <c:pt idx="991">
                  <c:v>45643</c:v>
                </c:pt>
                <c:pt idx="992">
                  <c:v>45644</c:v>
                </c:pt>
                <c:pt idx="993">
                  <c:v>45645</c:v>
                </c:pt>
                <c:pt idx="994">
                  <c:v>45646</c:v>
                </c:pt>
                <c:pt idx="995">
                  <c:v>45649</c:v>
                </c:pt>
                <c:pt idx="996">
                  <c:v>45650</c:v>
                </c:pt>
                <c:pt idx="997">
                  <c:v>45652</c:v>
                </c:pt>
                <c:pt idx="998">
                  <c:v>45653</c:v>
                </c:pt>
                <c:pt idx="999">
                  <c:v>45656</c:v>
                </c:pt>
                <c:pt idx="1000">
                  <c:v>45657</c:v>
                </c:pt>
              </c:numCache>
            </c:numRef>
          </c:cat>
          <c:val>
            <c:numRef>
              <c:f>Data!$R$1287:$R$2287</c:f>
              <c:numCache>
                <c:formatCode>0.00%</c:formatCode>
                <c:ptCount val="1001"/>
                <c:pt idx="0">
                  <c:v>9.300000000000001E-3</c:v>
                </c:pt>
                <c:pt idx="1">
                  <c:v>9.300000000000001E-3</c:v>
                </c:pt>
                <c:pt idx="2">
                  <c:v>9.5999999999999992E-3</c:v>
                </c:pt>
                <c:pt idx="3">
                  <c:v>1.04E-2</c:v>
                </c:pt>
                <c:pt idx="4">
                  <c:v>1.0800000000000001E-2</c:v>
                </c:pt>
                <c:pt idx="5">
                  <c:v>1.1299999999999999E-2</c:v>
                </c:pt>
                <c:pt idx="6">
                  <c:v>1.15E-2</c:v>
                </c:pt>
                <c:pt idx="7">
                  <c:v>1.15E-2</c:v>
                </c:pt>
                <c:pt idx="8">
                  <c:v>1.1000000000000001E-2</c:v>
                </c:pt>
                <c:pt idx="9">
                  <c:v>1.15E-2</c:v>
                </c:pt>
                <c:pt idx="10">
                  <c:v>1.11E-2</c:v>
                </c:pt>
                <c:pt idx="11">
                  <c:v>1.1000000000000001E-2</c:v>
                </c:pt>
                <c:pt idx="12">
                  <c:v>1.1000000000000001E-2</c:v>
                </c:pt>
                <c:pt idx="13">
                  <c:v>1.1200000000000002E-2</c:v>
                </c:pt>
                <c:pt idx="14">
                  <c:v>1.1000000000000001E-2</c:v>
                </c:pt>
                <c:pt idx="15">
                  <c:v>1.0500000000000001E-2</c:v>
                </c:pt>
                <c:pt idx="16">
                  <c:v>1.0500000000000001E-2</c:v>
                </c:pt>
                <c:pt idx="17">
                  <c:v>1.04E-2</c:v>
                </c:pt>
                <c:pt idx="18">
                  <c:v>1.0700000000000001E-2</c:v>
                </c:pt>
                <c:pt idx="19">
                  <c:v>1.11E-2</c:v>
                </c:pt>
                <c:pt idx="20">
                  <c:v>1.09E-2</c:v>
                </c:pt>
                <c:pt idx="21">
                  <c:v>1.1200000000000002E-2</c:v>
                </c:pt>
                <c:pt idx="22">
                  <c:v>1.15E-2</c:v>
                </c:pt>
                <c:pt idx="23">
                  <c:v>1.15E-2</c:v>
                </c:pt>
                <c:pt idx="24">
                  <c:v>1.1899999999999999E-2</c:v>
                </c:pt>
                <c:pt idx="25">
                  <c:v>1.1899999999999999E-2</c:v>
                </c:pt>
                <c:pt idx="26">
                  <c:v>1.18E-2</c:v>
                </c:pt>
                <c:pt idx="27">
                  <c:v>1.15E-2</c:v>
                </c:pt>
                <c:pt idx="28">
                  <c:v>1.1599999999999999E-2</c:v>
                </c:pt>
                <c:pt idx="29">
                  <c:v>1.2E-2</c:v>
                </c:pt>
                <c:pt idx="30">
                  <c:v>1.3000000000000001E-2</c:v>
                </c:pt>
                <c:pt idx="31">
                  <c:v>1.29E-2</c:v>
                </c:pt>
                <c:pt idx="32">
                  <c:v>1.29E-2</c:v>
                </c:pt>
                <c:pt idx="33">
                  <c:v>1.34E-2</c:v>
                </c:pt>
                <c:pt idx="34">
                  <c:v>1.37E-2</c:v>
                </c:pt>
                <c:pt idx="35">
                  <c:v>1.37E-2</c:v>
                </c:pt>
                <c:pt idx="36">
                  <c:v>1.38E-2</c:v>
                </c:pt>
                <c:pt idx="37">
                  <c:v>1.54E-2</c:v>
                </c:pt>
                <c:pt idx="38">
                  <c:v>1.44E-2</c:v>
                </c:pt>
                <c:pt idx="39">
                  <c:v>1.4499999999999999E-2</c:v>
                </c:pt>
                <c:pt idx="40">
                  <c:v>1.4199999999999999E-2</c:v>
                </c:pt>
                <c:pt idx="41">
                  <c:v>1.47E-2</c:v>
                </c:pt>
                <c:pt idx="42">
                  <c:v>1.54E-2</c:v>
                </c:pt>
                <c:pt idx="43">
                  <c:v>1.5600000000000001E-2</c:v>
                </c:pt>
                <c:pt idx="44">
                  <c:v>1.5900000000000001E-2</c:v>
                </c:pt>
                <c:pt idx="45">
                  <c:v>1.55E-2</c:v>
                </c:pt>
                <c:pt idx="46">
                  <c:v>1.5300000000000001E-2</c:v>
                </c:pt>
                <c:pt idx="47">
                  <c:v>1.54E-2</c:v>
                </c:pt>
                <c:pt idx="48">
                  <c:v>1.6399999999999998E-2</c:v>
                </c:pt>
                <c:pt idx="49">
                  <c:v>1.6200000000000003E-2</c:v>
                </c:pt>
                <c:pt idx="50">
                  <c:v>1.6200000000000003E-2</c:v>
                </c:pt>
                <c:pt idx="51">
                  <c:v>1.6299999999999999E-2</c:v>
                </c:pt>
                <c:pt idx="52">
                  <c:v>1.7100000000000001E-2</c:v>
                </c:pt>
                <c:pt idx="53">
                  <c:v>1.7399999999999999E-2</c:v>
                </c:pt>
                <c:pt idx="54">
                  <c:v>1.6899999999999998E-2</c:v>
                </c:pt>
                <c:pt idx="55">
                  <c:v>1.6299999999999999E-2</c:v>
                </c:pt>
                <c:pt idx="56">
                  <c:v>1.6200000000000003E-2</c:v>
                </c:pt>
                <c:pt idx="57">
                  <c:v>1.6299999999999999E-2</c:v>
                </c:pt>
                <c:pt idx="58">
                  <c:v>1.67E-2</c:v>
                </c:pt>
                <c:pt idx="59">
                  <c:v>1.7299999999999999E-2</c:v>
                </c:pt>
                <c:pt idx="60">
                  <c:v>1.7299999999999999E-2</c:v>
                </c:pt>
                <c:pt idx="61">
                  <c:v>1.7399999999999999E-2</c:v>
                </c:pt>
                <c:pt idx="62">
                  <c:v>1.6899999999999998E-2</c:v>
                </c:pt>
                <c:pt idx="63">
                  <c:v>1.72E-2</c:v>
                </c:pt>
                <c:pt idx="64">
                  <c:v>1.7299999999999999E-2</c:v>
                </c:pt>
                <c:pt idx="65">
                  <c:v>1.67E-2</c:v>
                </c:pt>
                <c:pt idx="66">
                  <c:v>1.6799999999999999E-2</c:v>
                </c:pt>
                <c:pt idx="67">
                  <c:v>1.6399999999999998E-2</c:v>
                </c:pt>
                <c:pt idx="68">
                  <c:v>1.67E-2</c:v>
                </c:pt>
                <c:pt idx="69">
                  <c:v>1.6899999999999998E-2</c:v>
                </c:pt>
                <c:pt idx="70">
                  <c:v>1.6399999999999998E-2</c:v>
                </c:pt>
                <c:pt idx="71">
                  <c:v>1.6399999999999998E-2</c:v>
                </c:pt>
                <c:pt idx="72">
                  <c:v>1.5600000000000001E-2</c:v>
                </c:pt>
                <c:pt idx="73">
                  <c:v>1.5900000000000001E-2</c:v>
                </c:pt>
                <c:pt idx="74">
                  <c:v>1.61E-2</c:v>
                </c:pt>
                <c:pt idx="75">
                  <c:v>1.5800000000000002E-2</c:v>
                </c:pt>
                <c:pt idx="76">
                  <c:v>1.5700000000000002E-2</c:v>
                </c:pt>
                <c:pt idx="77">
                  <c:v>1.5700000000000002E-2</c:v>
                </c:pt>
                <c:pt idx="78">
                  <c:v>1.5800000000000002E-2</c:v>
                </c:pt>
                <c:pt idx="79">
                  <c:v>1.5800000000000002E-2</c:v>
                </c:pt>
                <c:pt idx="80">
                  <c:v>1.6299999999999999E-2</c:v>
                </c:pt>
                <c:pt idx="81">
                  <c:v>1.6299999999999999E-2</c:v>
                </c:pt>
                <c:pt idx="82">
                  <c:v>1.6500000000000001E-2</c:v>
                </c:pt>
                <c:pt idx="83">
                  <c:v>1.6500000000000001E-2</c:v>
                </c:pt>
                <c:pt idx="84">
                  <c:v>1.6299999999999999E-2</c:v>
                </c:pt>
                <c:pt idx="85">
                  <c:v>1.61E-2</c:v>
                </c:pt>
                <c:pt idx="86">
                  <c:v>1.5900000000000001E-2</c:v>
                </c:pt>
                <c:pt idx="87">
                  <c:v>1.5800000000000002E-2</c:v>
                </c:pt>
                <c:pt idx="88">
                  <c:v>1.6E-2</c:v>
                </c:pt>
                <c:pt idx="89">
                  <c:v>1.6299999999999999E-2</c:v>
                </c:pt>
                <c:pt idx="90">
                  <c:v>1.6399999999999998E-2</c:v>
                </c:pt>
                <c:pt idx="91">
                  <c:v>1.6899999999999998E-2</c:v>
                </c:pt>
                <c:pt idx="92">
                  <c:v>1.66E-2</c:v>
                </c:pt>
                <c:pt idx="93">
                  <c:v>1.6299999999999999E-2</c:v>
                </c:pt>
                <c:pt idx="94">
                  <c:v>1.6399999999999998E-2</c:v>
                </c:pt>
                <c:pt idx="95">
                  <c:v>1.6399999999999998E-2</c:v>
                </c:pt>
                <c:pt idx="96">
                  <c:v>1.6799999999999999E-2</c:v>
                </c:pt>
                <c:pt idx="97">
                  <c:v>1.6299999999999999E-2</c:v>
                </c:pt>
                <c:pt idx="98">
                  <c:v>1.6299999999999999E-2</c:v>
                </c:pt>
                <c:pt idx="99">
                  <c:v>1.61E-2</c:v>
                </c:pt>
                <c:pt idx="100">
                  <c:v>1.5600000000000001E-2</c:v>
                </c:pt>
                <c:pt idx="101">
                  <c:v>1.5800000000000002E-2</c:v>
                </c:pt>
                <c:pt idx="102">
                  <c:v>1.61E-2</c:v>
                </c:pt>
                <c:pt idx="103">
                  <c:v>1.5800000000000002E-2</c:v>
                </c:pt>
                <c:pt idx="104">
                  <c:v>1.6200000000000003E-2</c:v>
                </c:pt>
                <c:pt idx="105">
                  <c:v>1.5900000000000001E-2</c:v>
                </c:pt>
                <c:pt idx="106">
                  <c:v>1.6299999999999999E-2</c:v>
                </c:pt>
                <c:pt idx="107">
                  <c:v>1.5600000000000001E-2</c:v>
                </c:pt>
                <c:pt idx="108">
                  <c:v>1.5700000000000002E-2</c:v>
                </c:pt>
                <c:pt idx="109">
                  <c:v>1.5300000000000001E-2</c:v>
                </c:pt>
                <c:pt idx="110">
                  <c:v>1.4999999999999999E-2</c:v>
                </c:pt>
                <c:pt idx="111">
                  <c:v>1.4499999999999999E-2</c:v>
                </c:pt>
                <c:pt idx="112">
                  <c:v>1.47E-2</c:v>
                </c:pt>
                <c:pt idx="113">
                  <c:v>1.5100000000000001E-2</c:v>
                </c:pt>
                <c:pt idx="114">
                  <c:v>1.5100000000000001E-2</c:v>
                </c:pt>
                <c:pt idx="115">
                  <c:v>1.5700000000000002E-2</c:v>
                </c:pt>
                <c:pt idx="116">
                  <c:v>1.52E-2</c:v>
                </c:pt>
                <c:pt idx="117">
                  <c:v>1.4499999999999999E-2</c:v>
                </c:pt>
                <c:pt idx="118">
                  <c:v>1.4999999999999999E-2</c:v>
                </c:pt>
                <c:pt idx="119">
                  <c:v>1.4800000000000001E-2</c:v>
                </c:pt>
                <c:pt idx="120">
                  <c:v>1.4999999999999999E-2</c:v>
                </c:pt>
                <c:pt idx="121">
                  <c:v>1.49E-2</c:v>
                </c:pt>
                <c:pt idx="122">
                  <c:v>1.54E-2</c:v>
                </c:pt>
                <c:pt idx="123">
                  <c:v>1.49E-2</c:v>
                </c:pt>
                <c:pt idx="124">
                  <c:v>1.49E-2</c:v>
                </c:pt>
                <c:pt idx="125">
                  <c:v>1.4499999999999999E-2</c:v>
                </c:pt>
                <c:pt idx="126">
                  <c:v>1.4800000000000001E-2</c:v>
                </c:pt>
                <c:pt idx="127">
                  <c:v>1.44E-2</c:v>
                </c:pt>
                <c:pt idx="128">
                  <c:v>1.37E-2</c:v>
                </c:pt>
                <c:pt idx="129">
                  <c:v>1.3300000000000001E-2</c:v>
                </c:pt>
                <c:pt idx="130">
                  <c:v>1.3000000000000001E-2</c:v>
                </c:pt>
                <c:pt idx="131">
                  <c:v>1.37E-2</c:v>
                </c:pt>
                <c:pt idx="132">
                  <c:v>1.38E-2</c:v>
                </c:pt>
                <c:pt idx="133">
                  <c:v>1.4199999999999999E-2</c:v>
                </c:pt>
                <c:pt idx="134">
                  <c:v>1.37E-2</c:v>
                </c:pt>
                <c:pt idx="135">
                  <c:v>1.3100000000000001E-2</c:v>
                </c:pt>
                <c:pt idx="136">
                  <c:v>1.3100000000000001E-2</c:v>
                </c:pt>
                <c:pt idx="137">
                  <c:v>1.1899999999999999E-2</c:v>
                </c:pt>
                <c:pt idx="138">
                  <c:v>1.23E-2</c:v>
                </c:pt>
                <c:pt idx="139">
                  <c:v>1.3000000000000001E-2</c:v>
                </c:pt>
                <c:pt idx="140">
                  <c:v>1.2699999999999999E-2</c:v>
                </c:pt>
                <c:pt idx="141">
                  <c:v>1.3000000000000001E-2</c:v>
                </c:pt>
                <c:pt idx="142">
                  <c:v>1.29E-2</c:v>
                </c:pt>
                <c:pt idx="143">
                  <c:v>1.2500000000000001E-2</c:v>
                </c:pt>
                <c:pt idx="144">
                  <c:v>1.26E-2</c:v>
                </c:pt>
                <c:pt idx="145">
                  <c:v>1.2800000000000001E-2</c:v>
                </c:pt>
                <c:pt idx="146">
                  <c:v>1.24E-2</c:v>
                </c:pt>
                <c:pt idx="147">
                  <c:v>1.2E-2</c:v>
                </c:pt>
                <c:pt idx="148">
                  <c:v>1.1899999999999999E-2</c:v>
                </c:pt>
                <c:pt idx="149">
                  <c:v>1.1899999999999999E-2</c:v>
                </c:pt>
                <c:pt idx="150">
                  <c:v>1.23E-2</c:v>
                </c:pt>
                <c:pt idx="151">
                  <c:v>1.3100000000000001E-2</c:v>
                </c:pt>
                <c:pt idx="152">
                  <c:v>1.3300000000000001E-2</c:v>
                </c:pt>
                <c:pt idx="153">
                  <c:v>1.3600000000000001E-2</c:v>
                </c:pt>
                <c:pt idx="154">
                  <c:v>1.3500000000000002E-2</c:v>
                </c:pt>
                <c:pt idx="155">
                  <c:v>1.3600000000000001E-2</c:v>
                </c:pt>
                <c:pt idx="156">
                  <c:v>1.29E-2</c:v>
                </c:pt>
                <c:pt idx="157">
                  <c:v>1.26E-2</c:v>
                </c:pt>
                <c:pt idx="158">
                  <c:v>1.26E-2</c:v>
                </c:pt>
                <c:pt idx="159">
                  <c:v>1.2699999999999999E-2</c:v>
                </c:pt>
                <c:pt idx="160">
                  <c:v>1.24E-2</c:v>
                </c:pt>
                <c:pt idx="161">
                  <c:v>1.26E-2</c:v>
                </c:pt>
                <c:pt idx="162">
                  <c:v>1.2500000000000001E-2</c:v>
                </c:pt>
                <c:pt idx="163">
                  <c:v>1.29E-2</c:v>
                </c:pt>
                <c:pt idx="164">
                  <c:v>1.3500000000000002E-2</c:v>
                </c:pt>
                <c:pt idx="165">
                  <c:v>1.34E-2</c:v>
                </c:pt>
                <c:pt idx="166">
                  <c:v>1.3100000000000001E-2</c:v>
                </c:pt>
                <c:pt idx="167">
                  <c:v>1.29E-2</c:v>
                </c:pt>
                <c:pt idx="168">
                  <c:v>1.3000000000000001E-2</c:v>
                </c:pt>
                <c:pt idx="169">
                  <c:v>1.3100000000000001E-2</c:v>
                </c:pt>
                <c:pt idx="170">
                  <c:v>1.29E-2</c:v>
                </c:pt>
                <c:pt idx="171">
                  <c:v>1.3300000000000001E-2</c:v>
                </c:pt>
                <c:pt idx="172">
                  <c:v>1.38E-2</c:v>
                </c:pt>
                <c:pt idx="173">
                  <c:v>1.3500000000000002E-2</c:v>
                </c:pt>
                <c:pt idx="174">
                  <c:v>1.3000000000000001E-2</c:v>
                </c:pt>
                <c:pt idx="175">
                  <c:v>1.3500000000000002E-2</c:v>
                </c:pt>
                <c:pt idx="176">
                  <c:v>1.3300000000000001E-2</c:v>
                </c:pt>
                <c:pt idx="177">
                  <c:v>1.2800000000000001E-2</c:v>
                </c:pt>
                <c:pt idx="178">
                  <c:v>1.3100000000000001E-2</c:v>
                </c:pt>
                <c:pt idx="179">
                  <c:v>1.34E-2</c:v>
                </c:pt>
                <c:pt idx="180">
                  <c:v>1.37E-2</c:v>
                </c:pt>
                <c:pt idx="181">
                  <c:v>1.3100000000000001E-2</c:v>
                </c:pt>
                <c:pt idx="182">
                  <c:v>1.3300000000000001E-2</c:v>
                </c:pt>
                <c:pt idx="183">
                  <c:v>1.32E-2</c:v>
                </c:pt>
                <c:pt idx="184">
                  <c:v>1.41E-2</c:v>
                </c:pt>
                <c:pt idx="185">
                  <c:v>1.47E-2</c:v>
                </c:pt>
                <c:pt idx="186">
                  <c:v>1.4800000000000001E-2</c:v>
                </c:pt>
                <c:pt idx="187">
                  <c:v>1.54E-2</c:v>
                </c:pt>
                <c:pt idx="188">
                  <c:v>1.55E-2</c:v>
                </c:pt>
                <c:pt idx="189">
                  <c:v>1.52E-2</c:v>
                </c:pt>
                <c:pt idx="190">
                  <c:v>1.4800000000000001E-2</c:v>
                </c:pt>
                <c:pt idx="191">
                  <c:v>1.49E-2</c:v>
                </c:pt>
                <c:pt idx="192">
                  <c:v>1.54E-2</c:v>
                </c:pt>
                <c:pt idx="193">
                  <c:v>1.5300000000000001E-2</c:v>
                </c:pt>
                <c:pt idx="194">
                  <c:v>1.5800000000000002E-2</c:v>
                </c:pt>
                <c:pt idx="195">
                  <c:v>1.61E-2</c:v>
                </c:pt>
                <c:pt idx="196">
                  <c:v>1.5900000000000001E-2</c:v>
                </c:pt>
                <c:pt idx="197">
                  <c:v>1.5600000000000001E-2</c:v>
                </c:pt>
                <c:pt idx="198">
                  <c:v>1.52E-2</c:v>
                </c:pt>
                <c:pt idx="199">
                  <c:v>1.5900000000000001E-2</c:v>
                </c:pt>
                <c:pt idx="200">
                  <c:v>1.5900000000000001E-2</c:v>
                </c:pt>
                <c:pt idx="201">
                  <c:v>1.6500000000000001E-2</c:v>
                </c:pt>
                <c:pt idx="202">
                  <c:v>1.6500000000000001E-2</c:v>
                </c:pt>
                <c:pt idx="203">
                  <c:v>1.6799999999999999E-2</c:v>
                </c:pt>
                <c:pt idx="204">
                  <c:v>1.66E-2</c:v>
                </c:pt>
                <c:pt idx="205">
                  <c:v>1.6399999999999998E-2</c:v>
                </c:pt>
                <c:pt idx="206">
                  <c:v>1.6299999999999999E-2</c:v>
                </c:pt>
                <c:pt idx="207">
                  <c:v>1.54E-2</c:v>
                </c:pt>
                <c:pt idx="208">
                  <c:v>1.5700000000000002E-2</c:v>
                </c:pt>
                <c:pt idx="209">
                  <c:v>1.55E-2</c:v>
                </c:pt>
                <c:pt idx="210">
                  <c:v>1.5800000000000002E-2</c:v>
                </c:pt>
                <c:pt idx="211">
                  <c:v>1.5600000000000001E-2</c:v>
                </c:pt>
                <c:pt idx="212">
                  <c:v>1.6E-2</c:v>
                </c:pt>
                <c:pt idx="213">
                  <c:v>1.5300000000000001E-2</c:v>
                </c:pt>
                <c:pt idx="214">
                  <c:v>1.4499999999999999E-2</c:v>
                </c:pt>
                <c:pt idx="215">
                  <c:v>1.5100000000000001E-2</c:v>
                </c:pt>
                <c:pt idx="216">
                  <c:v>1.46E-2</c:v>
                </c:pt>
                <c:pt idx="217">
                  <c:v>1.5600000000000001E-2</c:v>
                </c:pt>
                <c:pt idx="218">
                  <c:v>1.5800000000000002E-2</c:v>
                </c:pt>
                <c:pt idx="219">
                  <c:v>1.6299999999999999E-2</c:v>
                </c:pt>
                <c:pt idx="220">
                  <c:v>1.6299999999999999E-2</c:v>
                </c:pt>
                <c:pt idx="221">
                  <c:v>1.6E-2</c:v>
                </c:pt>
                <c:pt idx="222">
                  <c:v>1.5900000000000001E-2</c:v>
                </c:pt>
                <c:pt idx="223">
                  <c:v>1.54E-2</c:v>
                </c:pt>
                <c:pt idx="224">
                  <c:v>1.6299999999999999E-2</c:v>
                </c:pt>
                <c:pt idx="225">
                  <c:v>1.67E-2</c:v>
                </c:pt>
                <c:pt idx="226">
                  <c:v>1.6399999999999998E-2</c:v>
                </c:pt>
                <c:pt idx="227">
                  <c:v>1.4800000000000001E-2</c:v>
                </c:pt>
                <c:pt idx="228">
                  <c:v>1.52E-2</c:v>
                </c:pt>
                <c:pt idx="229">
                  <c:v>1.43E-2</c:v>
                </c:pt>
                <c:pt idx="230">
                  <c:v>1.43E-2</c:v>
                </c:pt>
                <c:pt idx="231">
                  <c:v>1.44E-2</c:v>
                </c:pt>
                <c:pt idx="232">
                  <c:v>1.3500000000000002E-2</c:v>
                </c:pt>
                <c:pt idx="233">
                  <c:v>1.43E-2</c:v>
                </c:pt>
                <c:pt idx="234">
                  <c:v>1.4800000000000001E-2</c:v>
                </c:pt>
                <c:pt idx="235">
                  <c:v>1.52E-2</c:v>
                </c:pt>
                <c:pt idx="236">
                  <c:v>1.49E-2</c:v>
                </c:pt>
                <c:pt idx="237">
                  <c:v>1.4800000000000001E-2</c:v>
                </c:pt>
                <c:pt idx="238">
                  <c:v>1.4199999999999999E-2</c:v>
                </c:pt>
                <c:pt idx="239">
                  <c:v>1.44E-2</c:v>
                </c:pt>
                <c:pt idx="240">
                  <c:v>1.47E-2</c:v>
                </c:pt>
                <c:pt idx="241">
                  <c:v>1.44E-2</c:v>
                </c:pt>
                <c:pt idx="242">
                  <c:v>1.41E-2</c:v>
                </c:pt>
                <c:pt idx="243">
                  <c:v>1.43E-2</c:v>
                </c:pt>
                <c:pt idx="244">
                  <c:v>1.4800000000000001E-2</c:v>
                </c:pt>
                <c:pt idx="245">
                  <c:v>1.46E-2</c:v>
                </c:pt>
                <c:pt idx="246">
                  <c:v>1.4999999999999999E-2</c:v>
                </c:pt>
                <c:pt idx="247">
                  <c:v>1.4800000000000001E-2</c:v>
                </c:pt>
                <c:pt idx="248">
                  <c:v>1.49E-2</c:v>
                </c:pt>
                <c:pt idx="249">
                  <c:v>1.55E-2</c:v>
                </c:pt>
                <c:pt idx="250">
                  <c:v>1.52E-2</c:v>
                </c:pt>
                <c:pt idx="251">
                  <c:v>1.52E-2</c:v>
                </c:pt>
                <c:pt idx="252">
                  <c:v>1.6299999999999999E-2</c:v>
                </c:pt>
                <c:pt idx="253">
                  <c:v>1.66E-2</c:v>
                </c:pt>
                <c:pt idx="254">
                  <c:v>1.7100000000000001E-2</c:v>
                </c:pt>
                <c:pt idx="255">
                  <c:v>1.7299999999999999E-2</c:v>
                </c:pt>
                <c:pt idx="256">
                  <c:v>1.7600000000000001E-2</c:v>
                </c:pt>
                <c:pt idx="257">
                  <c:v>1.78E-2</c:v>
                </c:pt>
                <c:pt idx="258">
                  <c:v>1.7500000000000002E-2</c:v>
                </c:pt>
                <c:pt idx="259">
                  <c:v>1.7399999999999999E-2</c:v>
                </c:pt>
                <c:pt idx="260">
                  <c:v>1.7000000000000001E-2</c:v>
                </c:pt>
                <c:pt idx="261">
                  <c:v>1.78E-2</c:v>
                </c:pt>
                <c:pt idx="262">
                  <c:v>1.8700000000000001E-2</c:v>
                </c:pt>
                <c:pt idx="263">
                  <c:v>1.83E-2</c:v>
                </c:pt>
                <c:pt idx="264">
                  <c:v>1.83E-2</c:v>
                </c:pt>
                <c:pt idx="265">
                  <c:v>1.7500000000000002E-2</c:v>
                </c:pt>
                <c:pt idx="266">
                  <c:v>1.7500000000000002E-2</c:v>
                </c:pt>
                <c:pt idx="267">
                  <c:v>1.78E-2</c:v>
                </c:pt>
                <c:pt idx="268">
                  <c:v>1.8500000000000003E-2</c:v>
                </c:pt>
                <c:pt idx="269">
                  <c:v>1.8100000000000002E-2</c:v>
                </c:pt>
                <c:pt idx="270">
                  <c:v>1.78E-2</c:v>
                </c:pt>
                <c:pt idx="271">
                  <c:v>1.7899999999999999E-2</c:v>
                </c:pt>
                <c:pt idx="272">
                  <c:v>1.8100000000000002E-2</c:v>
                </c:pt>
                <c:pt idx="273">
                  <c:v>1.78E-2</c:v>
                </c:pt>
                <c:pt idx="274">
                  <c:v>1.8200000000000001E-2</c:v>
                </c:pt>
                <c:pt idx="275">
                  <c:v>1.9299999999999998E-2</c:v>
                </c:pt>
                <c:pt idx="276">
                  <c:v>1.9199999999999998E-2</c:v>
                </c:pt>
                <c:pt idx="277">
                  <c:v>1.9599999999999999E-2</c:v>
                </c:pt>
                <c:pt idx="278">
                  <c:v>1.9400000000000001E-2</c:v>
                </c:pt>
                <c:pt idx="279">
                  <c:v>2.0299999999999999E-2</c:v>
                </c:pt>
                <c:pt idx="280">
                  <c:v>1.9199999999999998E-2</c:v>
                </c:pt>
                <c:pt idx="281">
                  <c:v>1.9799999999999998E-2</c:v>
                </c:pt>
                <c:pt idx="282">
                  <c:v>2.0499999999999997E-2</c:v>
                </c:pt>
                <c:pt idx="283">
                  <c:v>2.0299999999999999E-2</c:v>
                </c:pt>
                <c:pt idx="284">
                  <c:v>1.9699999999999999E-2</c:v>
                </c:pt>
                <c:pt idx="285">
                  <c:v>1.9199999999999998E-2</c:v>
                </c:pt>
                <c:pt idx="286">
                  <c:v>1.9400000000000001E-2</c:v>
                </c:pt>
                <c:pt idx="287">
                  <c:v>1.9900000000000001E-2</c:v>
                </c:pt>
                <c:pt idx="288">
                  <c:v>1.9599999999999999E-2</c:v>
                </c:pt>
                <c:pt idx="289">
                  <c:v>1.9699999999999999E-2</c:v>
                </c:pt>
                <c:pt idx="290">
                  <c:v>1.83E-2</c:v>
                </c:pt>
                <c:pt idx="291">
                  <c:v>1.72E-2</c:v>
                </c:pt>
                <c:pt idx="292">
                  <c:v>1.8600000000000002E-2</c:v>
                </c:pt>
                <c:pt idx="293">
                  <c:v>1.8600000000000002E-2</c:v>
                </c:pt>
                <c:pt idx="294">
                  <c:v>1.7399999999999999E-2</c:v>
                </c:pt>
                <c:pt idx="295">
                  <c:v>1.78E-2</c:v>
                </c:pt>
                <c:pt idx="296">
                  <c:v>1.8600000000000002E-2</c:v>
                </c:pt>
                <c:pt idx="297">
                  <c:v>1.9400000000000001E-2</c:v>
                </c:pt>
                <c:pt idx="298">
                  <c:v>1.9799999999999998E-2</c:v>
                </c:pt>
                <c:pt idx="299">
                  <c:v>0.02</c:v>
                </c:pt>
                <c:pt idx="300">
                  <c:v>2.1400000000000002E-2</c:v>
                </c:pt>
                <c:pt idx="301">
                  <c:v>2.1499999999999998E-2</c:v>
                </c:pt>
                <c:pt idx="302">
                  <c:v>2.1899999999999999E-2</c:v>
                </c:pt>
                <c:pt idx="303">
                  <c:v>2.2000000000000002E-2</c:v>
                </c:pt>
                <c:pt idx="304">
                  <c:v>2.1400000000000002E-2</c:v>
                </c:pt>
                <c:pt idx="305">
                  <c:v>2.3199999999999998E-2</c:v>
                </c:pt>
                <c:pt idx="306">
                  <c:v>2.3799999999999998E-2</c:v>
                </c:pt>
                <c:pt idx="307">
                  <c:v>2.3199999999999998E-2</c:v>
                </c:pt>
                <c:pt idx="308">
                  <c:v>2.3399999999999997E-2</c:v>
                </c:pt>
                <c:pt idx="309">
                  <c:v>2.4799999999999999E-2</c:v>
                </c:pt>
                <c:pt idx="310">
                  <c:v>2.46E-2</c:v>
                </c:pt>
                <c:pt idx="311">
                  <c:v>2.41E-2</c:v>
                </c:pt>
                <c:pt idx="312">
                  <c:v>2.35E-2</c:v>
                </c:pt>
                <c:pt idx="313">
                  <c:v>2.3199999999999998E-2</c:v>
                </c:pt>
                <c:pt idx="314">
                  <c:v>2.3900000000000001E-2</c:v>
                </c:pt>
                <c:pt idx="315">
                  <c:v>2.4199999999999999E-2</c:v>
                </c:pt>
                <c:pt idx="316">
                  <c:v>2.5399999999999999E-2</c:v>
                </c:pt>
                <c:pt idx="317">
                  <c:v>2.6099999999999998E-2</c:v>
                </c:pt>
                <c:pt idx="318">
                  <c:v>2.6600000000000002E-2</c:v>
                </c:pt>
                <c:pt idx="319">
                  <c:v>2.7200000000000002E-2</c:v>
                </c:pt>
                <c:pt idx="320">
                  <c:v>2.7900000000000001E-2</c:v>
                </c:pt>
                <c:pt idx="321">
                  <c:v>2.7200000000000002E-2</c:v>
                </c:pt>
                <c:pt idx="322">
                  <c:v>2.7000000000000003E-2</c:v>
                </c:pt>
                <c:pt idx="323">
                  <c:v>2.8300000000000002E-2</c:v>
                </c:pt>
                <c:pt idx="324">
                  <c:v>2.8500000000000001E-2</c:v>
                </c:pt>
                <c:pt idx="325">
                  <c:v>2.9300000000000003E-2</c:v>
                </c:pt>
                <c:pt idx="326">
                  <c:v>2.8500000000000001E-2</c:v>
                </c:pt>
                <c:pt idx="327">
                  <c:v>2.8999999999999998E-2</c:v>
                </c:pt>
                <c:pt idx="328">
                  <c:v>2.8999999999999998E-2</c:v>
                </c:pt>
                <c:pt idx="329">
                  <c:v>2.81E-2</c:v>
                </c:pt>
                <c:pt idx="330">
                  <c:v>2.7699999999999999E-2</c:v>
                </c:pt>
                <c:pt idx="331">
                  <c:v>2.8199999999999999E-2</c:v>
                </c:pt>
                <c:pt idx="332">
                  <c:v>2.8500000000000001E-2</c:v>
                </c:pt>
                <c:pt idx="333">
                  <c:v>2.8900000000000002E-2</c:v>
                </c:pt>
                <c:pt idx="334">
                  <c:v>2.9900000000000003E-2</c:v>
                </c:pt>
                <c:pt idx="335">
                  <c:v>2.9700000000000001E-2</c:v>
                </c:pt>
                <c:pt idx="336">
                  <c:v>2.9300000000000003E-2</c:v>
                </c:pt>
                <c:pt idx="337">
                  <c:v>3.0499999999999999E-2</c:v>
                </c:pt>
                <c:pt idx="338">
                  <c:v>3.1200000000000002E-2</c:v>
                </c:pt>
                <c:pt idx="339">
                  <c:v>3.0499999999999999E-2</c:v>
                </c:pt>
                <c:pt idx="340">
                  <c:v>2.9900000000000003E-2</c:v>
                </c:pt>
                <c:pt idx="341">
                  <c:v>2.9100000000000001E-2</c:v>
                </c:pt>
                <c:pt idx="342">
                  <c:v>2.8399999999999998E-2</c:v>
                </c:pt>
                <c:pt idx="343">
                  <c:v>2.9300000000000003E-2</c:v>
                </c:pt>
                <c:pt idx="344">
                  <c:v>2.8799999999999999E-2</c:v>
                </c:pt>
                <c:pt idx="345">
                  <c:v>2.98E-2</c:v>
                </c:pt>
                <c:pt idx="346">
                  <c:v>2.8799999999999999E-2</c:v>
                </c:pt>
                <c:pt idx="347">
                  <c:v>2.8399999999999998E-2</c:v>
                </c:pt>
                <c:pt idx="348">
                  <c:v>2.7799999999999998E-2</c:v>
                </c:pt>
                <c:pt idx="349">
                  <c:v>2.86E-2</c:v>
                </c:pt>
                <c:pt idx="350">
                  <c:v>2.76E-2</c:v>
                </c:pt>
                <c:pt idx="351">
                  <c:v>2.75E-2</c:v>
                </c:pt>
                <c:pt idx="352">
                  <c:v>2.75E-2</c:v>
                </c:pt>
                <c:pt idx="353">
                  <c:v>2.7400000000000001E-2</c:v>
                </c:pt>
                <c:pt idx="354">
                  <c:v>2.8500000000000001E-2</c:v>
                </c:pt>
                <c:pt idx="355">
                  <c:v>2.9399999999999999E-2</c:v>
                </c:pt>
                <c:pt idx="356">
                  <c:v>2.92E-2</c:v>
                </c:pt>
                <c:pt idx="357">
                  <c:v>2.9600000000000001E-2</c:v>
                </c:pt>
                <c:pt idx="358">
                  <c:v>3.04E-2</c:v>
                </c:pt>
                <c:pt idx="359">
                  <c:v>2.98E-2</c:v>
                </c:pt>
                <c:pt idx="360">
                  <c:v>3.0299999999999997E-2</c:v>
                </c:pt>
                <c:pt idx="361">
                  <c:v>3.04E-2</c:v>
                </c:pt>
                <c:pt idx="362">
                  <c:v>3.15E-2</c:v>
                </c:pt>
                <c:pt idx="363">
                  <c:v>3.4300000000000004E-2</c:v>
                </c:pt>
                <c:pt idx="364">
                  <c:v>3.49E-2</c:v>
                </c:pt>
                <c:pt idx="365">
                  <c:v>3.3300000000000003E-2</c:v>
                </c:pt>
                <c:pt idx="366">
                  <c:v>3.2799999999999996E-2</c:v>
                </c:pt>
                <c:pt idx="367">
                  <c:v>3.2500000000000001E-2</c:v>
                </c:pt>
                <c:pt idx="368">
                  <c:v>3.3099999999999997E-2</c:v>
                </c:pt>
                <c:pt idx="369">
                  <c:v>3.1600000000000003E-2</c:v>
                </c:pt>
                <c:pt idx="370">
                  <c:v>3.0899999999999997E-2</c:v>
                </c:pt>
                <c:pt idx="371">
                  <c:v>3.1300000000000001E-2</c:v>
                </c:pt>
                <c:pt idx="372">
                  <c:v>3.2000000000000001E-2</c:v>
                </c:pt>
                <c:pt idx="373">
                  <c:v>3.2000000000000001E-2</c:v>
                </c:pt>
                <c:pt idx="374">
                  <c:v>3.1E-2</c:v>
                </c:pt>
                <c:pt idx="375">
                  <c:v>2.98E-2</c:v>
                </c:pt>
                <c:pt idx="376">
                  <c:v>2.8799999999999999E-2</c:v>
                </c:pt>
                <c:pt idx="377">
                  <c:v>2.8199999999999999E-2</c:v>
                </c:pt>
                <c:pt idx="378">
                  <c:v>2.9300000000000003E-2</c:v>
                </c:pt>
                <c:pt idx="379">
                  <c:v>3.0099999999999998E-2</c:v>
                </c:pt>
                <c:pt idx="380">
                  <c:v>3.0899999999999997E-2</c:v>
                </c:pt>
                <c:pt idx="381">
                  <c:v>2.9900000000000003E-2</c:v>
                </c:pt>
                <c:pt idx="382">
                  <c:v>2.9600000000000001E-2</c:v>
                </c:pt>
                <c:pt idx="383">
                  <c:v>2.9100000000000001E-2</c:v>
                </c:pt>
                <c:pt idx="384">
                  <c:v>2.9600000000000001E-2</c:v>
                </c:pt>
                <c:pt idx="385">
                  <c:v>2.9300000000000003E-2</c:v>
                </c:pt>
                <c:pt idx="386">
                  <c:v>2.9600000000000001E-2</c:v>
                </c:pt>
                <c:pt idx="387">
                  <c:v>3.0099999999999998E-2</c:v>
                </c:pt>
                <c:pt idx="388">
                  <c:v>3.04E-2</c:v>
                </c:pt>
                <c:pt idx="389">
                  <c:v>2.9100000000000001E-2</c:v>
                </c:pt>
                <c:pt idx="390">
                  <c:v>2.7699999999999999E-2</c:v>
                </c:pt>
                <c:pt idx="391">
                  <c:v>2.81E-2</c:v>
                </c:pt>
                <c:pt idx="392">
                  <c:v>2.81E-2</c:v>
                </c:pt>
                <c:pt idx="393">
                  <c:v>2.7799999999999998E-2</c:v>
                </c:pt>
                <c:pt idx="394">
                  <c:v>2.6800000000000001E-2</c:v>
                </c:pt>
                <c:pt idx="395">
                  <c:v>2.6699999999999998E-2</c:v>
                </c:pt>
                <c:pt idx="396">
                  <c:v>2.6000000000000002E-2</c:v>
                </c:pt>
                <c:pt idx="397">
                  <c:v>2.75E-2</c:v>
                </c:pt>
                <c:pt idx="398">
                  <c:v>2.7300000000000001E-2</c:v>
                </c:pt>
                <c:pt idx="399">
                  <c:v>2.6800000000000001E-2</c:v>
                </c:pt>
                <c:pt idx="400">
                  <c:v>2.8300000000000002E-2</c:v>
                </c:pt>
                <c:pt idx="401">
                  <c:v>2.7699999999999999E-2</c:v>
                </c:pt>
                <c:pt idx="402">
                  <c:v>2.7999999999999997E-2</c:v>
                </c:pt>
                <c:pt idx="403">
                  <c:v>2.7799999999999998E-2</c:v>
                </c:pt>
                <c:pt idx="404">
                  <c:v>2.87E-2</c:v>
                </c:pt>
                <c:pt idx="405">
                  <c:v>2.8399999999999998E-2</c:v>
                </c:pt>
                <c:pt idx="406">
                  <c:v>2.7900000000000001E-2</c:v>
                </c:pt>
                <c:pt idx="407">
                  <c:v>2.8199999999999999E-2</c:v>
                </c:pt>
                <c:pt idx="408">
                  <c:v>2.8900000000000002E-2</c:v>
                </c:pt>
                <c:pt idx="409">
                  <c:v>2.8799999999999999E-2</c:v>
                </c:pt>
                <c:pt idx="410">
                  <c:v>2.98E-2</c:v>
                </c:pt>
                <c:pt idx="411">
                  <c:v>3.0299999999999997E-2</c:v>
                </c:pt>
                <c:pt idx="412">
                  <c:v>3.0499999999999999E-2</c:v>
                </c:pt>
                <c:pt idx="413">
                  <c:v>3.1099999999999999E-2</c:v>
                </c:pt>
                <c:pt idx="414">
                  <c:v>3.0299999999999997E-2</c:v>
                </c:pt>
                <c:pt idx="415">
                  <c:v>3.04E-2</c:v>
                </c:pt>
                <c:pt idx="416">
                  <c:v>3.1200000000000002E-2</c:v>
                </c:pt>
                <c:pt idx="417">
                  <c:v>3.1099999999999999E-2</c:v>
                </c:pt>
                <c:pt idx="418">
                  <c:v>3.15E-2</c:v>
                </c:pt>
                <c:pt idx="419">
                  <c:v>3.2599999999999997E-2</c:v>
                </c:pt>
                <c:pt idx="420">
                  <c:v>3.2000000000000001E-2</c:v>
                </c:pt>
                <c:pt idx="421">
                  <c:v>3.3300000000000003E-2</c:v>
                </c:pt>
                <c:pt idx="422">
                  <c:v>3.27E-2</c:v>
                </c:pt>
                <c:pt idx="423">
                  <c:v>3.2899999999999999E-2</c:v>
                </c:pt>
                <c:pt idx="424">
                  <c:v>3.3300000000000003E-2</c:v>
                </c:pt>
                <c:pt idx="425">
                  <c:v>3.3700000000000001E-2</c:v>
                </c:pt>
                <c:pt idx="426">
                  <c:v>3.4200000000000001E-2</c:v>
                </c:pt>
                <c:pt idx="427">
                  <c:v>3.4099999999999998E-2</c:v>
                </c:pt>
                <c:pt idx="428">
                  <c:v>3.4500000000000003E-2</c:v>
                </c:pt>
                <c:pt idx="429">
                  <c:v>3.4500000000000003E-2</c:v>
                </c:pt>
                <c:pt idx="430">
                  <c:v>3.49E-2</c:v>
                </c:pt>
                <c:pt idx="431">
                  <c:v>3.5699999999999996E-2</c:v>
                </c:pt>
                <c:pt idx="432">
                  <c:v>3.5099999999999999E-2</c:v>
                </c:pt>
                <c:pt idx="433">
                  <c:v>3.7000000000000005E-2</c:v>
                </c:pt>
                <c:pt idx="434">
                  <c:v>3.6900000000000002E-2</c:v>
                </c:pt>
                <c:pt idx="435">
                  <c:v>3.8800000000000001E-2</c:v>
                </c:pt>
                <c:pt idx="436">
                  <c:v>3.9699999999999999E-2</c:v>
                </c:pt>
                <c:pt idx="437">
                  <c:v>3.7200000000000004E-2</c:v>
                </c:pt>
                <c:pt idx="438">
                  <c:v>3.7599999999999995E-2</c:v>
                </c:pt>
                <c:pt idx="439">
                  <c:v>3.8300000000000001E-2</c:v>
                </c:pt>
                <c:pt idx="440">
                  <c:v>3.6699999999999997E-2</c:v>
                </c:pt>
                <c:pt idx="441">
                  <c:v>3.6200000000000003E-2</c:v>
                </c:pt>
                <c:pt idx="442">
                  <c:v>3.7599999999999995E-2</c:v>
                </c:pt>
                <c:pt idx="443">
                  <c:v>3.8300000000000001E-2</c:v>
                </c:pt>
                <c:pt idx="444">
                  <c:v>3.8900000000000004E-2</c:v>
                </c:pt>
                <c:pt idx="445">
                  <c:v>3.9300000000000002E-2</c:v>
                </c:pt>
                <c:pt idx="446">
                  <c:v>3.9100000000000003E-2</c:v>
                </c:pt>
                <c:pt idx="447">
                  <c:v>3.9699999999999999E-2</c:v>
                </c:pt>
                <c:pt idx="448">
                  <c:v>0.04</c:v>
                </c:pt>
                <c:pt idx="449">
                  <c:v>4.0199999999999993E-2</c:v>
                </c:pt>
                <c:pt idx="450">
                  <c:v>4.0099999999999997E-2</c:v>
                </c:pt>
                <c:pt idx="451">
                  <c:v>4.1399999999999999E-2</c:v>
                </c:pt>
                <c:pt idx="452">
                  <c:v>4.24E-2</c:v>
                </c:pt>
                <c:pt idx="453">
                  <c:v>4.2099999999999999E-2</c:v>
                </c:pt>
                <c:pt idx="454">
                  <c:v>4.2500000000000003E-2</c:v>
                </c:pt>
                <c:pt idx="455">
                  <c:v>4.0999999999999995E-2</c:v>
                </c:pt>
                <c:pt idx="456">
                  <c:v>4.0399999999999998E-2</c:v>
                </c:pt>
                <c:pt idx="457">
                  <c:v>3.9599999999999996E-2</c:v>
                </c:pt>
                <c:pt idx="458">
                  <c:v>4.0199999999999993E-2</c:v>
                </c:pt>
                <c:pt idx="459">
                  <c:v>4.0999999999999995E-2</c:v>
                </c:pt>
                <c:pt idx="460">
                  <c:v>4.07E-2</c:v>
                </c:pt>
                <c:pt idx="461">
                  <c:v>4.0999999999999995E-2</c:v>
                </c:pt>
                <c:pt idx="462">
                  <c:v>4.1399999999999999E-2</c:v>
                </c:pt>
                <c:pt idx="463">
                  <c:v>4.1700000000000001E-2</c:v>
                </c:pt>
                <c:pt idx="464">
                  <c:v>4.2199999999999994E-2</c:v>
                </c:pt>
                <c:pt idx="465">
                  <c:v>4.1399999999999999E-2</c:v>
                </c:pt>
                <c:pt idx="466">
                  <c:v>4.1200000000000001E-2</c:v>
                </c:pt>
                <c:pt idx="467">
                  <c:v>3.8199999999999998E-2</c:v>
                </c:pt>
                <c:pt idx="468">
                  <c:v>3.8800000000000001E-2</c:v>
                </c:pt>
                <c:pt idx="469">
                  <c:v>3.7999999999999999E-2</c:v>
                </c:pt>
                <c:pt idx="470">
                  <c:v>3.6699999999999997E-2</c:v>
                </c:pt>
                <c:pt idx="471">
                  <c:v>3.7699999999999997E-2</c:v>
                </c:pt>
                <c:pt idx="472">
                  <c:v>3.8199999999999998E-2</c:v>
                </c:pt>
                <c:pt idx="473">
                  <c:v>3.8300000000000001E-2</c:v>
                </c:pt>
                <c:pt idx="474">
                  <c:v>3.7599999999999995E-2</c:v>
                </c:pt>
                <c:pt idx="475">
                  <c:v>3.7100000000000001E-2</c:v>
                </c:pt>
                <c:pt idx="476">
                  <c:v>3.6799999999999999E-2</c:v>
                </c:pt>
                <c:pt idx="477">
                  <c:v>3.6900000000000002E-2</c:v>
                </c:pt>
                <c:pt idx="478">
                  <c:v>3.7499999999999999E-2</c:v>
                </c:pt>
                <c:pt idx="479">
                  <c:v>3.6799999999999999E-2</c:v>
                </c:pt>
                <c:pt idx="480">
                  <c:v>3.5299999999999998E-2</c:v>
                </c:pt>
                <c:pt idx="481">
                  <c:v>3.5099999999999999E-2</c:v>
                </c:pt>
                <c:pt idx="482">
                  <c:v>3.6000000000000004E-2</c:v>
                </c:pt>
                <c:pt idx="483">
                  <c:v>3.5099999999999999E-2</c:v>
                </c:pt>
                <c:pt idx="484">
                  <c:v>3.4200000000000001E-2</c:v>
                </c:pt>
                <c:pt idx="485">
                  <c:v>3.4799999999999998E-2</c:v>
                </c:pt>
                <c:pt idx="486">
                  <c:v>3.5699999999999996E-2</c:v>
                </c:pt>
                <c:pt idx="487">
                  <c:v>3.61E-2</c:v>
                </c:pt>
                <c:pt idx="488">
                  <c:v>3.5099999999999999E-2</c:v>
                </c:pt>
                <c:pt idx="489">
                  <c:v>3.49E-2</c:v>
                </c:pt>
                <c:pt idx="490">
                  <c:v>3.44E-2</c:v>
                </c:pt>
                <c:pt idx="491">
                  <c:v>3.4799999999999998E-2</c:v>
                </c:pt>
                <c:pt idx="492">
                  <c:v>3.5699999999999996E-2</c:v>
                </c:pt>
                <c:pt idx="493">
                  <c:v>3.6900000000000002E-2</c:v>
                </c:pt>
                <c:pt idx="494">
                  <c:v>3.6799999999999999E-2</c:v>
                </c:pt>
                <c:pt idx="495">
                  <c:v>3.6699999999999997E-2</c:v>
                </c:pt>
                <c:pt idx="496">
                  <c:v>3.7499999999999999E-2</c:v>
                </c:pt>
                <c:pt idx="497">
                  <c:v>3.8399999999999997E-2</c:v>
                </c:pt>
                <c:pt idx="498">
                  <c:v>3.8800000000000001E-2</c:v>
                </c:pt>
                <c:pt idx="499">
                  <c:v>3.8300000000000001E-2</c:v>
                </c:pt>
                <c:pt idx="500">
                  <c:v>3.8800000000000001E-2</c:v>
                </c:pt>
                <c:pt idx="501">
                  <c:v>3.7900000000000003E-2</c:v>
                </c:pt>
                <c:pt idx="502">
                  <c:v>3.6900000000000002E-2</c:v>
                </c:pt>
                <c:pt idx="503">
                  <c:v>3.7100000000000001E-2</c:v>
                </c:pt>
                <c:pt idx="504">
                  <c:v>3.5499999999999997E-2</c:v>
                </c:pt>
                <c:pt idx="505">
                  <c:v>3.5299999999999998E-2</c:v>
                </c:pt>
                <c:pt idx="506">
                  <c:v>3.61E-2</c:v>
                </c:pt>
                <c:pt idx="507">
                  <c:v>3.5400000000000001E-2</c:v>
                </c:pt>
                <c:pt idx="508">
                  <c:v>3.4300000000000004E-2</c:v>
                </c:pt>
                <c:pt idx="509">
                  <c:v>3.49E-2</c:v>
                </c:pt>
                <c:pt idx="510">
                  <c:v>3.5299999999999998E-2</c:v>
                </c:pt>
                <c:pt idx="511">
                  <c:v>3.3700000000000001E-2</c:v>
                </c:pt>
                <c:pt idx="512">
                  <c:v>3.39E-2</c:v>
                </c:pt>
                <c:pt idx="513">
                  <c:v>3.4799999999999998E-2</c:v>
                </c:pt>
                <c:pt idx="514">
                  <c:v>3.5200000000000002E-2</c:v>
                </c:pt>
                <c:pt idx="515">
                  <c:v>3.4599999999999999E-2</c:v>
                </c:pt>
                <c:pt idx="516">
                  <c:v>3.4599999999999999E-2</c:v>
                </c:pt>
                <c:pt idx="517">
                  <c:v>3.49E-2</c:v>
                </c:pt>
                <c:pt idx="518">
                  <c:v>3.5200000000000002E-2</c:v>
                </c:pt>
                <c:pt idx="519">
                  <c:v>3.5499999999999997E-2</c:v>
                </c:pt>
                <c:pt idx="520">
                  <c:v>3.5200000000000002E-2</c:v>
                </c:pt>
                <c:pt idx="521">
                  <c:v>3.39E-2</c:v>
                </c:pt>
                <c:pt idx="522">
                  <c:v>3.4000000000000002E-2</c:v>
                </c:pt>
                <c:pt idx="523">
                  <c:v>3.5299999999999998E-2</c:v>
                </c:pt>
                <c:pt idx="524">
                  <c:v>3.6299999999999999E-2</c:v>
                </c:pt>
                <c:pt idx="525">
                  <c:v>3.6699999999999997E-2</c:v>
                </c:pt>
                <c:pt idx="526">
                  <c:v>3.6299999999999999E-2</c:v>
                </c:pt>
                <c:pt idx="527">
                  <c:v>3.6699999999999997E-2</c:v>
                </c:pt>
                <c:pt idx="528">
                  <c:v>3.7400000000000003E-2</c:v>
                </c:pt>
                <c:pt idx="529">
                  <c:v>3.7200000000000004E-2</c:v>
                </c:pt>
                <c:pt idx="530">
                  <c:v>3.7699999999999997E-2</c:v>
                </c:pt>
                <c:pt idx="531">
                  <c:v>3.8100000000000002E-2</c:v>
                </c:pt>
                <c:pt idx="532">
                  <c:v>3.8599999999999995E-2</c:v>
                </c:pt>
                <c:pt idx="533">
                  <c:v>3.8199999999999998E-2</c:v>
                </c:pt>
                <c:pt idx="534">
                  <c:v>3.95E-2</c:v>
                </c:pt>
                <c:pt idx="535">
                  <c:v>3.9300000000000002E-2</c:v>
                </c:pt>
                <c:pt idx="536">
                  <c:v>3.8800000000000001E-2</c:v>
                </c:pt>
                <c:pt idx="537">
                  <c:v>3.95E-2</c:v>
                </c:pt>
                <c:pt idx="538">
                  <c:v>3.9199999999999999E-2</c:v>
                </c:pt>
                <c:pt idx="539">
                  <c:v>3.9199999999999999E-2</c:v>
                </c:pt>
                <c:pt idx="540">
                  <c:v>4.0099999999999997E-2</c:v>
                </c:pt>
                <c:pt idx="541">
                  <c:v>4.0800000000000003E-2</c:v>
                </c:pt>
                <c:pt idx="542">
                  <c:v>3.9699999999999999E-2</c:v>
                </c:pt>
                <c:pt idx="543">
                  <c:v>3.9800000000000002E-2</c:v>
                </c:pt>
                <c:pt idx="544">
                  <c:v>3.9699999999999999E-2</c:v>
                </c:pt>
                <c:pt idx="545">
                  <c:v>3.9800000000000002E-2</c:v>
                </c:pt>
                <c:pt idx="546">
                  <c:v>3.9300000000000002E-2</c:v>
                </c:pt>
                <c:pt idx="547">
                  <c:v>3.7000000000000005E-2</c:v>
                </c:pt>
                <c:pt idx="548">
                  <c:v>3.5499999999999997E-2</c:v>
                </c:pt>
                <c:pt idx="549">
                  <c:v>3.6400000000000002E-2</c:v>
                </c:pt>
                <c:pt idx="550">
                  <c:v>3.5099999999999999E-2</c:v>
                </c:pt>
                <c:pt idx="551">
                  <c:v>3.56E-2</c:v>
                </c:pt>
                <c:pt idx="552">
                  <c:v>3.39E-2</c:v>
                </c:pt>
                <c:pt idx="553">
                  <c:v>3.4700000000000002E-2</c:v>
                </c:pt>
                <c:pt idx="554">
                  <c:v>3.5900000000000001E-2</c:v>
                </c:pt>
                <c:pt idx="555">
                  <c:v>3.4799999999999998E-2</c:v>
                </c:pt>
                <c:pt idx="556">
                  <c:v>3.3799999999999997E-2</c:v>
                </c:pt>
                <c:pt idx="557">
                  <c:v>3.3799999999999997E-2</c:v>
                </c:pt>
                <c:pt idx="558">
                  <c:v>3.5299999999999998E-2</c:v>
                </c:pt>
                <c:pt idx="559">
                  <c:v>3.5499999999999997E-2</c:v>
                </c:pt>
                <c:pt idx="560">
                  <c:v>3.5699999999999996E-2</c:v>
                </c:pt>
                <c:pt idx="561">
                  <c:v>3.5499999999999997E-2</c:v>
                </c:pt>
                <c:pt idx="562">
                  <c:v>3.4799999999999998E-2</c:v>
                </c:pt>
                <c:pt idx="563">
                  <c:v>3.4300000000000004E-2</c:v>
                </c:pt>
                <c:pt idx="564">
                  <c:v>3.3500000000000002E-2</c:v>
                </c:pt>
                <c:pt idx="565">
                  <c:v>3.3000000000000002E-2</c:v>
                </c:pt>
                <c:pt idx="566">
                  <c:v>3.3000000000000002E-2</c:v>
                </c:pt>
                <c:pt idx="567">
                  <c:v>3.39E-2</c:v>
                </c:pt>
                <c:pt idx="568">
                  <c:v>3.4099999999999998E-2</c:v>
                </c:pt>
                <c:pt idx="569">
                  <c:v>3.4300000000000004E-2</c:v>
                </c:pt>
                <c:pt idx="570">
                  <c:v>3.4099999999999998E-2</c:v>
                </c:pt>
                <c:pt idx="571">
                  <c:v>3.4500000000000003E-2</c:v>
                </c:pt>
                <c:pt idx="572">
                  <c:v>3.5200000000000002E-2</c:v>
                </c:pt>
                <c:pt idx="573">
                  <c:v>3.6000000000000004E-2</c:v>
                </c:pt>
                <c:pt idx="574">
                  <c:v>3.5799999999999998E-2</c:v>
                </c:pt>
                <c:pt idx="575">
                  <c:v>3.6000000000000004E-2</c:v>
                </c:pt>
                <c:pt idx="576">
                  <c:v>3.5400000000000001E-2</c:v>
                </c:pt>
                <c:pt idx="577">
                  <c:v>3.5699999999999996E-2</c:v>
                </c:pt>
                <c:pt idx="578">
                  <c:v>3.5200000000000002E-2</c:v>
                </c:pt>
                <c:pt idx="579">
                  <c:v>3.4000000000000002E-2</c:v>
                </c:pt>
                <c:pt idx="580">
                  <c:v>3.4300000000000004E-2</c:v>
                </c:pt>
                <c:pt idx="581">
                  <c:v>3.5299999999999998E-2</c:v>
                </c:pt>
                <c:pt idx="582">
                  <c:v>3.44E-2</c:v>
                </c:pt>
                <c:pt idx="583">
                  <c:v>3.5900000000000001E-2</c:v>
                </c:pt>
                <c:pt idx="584">
                  <c:v>3.44E-2</c:v>
                </c:pt>
                <c:pt idx="585">
                  <c:v>3.3799999999999997E-2</c:v>
                </c:pt>
                <c:pt idx="586">
                  <c:v>3.3700000000000001E-2</c:v>
                </c:pt>
                <c:pt idx="587">
                  <c:v>3.44E-2</c:v>
                </c:pt>
                <c:pt idx="588">
                  <c:v>3.5200000000000002E-2</c:v>
                </c:pt>
                <c:pt idx="589">
                  <c:v>3.5299999999999998E-2</c:v>
                </c:pt>
                <c:pt idx="590">
                  <c:v>3.4300000000000004E-2</c:v>
                </c:pt>
                <c:pt idx="591">
                  <c:v>3.39E-2</c:v>
                </c:pt>
                <c:pt idx="592">
                  <c:v>3.4599999999999999E-2</c:v>
                </c:pt>
                <c:pt idx="593">
                  <c:v>3.5000000000000003E-2</c:v>
                </c:pt>
                <c:pt idx="594">
                  <c:v>3.5400000000000001E-2</c:v>
                </c:pt>
                <c:pt idx="595">
                  <c:v>3.5699999999999996E-2</c:v>
                </c:pt>
                <c:pt idx="596">
                  <c:v>3.6499999999999998E-2</c:v>
                </c:pt>
                <c:pt idx="597">
                  <c:v>3.7000000000000005E-2</c:v>
                </c:pt>
                <c:pt idx="598">
                  <c:v>3.7200000000000004E-2</c:v>
                </c:pt>
                <c:pt idx="599">
                  <c:v>3.7000000000000005E-2</c:v>
                </c:pt>
                <c:pt idx="600">
                  <c:v>3.73E-2</c:v>
                </c:pt>
                <c:pt idx="601">
                  <c:v>3.8300000000000001E-2</c:v>
                </c:pt>
                <c:pt idx="602">
                  <c:v>3.7999999999999999E-2</c:v>
                </c:pt>
                <c:pt idx="603">
                  <c:v>3.6900000000000002E-2</c:v>
                </c:pt>
                <c:pt idx="604">
                  <c:v>3.6400000000000002E-2</c:v>
                </c:pt>
                <c:pt idx="605">
                  <c:v>3.61E-2</c:v>
                </c:pt>
                <c:pt idx="606">
                  <c:v>3.6900000000000002E-2</c:v>
                </c:pt>
                <c:pt idx="607">
                  <c:v>3.6900000000000002E-2</c:v>
                </c:pt>
                <c:pt idx="608">
                  <c:v>3.7000000000000005E-2</c:v>
                </c:pt>
                <c:pt idx="609">
                  <c:v>3.7900000000000003E-2</c:v>
                </c:pt>
                <c:pt idx="610">
                  <c:v>3.73E-2</c:v>
                </c:pt>
                <c:pt idx="611">
                  <c:v>3.7499999999999999E-2</c:v>
                </c:pt>
                <c:pt idx="612">
                  <c:v>3.73E-2</c:v>
                </c:pt>
                <c:pt idx="613">
                  <c:v>3.8399999999999997E-2</c:v>
                </c:pt>
                <c:pt idx="614">
                  <c:v>3.8300000000000001E-2</c:v>
                </c:pt>
                <c:pt idx="615">
                  <c:v>3.7200000000000004E-2</c:v>
                </c:pt>
                <c:pt idx="616">
                  <c:v>3.7699999999999997E-2</c:v>
                </c:pt>
                <c:pt idx="617">
                  <c:v>3.7400000000000003E-2</c:v>
                </c:pt>
                <c:pt idx="618">
                  <c:v>3.7200000000000004E-2</c:v>
                </c:pt>
                <c:pt idx="619">
                  <c:v>3.7999999999999999E-2</c:v>
                </c:pt>
                <c:pt idx="620">
                  <c:v>3.7400000000000003E-2</c:v>
                </c:pt>
                <c:pt idx="621">
                  <c:v>3.7200000000000004E-2</c:v>
                </c:pt>
                <c:pt idx="622">
                  <c:v>3.7699999999999997E-2</c:v>
                </c:pt>
                <c:pt idx="623">
                  <c:v>3.7100000000000001E-2</c:v>
                </c:pt>
                <c:pt idx="624">
                  <c:v>3.85E-2</c:v>
                </c:pt>
                <c:pt idx="625">
                  <c:v>3.8100000000000002E-2</c:v>
                </c:pt>
                <c:pt idx="626">
                  <c:v>3.8599999999999995E-2</c:v>
                </c:pt>
                <c:pt idx="627">
                  <c:v>3.95E-2</c:v>
                </c:pt>
                <c:pt idx="628">
                  <c:v>4.0500000000000001E-2</c:v>
                </c:pt>
                <c:pt idx="629">
                  <c:v>4.0599999999999997E-2</c:v>
                </c:pt>
                <c:pt idx="630">
                  <c:v>4.0099999999999997E-2</c:v>
                </c:pt>
                <c:pt idx="631">
                  <c:v>3.9900000000000005E-2</c:v>
                </c:pt>
                <c:pt idx="632">
                  <c:v>3.8599999999999995E-2</c:v>
                </c:pt>
                <c:pt idx="633">
                  <c:v>3.7599999999999995E-2</c:v>
                </c:pt>
                <c:pt idx="634">
                  <c:v>3.8300000000000001E-2</c:v>
                </c:pt>
                <c:pt idx="635">
                  <c:v>3.8100000000000002E-2</c:v>
                </c:pt>
                <c:pt idx="636">
                  <c:v>3.7999999999999999E-2</c:v>
                </c:pt>
                <c:pt idx="637">
                  <c:v>3.7499999999999999E-2</c:v>
                </c:pt>
                <c:pt idx="638">
                  <c:v>3.85E-2</c:v>
                </c:pt>
                <c:pt idx="639">
                  <c:v>3.8399999999999997E-2</c:v>
                </c:pt>
                <c:pt idx="640">
                  <c:v>3.8599999999999995E-2</c:v>
                </c:pt>
                <c:pt idx="641">
                  <c:v>3.9100000000000003E-2</c:v>
                </c:pt>
                <c:pt idx="642">
                  <c:v>3.8599999999999995E-2</c:v>
                </c:pt>
                <c:pt idx="643">
                  <c:v>4.0099999999999997E-2</c:v>
                </c:pt>
                <c:pt idx="644">
                  <c:v>3.9599999999999996E-2</c:v>
                </c:pt>
                <c:pt idx="645">
                  <c:v>3.9699999999999999E-2</c:v>
                </c:pt>
                <c:pt idx="646">
                  <c:v>4.0500000000000001E-2</c:v>
                </c:pt>
                <c:pt idx="647">
                  <c:v>4.0800000000000003E-2</c:v>
                </c:pt>
                <c:pt idx="648">
                  <c:v>4.2000000000000003E-2</c:v>
                </c:pt>
                <c:pt idx="649">
                  <c:v>4.0500000000000001E-2</c:v>
                </c:pt>
                <c:pt idx="650">
                  <c:v>4.0899999999999999E-2</c:v>
                </c:pt>
                <c:pt idx="651">
                  <c:v>4.0199999999999993E-2</c:v>
                </c:pt>
                <c:pt idx="652">
                  <c:v>0.04</c:v>
                </c:pt>
                <c:pt idx="653">
                  <c:v>4.0899999999999999E-2</c:v>
                </c:pt>
                <c:pt idx="654">
                  <c:v>4.1599999999999998E-2</c:v>
                </c:pt>
                <c:pt idx="655">
                  <c:v>4.1900000000000007E-2</c:v>
                </c:pt>
                <c:pt idx="656">
                  <c:v>4.2099999999999999E-2</c:v>
                </c:pt>
                <c:pt idx="657">
                  <c:v>4.2800000000000005E-2</c:v>
                </c:pt>
                <c:pt idx="658">
                  <c:v>4.2999999999999997E-2</c:v>
                </c:pt>
                <c:pt idx="659">
                  <c:v>4.2599999999999999E-2</c:v>
                </c:pt>
                <c:pt idx="660">
                  <c:v>4.3400000000000001E-2</c:v>
                </c:pt>
                <c:pt idx="661">
                  <c:v>4.3400000000000001E-2</c:v>
                </c:pt>
                <c:pt idx="662">
                  <c:v>4.1900000000000007E-2</c:v>
                </c:pt>
                <c:pt idx="663">
                  <c:v>4.2300000000000004E-2</c:v>
                </c:pt>
                <c:pt idx="664">
                  <c:v>4.2500000000000003E-2</c:v>
                </c:pt>
                <c:pt idx="665">
                  <c:v>4.2000000000000003E-2</c:v>
                </c:pt>
                <c:pt idx="666">
                  <c:v>4.1200000000000001E-2</c:v>
                </c:pt>
                <c:pt idx="667">
                  <c:v>4.1200000000000001E-2</c:v>
                </c:pt>
                <c:pt idx="668">
                  <c:v>4.0899999999999999E-2</c:v>
                </c:pt>
                <c:pt idx="669">
                  <c:v>4.1799999999999997E-2</c:v>
                </c:pt>
                <c:pt idx="670">
                  <c:v>4.2699999999999995E-2</c:v>
                </c:pt>
                <c:pt idx="671">
                  <c:v>4.2999999999999997E-2</c:v>
                </c:pt>
                <c:pt idx="672">
                  <c:v>4.2699999999999995E-2</c:v>
                </c:pt>
                <c:pt idx="673">
                  <c:v>4.2599999999999999E-2</c:v>
                </c:pt>
                <c:pt idx="674">
                  <c:v>4.2900000000000001E-2</c:v>
                </c:pt>
                <c:pt idx="675">
                  <c:v>4.2699999999999995E-2</c:v>
                </c:pt>
                <c:pt idx="676">
                  <c:v>4.2500000000000003E-2</c:v>
                </c:pt>
                <c:pt idx="677">
                  <c:v>4.2900000000000001E-2</c:v>
                </c:pt>
                <c:pt idx="678">
                  <c:v>4.3299999999999998E-2</c:v>
                </c:pt>
                <c:pt idx="679">
                  <c:v>4.3200000000000002E-2</c:v>
                </c:pt>
                <c:pt idx="680">
                  <c:v>4.3700000000000003E-2</c:v>
                </c:pt>
                <c:pt idx="681">
                  <c:v>4.3499999999999997E-2</c:v>
                </c:pt>
                <c:pt idx="682">
                  <c:v>4.4900000000000002E-2</c:v>
                </c:pt>
                <c:pt idx="683">
                  <c:v>4.4400000000000002E-2</c:v>
                </c:pt>
                <c:pt idx="684">
                  <c:v>4.5499999999999999E-2</c:v>
                </c:pt>
                <c:pt idx="685">
                  <c:v>4.5599999999999995E-2</c:v>
                </c:pt>
                <c:pt idx="686">
                  <c:v>4.6100000000000002E-2</c:v>
                </c:pt>
                <c:pt idx="687">
                  <c:v>4.5899999999999996E-2</c:v>
                </c:pt>
                <c:pt idx="688">
                  <c:v>4.5899999999999996E-2</c:v>
                </c:pt>
                <c:pt idx="689">
                  <c:v>4.6900000000000004E-2</c:v>
                </c:pt>
                <c:pt idx="690">
                  <c:v>4.8099999999999997E-2</c:v>
                </c:pt>
                <c:pt idx="691">
                  <c:v>4.7300000000000002E-2</c:v>
                </c:pt>
                <c:pt idx="692">
                  <c:v>4.7199999999999999E-2</c:v>
                </c:pt>
                <c:pt idx="693">
                  <c:v>4.7800000000000002E-2</c:v>
                </c:pt>
                <c:pt idx="694">
                  <c:v>4.6600000000000003E-2</c:v>
                </c:pt>
                <c:pt idx="695">
                  <c:v>4.58E-2</c:v>
                </c:pt>
                <c:pt idx="696">
                  <c:v>4.7E-2</c:v>
                </c:pt>
                <c:pt idx="697">
                  <c:v>4.6300000000000001E-2</c:v>
                </c:pt>
                <c:pt idx="698">
                  <c:v>4.7100000000000003E-2</c:v>
                </c:pt>
                <c:pt idx="699">
                  <c:v>4.8300000000000003E-2</c:v>
                </c:pt>
                <c:pt idx="700">
                  <c:v>4.9100000000000005E-2</c:v>
                </c:pt>
                <c:pt idx="701">
                  <c:v>4.9800000000000004E-2</c:v>
                </c:pt>
                <c:pt idx="702">
                  <c:v>4.9299999999999997E-2</c:v>
                </c:pt>
                <c:pt idx="703">
                  <c:v>4.8600000000000004E-2</c:v>
                </c:pt>
                <c:pt idx="704">
                  <c:v>4.8300000000000003E-2</c:v>
                </c:pt>
                <c:pt idx="705">
                  <c:v>4.9500000000000002E-2</c:v>
                </c:pt>
                <c:pt idx="706">
                  <c:v>4.8600000000000004E-2</c:v>
                </c:pt>
                <c:pt idx="707">
                  <c:v>4.8399999999999999E-2</c:v>
                </c:pt>
                <c:pt idx="708">
                  <c:v>4.8799999999999996E-2</c:v>
                </c:pt>
                <c:pt idx="709">
                  <c:v>4.8799999999999996E-2</c:v>
                </c:pt>
                <c:pt idx="710">
                  <c:v>4.7699999999999992E-2</c:v>
                </c:pt>
                <c:pt idx="711">
                  <c:v>4.6699999999999998E-2</c:v>
                </c:pt>
                <c:pt idx="712">
                  <c:v>4.5700000000000005E-2</c:v>
                </c:pt>
                <c:pt idx="713">
                  <c:v>4.6699999999999998E-2</c:v>
                </c:pt>
                <c:pt idx="714">
                  <c:v>4.58E-2</c:v>
                </c:pt>
                <c:pt idx="715">
                  <c:v>4.4900000000000002E-2</c:v>
                </c:pt>
                <c:pt idx="716">
                  <c:v>4.6199999999999998E-2</c:v>
                </c:pt>
                <c:pt idx="717">
                  <c:v>4.6100000000000002E-2</c:v>
                </c:pt>
                <c:pt idx="718">
                  <c:v>4.6300000000000001E-2</c:v>
                </c:pt>
                <c:pt idx="719">
                  <c:v>4.4400000000000002E-2</c:v>
                </c:pt>
                <c:pt idx="720">
                  <c:v>4.53E-2</c:v>
                </c:pt>
                <c:pt idx="721">
                  <c:v>4.4500000000000005E-2</c:v>
                </c:pt>
                <c:pt idx="722">
                  <c:v>4.4400000000000002E-2</c:v>
                </c:pt>
                <c:pt idx="723">
                  <c:v>4.4199999999999996E-2</c:v>
                </c:pt>
                <c:pt idx="724">
                  <c:v>4.41E-2</c:v>
                </c:pt>
                <c:pt idx="725">
                  <c:v>4.4199999999999996E-2</c:v>
                </c:pt>
                <c:pt idx="726">
                  <c:v>4.4699999999999997E-2</c:v>
                </c:pt>
                <c:pt idx="727">
                  <c:v>4.3899999999999995E-2</c:v>
                </c:pt>
                <c:pt idx="728">
                  <c:v>4.3400000000000001E-2</c:v>
                </c:pt>
                <c:pt idx="729">
                  <c:v>4.2699999999999995E-2</c:v>
                </c:pt>
                <c:pt idx="730">
                  <c:v>4.3700000000000003E-2</c:v>
                </c:pt>
                <c:pt idx="731">
                  <c:v>4.2199999999999994E-2</c:v>
                </c:pt>
                <c:pt idx="732">
                  <c:v>4.2800000000000005E-2</c:v>
                </c:pt>
                <c:pt idx="733">
                  <c:v>4.1799999999999997E-2</c:v>
                </c:pt>
                <c:pt idx="734">
                  <c:v>4.1200000000000001E-2</c:v>
                </c:pt>
                <c:pt idx="735">
                  <c:v>4.1399999999999999E-2</c:v>
                </c:pt>
                <c:pt idx="736">
                  <c:v>4.2300000000000004E-2</c:v>
                </c:pt>
                <c:pt idx="737">
                  <c:v>4.2300000000000004E-2</c:v>
                </c:pt>
                <c:pt idx="738">
                  <c:v>4.2000000000000003E-2</c:v>
                </c:pt>
                <c:pt idx="739">
                  <c:v>4.0399999999999998E-2</c:v>
                </c:pt>
                <c:pt idx="740">
                  <c:v>3.9199999999999999E-2</c:v>
                </c:pt>
                <c:pt idx="741">
                  <c:v>3.9100000000000003E-2</c:v>
                </c:pt>
                <c:pt idx="742">
                  <c:v>3.95E-2</c:v>
                </c:pt>
                <c:pt idx="743">
                  <c:v>3.9300000000000002E-2</c:v>
                </c:pt>
                <c:pt idx="744">
                  <c:v>3.8599999999999995E-2</c:v>
                </c:pt>
                <c:pt idx="745">
                  <c:v>3.8900000000000004E-2</c:v>
                </c:pt>
                <c:pt idx="746">
                  <c:v>3.9E-2</c:v>
                </c:pt>
                <c:pt idx="747">
                  <c:v>3.8900000000000004E-2</c:v>
                </c:pt>
                <c:pt idx="748">
                  <c:v>3.7900000000000003E-2</c:v>
                </c:pt>
                <c:pt idx="749">
                  <c:v>3.8399999999999997E-2</c:v>
                </c:pt>
                <c:pt idx="750">
                  <c:v>3.8800000000000001E-2</c:v>
                </c:pt>
                <c:pt idx="751">
                  <c:v>3.95E-2</c:v>
                </c:pt>
                <c:pt idx="752">
                  <c:v>3.9100000000000003E-2</c:v>
                </c:pt>
                <c:pt idx="753">
                  <c:v>3.9900000000000005E-2</c:v>
                </c:pt>
                <c:pt idx="754">
                  <c:v>4.0500000000000001E-2</c:v>
                </c:pt>
                <c:pt idx="755">
                  <c:v>4.0099999999999997E-2</c:v>
                </c:pt>
                <c:pt idx="756">
                  <c:v>4.0199999999999993E-2</c:v>
                </c:pt>
                <c:pt idx="757">
                  <c:v>4.0399999999999998E-2</c:v>
                </c:pt>
                <c:pt idx="758">
                  <c:v>3.9800000000000002E-2</c:v>
                </c:pt>
                <c:pt idx="759">
                  <c:v>3.9599999999999996E-2</c:v>
                </c:pt>
                <c:pt idx="760">
                  <c:v>4.07E-2</c:v>
                </c:pt>
                <c:pt idx="761">
                  <c:v>4.0999999999999995E-2</c:v>
                </c:pt>
                <c:pt idx="762">
                  <c:v>4.1399999999999999E-2</c:v>
                </c:pt>
                <c:pt idx="763">
                  <c:v>4.1500000000000002E-2</c:v>
                </c:pt>
                <c:pt idx="764">
                  <c:v>4.1100000000000005E-2</c:v>
                </c:pt>
                <c:pt idx="765">
                  <c:v>4.1399999999999999E-2</c:v>
                </c:pt>
                <c:pt idx="766">
                  <c:v>4.1799999999999997E-2</c:v>
                </c:pt>
                <c:pt idx="767">
                  <c:v>4.1399999999999999E-2</c:v>
                </c:pt>
                <c:pt idx="768">
                  <c:v>4.1500000000000002E-2</c:v>
                </c:pt>
                <c:pt idx="769">
                  <c:v>4.0800000000000003E-2</c:v>
                </c:pt>
                <c:pt idx="770">
                  <c:v>4.0599999999999997E-2</c:v>
                </c:pt>
                <c:pt idx="771">
                  <c:v>3.9900000000000005E-2</c:v>
                </c:pt>
                <c:pt idx="772">
                  <c:v>3.8699999999999998E-2</c:v>
                </c:pt>
                <c:pt idx="773">
                  <c:v>4.0300000000000002E-2</c:v>
                </c:pt>
                <c:pt idx="774">
                  <c:v>4.1700000000000001E-2</c:v>
                </c:pt>
                <c:pt idx="775">
                  <c:v>4.0899999999999999E-2</c:v>
                </c:pt>
                <c:pt idx="776">
                  <c:v>4.0899999999999999E-2</c:v>
                </c:pt>
                <c:pt idx="777">
                  <c:v>4.1500000000000002E-2</c:v>
                </c:pt>
                <c:pt idx="778">
                  <c:v>4.1700000000000001E-2</c:v>
                </c:pt>
                <c:pt idx="779">
                  <c:v>4.1700000000000001E-2</c:v>
                </c:pt>
                <c:pt idx="780">
                  <c:v>4.3099999999999999E-2</c:v>
                </c:pt>
                <c:pt idx="781">
                  <c:v>4.2699999999999995E-2</c:v>
                </c:pt>
                <c:pt idx="782">
                  <c:v>4.24E-2</c:v>
                </c:pt>
                <c:pt idx="783">
                  <c:v>4.2999999999999997E-2</c:v>
                </c:pt>
                <c:pt idx="784">
                  <c:v>4.2699999999999995E-2</c:v>
                </c:pt>
                <c:pt idx="785">
                  <c:v>4.3200000000000002E-2</c:v>
                </c:pt>
                <c:pt idx="786">
                  <c:v>4.3299999999999998E-2</c:v>
                </c:pt>
                <c:pt idx="787">
                  <c:v>4.2599999999999999E-2</c:v>
                </c:pt>
                <c:pt idx="788">
                  <c:v>4.2800000000000005E-2</c:v>
                </c:pt>
                <c:pt idx="789">
                  <c:v>4.3099999999999999E-2</c:v>
                </c:pt>
                <c:pt idx="790">
                  <c:v>4.2699999999999995E-2</c:v>
                </c:pt>
                <c:pt idx="791">
                  <c:v>4.2500000000000003E-2</c:v>
                </c:pt>
                <c:pt idx="792">
                  <c:v>4.1900000000000007E-2</c:v>
                </c:pt>
                <c:pt idx="793">
                  <c:v>4.2199999999999994E-2</c:v>
                </c:pt>
                <c:pt idx="794">
                  <c:v>4.1299999999999996E-2</c:v>
                </c:pt>
                <c:pt idx="795">
                  <c:v>4.1100000000000005E-2</c:v>
                </c:pt>
                <c:pt idx="796">
                  <c:v>4.0899999999999999E-2</c:v>
                </c:pt>
                <c:pt idx="797">
                  <c:v>4.0899999999999999E-2</c:v>
                </c:pt>
                <c:pt idx="798">
                  <c:v>4.0999999999999995E-2</c:v>
                </c:pt>
                <c:pt idx="799">
                  <c:v>4.1599999999999998E-2</c:v>
                </c:pt>
                <c:pt idx="800">
                  <c:v>4.1900000000000007E-2</c:v>
                </c:pt>
                <c:pt idx="801">
                  <c:v>4.2900000000000001E-2</c:v>
                </c:pt>
                <c:pt idx="802">
                  <c:v>4.3099999999999999E-2</c:v>
                </c:pt>
                <c:pt idx="803">
                  <c:v>4.3400000000000001E-2</c:v>
                </c:pt>
                <c:pt idx="804">
                  <c:v>4.2999999999999997E-2</c:v>
                </c:pt>
                <c:pt idx="805">
                  <c:v>4.2699999999999995E-2</c:v>
                </c:pt>
                <c:pt idx="806">
                  <c:v>4.2699999999999995E-2</c:v>
                </c:pt>
                <c:pt idx="807">
                  <c:v>4.2199999999999994E-2</c:v>
                </c:pt>
                <c:pt idx="808">
                  <c:v>4.2500000000000003E-2</c:v>
                </c:pt>
                <c:pt idx="809">
                  <c:v>4.24E-2</c:v>
                </c:pt>
                <c:pt idx="810">
                  <c:v>4.2000000000000003E-2</c:v>
                </c:pt>
                <c:pt idx="811">
                  <c:v>4.2000000000000003E-2</c:v>
                </c:pt>
                <c:pt idx="812">
                  <c:v>4.3299999999999998E-2</c:v>
                </c:pt>
                <c:pt idx="813">
                  <c:v>4.36E-2</c:v>
                </c:pt>
                <c:pt idx="814">
                  <c:v>4.36E-2</c:v>
                </c:pt>
                <c:pt idx="815">
                  <c:v>4.3099999999999999E-2</c:v>
                </c:pt>
                <c:pt idx="816">
                  <c:v>4.3899999999999995E-2</c:v>
                </c:pt>
                <c:pt idx="817">
                  <c:v>4.4199999999999996E-2</c:v>
                </c:pt>
                <c:pt idx="818">
                  <c:v>4.36E-2</c:v>
                </c:pt>
                <c:pt idx="819">
                  <c:v>4.5499999999999999E-2</c:v>
                </c:pt>
                <c:pt idx="820">
                  <c:v>4.5599999999999995E-2</c:v>
                </c:pt>
                <c:pt idx="821">
                  <c:v>4.4999999999999998E-2</c:v>
                </c:pt>
                <c:pt idx="822">
                  <c:v>4.6300000000000001E-2</c:v>
                </c:pt>
                <c:pt idx="823">
                  <c:v>4.6699999999999998E-2</c:v>
                </c:pt>
                <c:pt idx="824">
                  <c:v>4.5899999999999996E-2</c:v>
                </c:pt>
                <c:pt idx="825">
                  <c:v>4.6399999999999997E-2</c:v>
                </c:pt>
                <c:pt idx="826">
                  <c:v>4.6199999999999998E-2</c:v>
                </c:pt>
                <c:pt idx="827">
                  <c:v>4.6199999999999998E-2</c:v>
                </c:pt>
                <c:pt idx="828">
                  <c:v>4.6100000000000002E-2</c:v>
                </c:pt>
                <c:pt idx="829">
                  <c:v>4.6500000000000007E-2</c:v>
                </c:pt>
                <c:pt idx="830">
                  <c:v>4.7E-2</c:v>
                </c:pt>
                <c:pt idx="831">
                  <c:v>4.6699999999999998E-2</c:v>
                </c:pt>
                <c:pt idx="832">
                  <c:v>4.6300000000000001E-2</c:v>
                </c:pt>
                <c:pt idx="833">
                  <c:v>4.6900000000000004E-2</c:v>
                </c:pt>
                <c:pt idx="834">
                  <c:v>4.6300000000000001E-2</c:v>
                </c:pt>
                <c:pt idx="835">
                  <c:v>4.58E-2</c:v>
                </c:pt>
                <c:pt idx="836">
                  <c:v>4.4999999999999998E-2</c:v>
                </c:pt>
                <c:pt idx="837">
                  <c:v>4.4900000000000002E-2</c:v>
                </c:pt>
                <c:pt idx="838">
                  <c:v>4.4699999999999997E-2</c:v>
                </c:pt>
                <c:pt idx="839">
                  <c:v>4.4800000000000006E-2</c:v>
                </c:pt>
                <c:pt idx="840">
                  <c:v>4.4500000000000005E-2</c:v>
                </c:pt>
                <c:pt idx="841">
                  <c:v>4.4999999999999998E-2</c:v>
                </c:pt>
                <c:pt idx="842">
                  <c:v>4.4800000000000006E-2</c:v>
                </c:pt>
                <c:pt idx="843">
                  <c:v>4.4500000000000005E-2</c:v>
                </c:pt>
                <c:pt idx="844">
                  <c:v>4.36E-2</c:v>
                </c:pt>
                <c:pt idx="845">
                  <c:v>4.3799999999999999E-2</c:v>
                </c:pt>
                <c:pt idx="846">
                  <c:v>4.4199999999999996E-2</c:v>
                </c:pt>
                <c:pt idx="847">
                  <c:v>4.4400000000000002E-2</c:v>
                </c:pt>
                <c:pt idx="848">
                  <c:v>4.41E-2</c:v>
                </c:pt>
                <c:pt idx="849">
                  <c:v>4.4299999999999999E-2</c:v>
                </c:pt>
                <c:pt idx="850">
                  <c:v>4.4699999999999997E-2</c:v>
                </c:pt>
                <c:pt idx="851">
                  <c:v>4.4600000000000001E-2</c:v>
                </c:pt>
                <c:pt idx="852">
                  <c:v>4.5400000000000003E-2</c:v>
                </c:pt>
                <c:pt idx="853">
                  <c:v>4.6100000000000002E-2</c:v>
                </c:pt>
                <c:pt idx="854">
                  <c:v>4.5499999999999999E-2</c:v>
                </c:pt>
                <c:pt idx="855">
                  <c:v>4.5100000000000001E-2</c:v>
                </c:pt>
                <c:pt idx="856">
                  <c:v>4.41E-2</c:v>
                </c:pt>
                <c:pt idx="857">
                  <c:v>4.3299999999999998E-2</c:v>
                </c:pt>
                <c:pt idx="858">
                  <c:v>4.2900000000000001E-2</c:v>
                </c:pt>
                <c:pt idx="859">
                  <c:v>4.2800000000000005E-2</c:v>
                </c:pt>
                <c:pt idx="860">
                  <c:v>4.4299999999999999E-2</c:v>
                </c:pt>
                <c:pt idx="861">
                  <c:v>4.4699999999999997E-2</c:v>
                </c:pt>
                <c:pt idx="862">
                  <c:v>4.3899999999999995E-2</c:v>
                </c:pt>
                <c:pt idx="863">
                  <c:v>4.3099999999999999E-2</c:v>
                </c:pt>
                <c:pt idx="864">
                  <c:v>4.24E-2</c:v>
                </c:pt>
                <c:pt idx="865">
                  <c:v>4.2000000000000003E-2</c:v>
                </c:pt>
                <c:pt idx="866">
                  <c:v>4.2800000000000005E-2</c:v>
                </c:pt>
                <c:pt idx="867">
                  <c:v>4.2199999999999994E-2</c:v>
                </c:pt>
                <c:pt idx="868">
                  <c:v>4.2500000000000003E-2</c:v>
                </c:pt>
                <c:pt idx="869">
                  <c:v>4.2500000000000003E-2</c:v>
                </c:pt>
                <c:pt idx="870">
                  <c:v>4.2500000000000003E-2</c:v>
                </c:pt>
                <c:pt idx="871">
                  <c:v>4.2300000000000004E-2</c:v>
                </c:pt>
                <c:pt idx="872">
                  <c:v>4.3200000000000002E-2</c:v>
                </c:pt>
                <c:pt idx="873">
                  <c:v>4.2900000000000001E-2</c:v>
                </c:pt>
                <c:pt idx="874">
                  <c:v>4.36E-2</c:v>
                </c:pt>
                <c:pt idx="875">
                  <c:v>4.4800000000000006E-2</c:v>
                </c:pt>
                <c:pt idx="876">
                  <c:v>4.4299999999999999E-2</c:v>
                </c:pt>
                <c:pt idx="877">
                  <c:v>4.36E-2</c:v>
                </c:pt>
                <c:pt idx="878">
                  <c:v>4.2800000000000005E-2</c:v>
                </c:pt>
                <c:pt idx="879">
                  <c:v>4.2800000000000005E-2</c:v>
                </c:pt>
                <c:pt idx="880">
                  <c:v>4.2999999999999997E-2</c:v>
                </c:pt>
                <c:pt idx="881">
                  <c:v>4.2800000000000005E-2</c:v>
                </c:pt>
                <c:pt idx="882">
                  <c:v>4.2000000000000003E-2</c:v>
                </c:pt>
                <c:pt idx="883">
                  <c:v>4.1799999999999997E-2</c:v>
                </c:pt>
                <c:pt idx="884">
                  <c:v>4.2300000000000004E-2</c:v>
                </c:pt>
                <c:pt idx="885">
                  <c:v>4.1700000000000001E-2</c:v>
                </c:pt>
                <c:pt idx="886">
                  <c:v>4.1599999999999998E-2</c:v>
                </c:pt>
                <c:pt idx="887">
                  <c:v>4.2000000000000003E-2</c:v>
                </c:pt>
                <c:pt idx="888">
                  <c:v>4.2500000000000003E-2</c:v>
                </c:pt>
                <c:pt idx="889">
                  <c:v>4.2599999999999999E-2</c:v>
                </c:pt>
                <c:pt idx="890">
                  <c:v>4.2500000000000003E-2</c:v>
                </c:pt>
                <c:pt idx="891">
                  <c:v>4.2800000000000005E-2</c:v>
                </c:pt>
                <c:pt idx="892">
                  <c:v>4.2699999999999995E-2</c:v>
                </c:pt>
                <c:pt idx="893">
                  <c:v>4.2000000000000003E-2</c:v>
                </c:pt>
                <c:pt idx="894">
                  <c:v>4.1700000000000001E-2</c:v>
                </c:pt>
                <c:pt idx="895">
                  <c:v>4.1500000000000002E-2</c:v>
                </c:pt>
                <c:pt idx="896">
                  <c:v>4.0899999999999999E-2</c:v>
                </c:pt>
                <c:pt idx="897">
                  <c:v>3.9900000000000005E-2</c:v>
                </c:pt>
                <c:pt idx="898">
                  <c:v>3.7999999999999999E-2</c:v>
                </c:pt>
                <c:pt idx="899">
                  <c:v>3.78E-2</c:v>
                </c:pt>
                <c:pt idx="900">
                  <c:v>3.9E-2</c:v>
                </c:pt>
                <c:pt idx="901">
                  <c:v>3.9599999999999996E-2</c:v>
                </c:pt>
                <c:pt idx="902">
                  <c:v>3.9900000000000005E-2</c:v>
                </c:pt>
                <c:pt idx="903">
                  <c:v>3.9399999999999998E-2</c:v>
                </c:pt>
                <c:pt idx="904">
                  <c:v>3.9E-2</c:v>
                </c:pt>
                <c:pt idx="905">
                  <c:v>3.85E-2</c:v>
                </c:pt>
                <c:pt idx="906">
                  <c:v>3.8300000000000001E-2</c:v>
                </c:pt>
                <c:pt idx="907">
                  <c:v>3.9199999999999999E-2</c:v>
                </c:pt>
                <c:pt idx="908">
                  <c:v>3.8900000000000004E-2</c:v>
                </c:pt>
                <c:pt idx="909">
                  <c:v>3.8599999999999995E-2</c:v>
                </c:pt>
                <c:pt idx="910">
                  <c:v>3.8199999999999998E-2</c:v>
                </c:pt>
                <c:pt idx="911">
                  <c:v>3.7900000000000003E-2</c:v>
                </c:pt>
                <c:pt idx="912">
                  <c:v>3.8599999999999995E-2</c:v>
                </c:pt>
                <c:pt idx="913">
                  <c:v>3.8100000000000002E-2</c:v>
                </c:pt>
                <c:pt idx="914">
                  <c:v>3.8199999999999998E-2</c:v>
                </c:pt>
                <c:pt idx="915">
                  <c:v>3.8300000000000001E-2</c:v>
                </c:pt>
                <c:pt idx="916">
                  <c:v>3.8399999999999997E-2</c:v>
                </c:pt>
                <c:pt idx="917">
                  <c:v>3.8699999999999998E-2</c:v>
                </c:pt>
                <c:pt idx="918">
                  <c:v>3.9100000000000003E-2</c:v>
                </c:pt>
                <c:pt idx="919">
                  <c:v>3.8399999999999997E-2</c:v>
                </c:pt>
                <c:pt idx="920">
                  <c:v>3.7699999999999997E-2</c:v>
                </c:pt>
                <c:pt idx="921">
                  <c:v>3.73E-2</c:v>
                </c:pt>
                <c:pt idx="922">
                  <c:v>3.7200000000000004E-2</c:v>
                </c:pt>
                <c:pt idx="923">
                  <c:v>3.7000000000000005E-2</c:v>
                </c:pt>
                <c:pt idx="924">
                  <c:v>3.6499999999999998E-2</c:v>
                </c:pt>
                <c:pt idx="925">
                  <c:v>3.6499999999999998E-2</c:v>
                </c:pt>
                <c:pt idx="926">
                  <c:v>3.6799999999999999E-2</c:v>
                </c:pt>
                <c:pt idx="927">
                  <c:v>3.6600000000000001E-2</c:v>
                </c:pt>
                <c:pt idx="928">
                  <c:v>3.6299999999999999E-2</c:v>
                </c:pt>
                <c:pt idx="929">
                  <c:v>3.6499999999999998E-2</c:v>
                </c:pt>
                <c:pt idx="930">
                  <c:v>3.7000000000000005E-2</c:v>
                </c:pt>
                <c:pt idx="931">
                  <c:v>3.73E-2</c:v>
                </c:pt>
                <c:pt idx="932">
                  <c:v>3.73E-2</c:v>
                </c:pt>
                <c:pt idx="933">
                  <c:v>3.7499999999999999E-2</c:v>
                </c:pt>
                <c:pt idx="934">
                  <c:v>3.7400000000000003E-2</c:v>
                </c:pt>
                <c:pt idx="935">
                  <c:v>3.7900000000000003E-2</c:v>
                </c:pt>
                <c:pt idx="936">
                  <c:v>3.7900000000000003E-2</c:v>
                </c:pt>
                <c:pt idx="937">
                  <c:v>3.7499999999999999E-2</c:v>
                </c:pt>
                <c:pt idx="938">
                  <c:v>3.8100000000000002E-2</c:v>
                </c:pt>
                <c:pt idx="939">
                  <c:v>3.7400000000000003E-2</c:v>
                </c:pt>
                <c:pt idx="940">
                  <c:v>3.7900000000000003E-2</c:v>
                </c:pt>
                <c:pt idx="941">
                  <c:v>3.85E-2</c:v>
                </c:pt>
                <c:pt idx="942">
                  <c:v>3.9800000000000002E-2</c:v>
                </c:pt>
                <c:pt idx="943">
                  <c:v>4.0300000000000002E-2</c:v>
                </c:pt>
                <c:pt idx="944">
                  <c:v>4.0399999999999998E-2</c:v>
                </c:pt>
                <c:pt idx="945">
                  <c:v>4.0599999999999997E-2</c:v>
                </c:pt>
                <c:pt idx="946">
                  <c:v>4.0899999999999999E-2</c:v>
                </c:pt>
                <c:pt idx="947">
                  <c:v>4.0800000000000003E-2</c:v>
                </c:pt>
                <c:pt idx="948">
                  <c:v>4.0300000000000002E-2</c:v>
                </c:pt>
                <c:pt idx="949">
                  <c:v>4.0199999999999993E-2</c:v>
                </c:pt>
                <c:pt idx="950">
                  <c:v>4.0899999999999999E-2</c:v>
                </c:pt>
                <c:pt idx="951">
                  <c:v>4.0800000000000003E-2</c:v>
                </c:pt>
                <c:pt idx="952">
                  <c:v>4.1900000000000007E-2</c:v>
                </c:pt>
                <c:pt idx="953">
                  <c:v>4.2000000000000003E-2</c:v>
                </c:pt>
                <c:pt idx="954">
                  <c:v>4.24E-2</c:v>
                </c:pt>
                <c:pt idx="955">
                  <c:v>4.2099999999999999E-2</c:v>
                </c:pt>
                <c:pt idx="956">
                  <c:v>4.2500000000000003E-2</c:v>
                </c:pt>
                <c:pt idx="957">
                  <c:v>4.2800000000000005E-2</c:v>
                </c:pt>
                <c:pt idx="958">
                  <c:v>4.2800000000000005E-2</c:v>
                </c:pt>
                <c:pt idx="959">
                  <c:v>4.2900000000000001E-2</c:v>
                </c:pt>
                <c:pt idx="960">
                  <c:v>4.2800000000000005E-2</c:v>
                </c:pt>
                <c:pt idx="961">
                  <c:v>4.3700000000000003E-2</c:v>
                </c:pt>
                <c:pt idx="962">
                  <c:v>4.3099999999999999E-2</c:v>
                </c:pt>
                <c:pt idx="963">
                  <c:v>4.2599999999999999E-2</c:v>
                </c:pt>
                <c:pt idx="964">
                  <c:v>4.4199999999999996E-2</c:v>
                </c:pt>
                <c:pt idx="965">
                  <c:v>4.3099999999999999E-2</c:v>
                </c:pt>
                <c:pt idx="966">
                  <c:v>4.2999999999999997E-2</c:v>
                </c:pt>
                <c:pt idx="967">
                  <c:v>4.4299999999999999E-2</c:v>
                </c:pt>
                <c:pt idx="968">
                  <c:v>4.4400000000000002E-2</c:v>
                </c:pt>
                <c:pt idx="969">
                  <c:v>4.4299999999999999E-2</c:v>
                </c:pt>
                <c:pt idx="970">
                  <c:v>4.4299999999999999E-2</c:v>
                </c:pt>
                <c:pt idx="971">
                  <c:v>4.4199999999999996E-2</c:v>
                </c:pt>
                <c:pt idx="972">
                  <c:v>4.3899999999999995E-2</c:v>
                </c:pt>
                <c:pt idx="973">
                  <c:v>4.41E-2</c:v>
                </c:pt>
                <c:pt idx="974">
                  <c:v>4.4299999999999999E-2</c:v>
                </c:pt>
                <c:pt idx="975">
                  <c:v>4.41E-2</c:v>
                </c:pt>
                <c:pt idx="976">
                  <c:v>4.2699999999999995E-2</c:v>
                </c:pt>
                <c:pt idx="977">
                  <c:v>4.2999999999999997E-2</c:v>
                </c:pt>
                <c:pt idx="978">
                  <c:v>4.2500000000000003E-2</c:v>
                </c:pt>
                <c:pt idx="979">
                  <c:v>4.1799999999999997E-2</c:v>
                </c:pt>
                <c:pt idx="980">
                  <c:v>4.1900000000000007E-2</c:v>
                </c:pt>
                <c:pt idx="981">
                  <c:v>4.2300000000000004E-2</c:v>
                </c:pt>
                <c:pt idx="982">
                  <c:v>4.1900000000000007E-2</c:v>
                </c:pt>
                <c:pt idx="983">
                  <c:v>4.1700000000000001E-2</c:v>
                </c:pt>
                <c:pt idx="984">
                  <c:v>4.1500000000000002E-2</c:v>
                </c:pt>
                <c:pt idx="985">
                  <c:v>4.2000000000000003E-2</c:v>
                </c:pt>
                <c:pt idx="986">
                  <c:v>4.2199999999999994E-2</c:v>
                </c:pt>
                <c:pt idx="987">
                  <c:v>4.2599999999999999E-2</c:v>
                </c:pt>
                <c:pt idx="988">
                  <c:v>4.3200000000000002E-2</c:v>
                </c:pt>
                <c:pt idx="989">
                  <c:v>4.4000000000000004E-2</c:v>
                </c:pt>
                <c:pt idx="990">
                  <c:v>4.3899999999999995E-2</c:v>
                </c:pt>
                <c:pt idx="991">
                  <c:v>4.4000000000000004E-2</c:v>
                </c:pt>
                <c:pt idx="992">
                  <c:v>4.4999999999999998E-2</c:v>
                </c:pt>
                <c:pt idx="993">
                  <c:v>4.5700000000000005E-2</c:v>
                </c:pt>
                <c:pt idx="994">
                  <c:v>4.5199999999999997E-2</c:v>
                </c:pt>
                <c:pt idx="995">
                  <c:v>4.5899999999999996E-2</c:v>
                </c:pt>
                <c:pt idx="996">
                  <c:v>4.5899999999999996E-2</c:v>
                </c:pt>
                <c:pt idx="997">
                  <c:v>4.58E-2</c:v>
                </c:pt>
                <c:pt idx="998">
                  <c:v>4.6199999999999998E-2</c:v>
                </c:pt>
                <c:pt idx="999">
                  <c:v>4.5499999999999999E-2</c:v>
                </c:pt>
                <c:pt idx="1000">
                  <c:v>4.58E-2</c:v>
                </c:pt>
              </c:numCache>
            </c:numRef>
          </c:val>
          <c:smooth val="0"/>
          <c:extLst>
            <c:ext xmlns:c16="http://schemas.microsoft.com/office/drawing/2014/chart" uri="{C3380CC4-5D6E-409C-BE32-E72D297353CC}">
              <c16:uniqueId val="{00000001-5E8E-4FB3-A6B7-9F7FF88FE94B}"/>
            </c:ext>
          </c:extLst>
        </c:ser>
        <c:dLbls>
          <c:showLegendKey val="0"/>
          <c:showVal val="0"/>
          <c:showCatName val="0"/>
          <c:showSerName val="0"/>
          <c:showPercent val="0"/>
          <c:showBubbleSize val="0"/>
        </c:dLbls>
        <c:smooth val="0"/>
        <c:axId val="639817552"/>
        <c:axId val="639814672"/>
      </c:lineChart>
      <c:dateAx>
        <c:axId val="639817552"/>
        <c:scaling>
          <c:orientation val="minMax"/>
        </c:scaling>
        <c:delete val="0"/>
        <c:axPos val="b"/>
        <c:numFmt formatCode="[$-409]mmm\-dd\-yy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814672"/>
        <c:crosses val="autoZero"/>
        <c:auto val="1"/>
        <c:lblOffset val="100"/>
        <c:baseTimeUnit val="days"/>
      </c:dateAx>
      <c:valAx>
        <c:axId val="6398146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817552"/>
        <c:crosses val="autoZero"/>
        <c:crossBetween val="between"/>
      </c:valAx>
      <c:spPr>
        <a:noFill/>
        <a:ln>
          <a:noFill/>
        </a:ln>
        <a:effectLst/>
      </c:spPr>
    </c:plotArea>
    <c:legend>
      <c:legendPos val="r"/>
      <c:layout>
        <c:manualLayout>
          <c:xMode val="edge"/>
          <c:yMode val="edge"/>
          <c:x val="0.64240683104940965"/>
          <c:y val="7.592917896397545E-3"/>
          <c:w val="0.34852295107528247"/>
          <c:h val="0.10595095600898112"/>
        </c:manualLayout>
      </c:layout>
      <c:overlay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SAIA</a:t>
            </a:r>
            <a:r>
              <a:rPr lang="en-US" baseline="0"/>
              <a:t> Price Target  +12 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2644445229099728E-2"/>
          <c:y val="0.11407921412166903"/>
          <c:w val="0.93156726924701838"/>
          <c:h val="0.80761908037585584"/>
        </c:manualLayout>
      </c:layout>
      <c:lineChart>
        <c:grouping val="standard"/>
        <c:varyColors val="0"/>
        <c:ser>
          <c:idx val="0"/>
          <c:order val="0"/>
          <c:tx>
            <c:strRef>
              <c:f>Data!$N$41</c:f>
              <c:strCache>
                <c:ptCount val="1"/>
                <c:pt idx="0">
                  <c:v>Bear Case</c:v>
                </c:pt>
              </c:strCache>
            </c:strRef>
          </c:tx>
          <c:spPr>
            <a:ln w="28575" cap="rnd">
              <a:solidFill>
                <a:schemeClr val="accent1"/>
              </a:solidFill>
              <a:round/>
            </a:ln>
            <a:effectLst/>
          </c:spPr>
          <c:marker>
            <c:symbol val="none"/>
          </c:marker>
          <c:dPt>
            <c:idx val="253"/>
            <c:marker>
              <c:symbol val="none"/>
            </c:marker>
            <c:bubble3D val="0"/>
            <c:spPr>
              <a:ln w="28575" cap="rnd">
                <a:solidFill>
                  <a:schemeClr val="accent1">
                    <a:lumMod val="75000"/>
                  </a:schemeClr>
                </a:solidFill>
                <a:round/>
              </a:ln>
              <a:effectLst/>
            </c:spPr>
            <c:extLst>
              <c:ext xmlns:c16="http://schemas.microsoft.com/office/drawing/2014/chart" uri="{C3380CC4-5D6E-409C-BE32-E72D297353CC}">
                <c16:uniqueId val="{00000001-D22B-460A-BAE6-BE7FCC06C774}"/>
              </c:ext>
            </c:extLst>
          </c:dPt>
          <c:dLbls>
            <c:dLbl>
              <c:idx val="253"/>
              <c:layout>
                <c:manualLayout>
                  <c:x val="-8.3523148706718592E-2"/>
                  <c:y val="0.12681639803706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2B-460A-BAE6-BE7FCC06C7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Data!$M$42:$M$296</c15:sqref>
                  </c15:fullRef>
                </c:ext>
              </c:extLst>
              <c:f>(Data!$M$42,Data!$M$44:$M$296)</c:f>
              <c:numCache>
                <c:formatCode>m/d/yyyy</c:formatCode>
                <c:ptCount val="254"/>
                <c:pt idx="0">
                  <c:v>46022</c:v>
                </c:pt>
                <c:pt idx="1">
                  <c:v>45657</c:v>
                </c:pt>
                <c:pt idx="2">
                  <c:v>45656</c:v>
                </c:pt>
                <c:pt idx="3">
                  <c:v>45653</c:v>
                </c:pt>
                <c:pt idx="4">
                  <c:v>45652</c:v>
                </c:pt>
                <c:pt idx="5">
                  <c:v>45650</c:v>
                </c:pt>
                <c:pt idx="6">
                  <c:v>45649</c:v>
                </c:pt>
                <c:pt idx="7">
                  <c:v>45646</c:v>
                </c:pt>
                <c:pt idx="8">
                  <c:v>45645</c:v>
                </c:pt>
                <c:pt idx="9">
                  <c:v>45644</c:v>
                </c:pt>
                <c:pt idx="10">
                  <c:v>45643</c:v>
                </c:pt>
                <c:pt idx="11">
                  <c:v>45642</c:v>
                </c:pt>
                <c:pt idx="12">
                  <c:v>45639</c:v>
                </c:pt>
                <c:pt idx="13">
                  <c:v>45638</c:v>
                </c:pt>
                <c:pt idx="14">
                  <c:v>45637</c:v>
                </c:pt>
                <c:pt idx="15">
                  <c:v>45636</c:v>
                </c:pt>
                <c:pt idx="16">
                  <c:v>45635</c:v>
                </c:pt>
                <c:pt idx="17">
                  <c:v>45632</c:v>
                </c:pt>
                <c:pt idx="18">
                  <c:v>45631</c:v>
                </c:pt>
                <c:pt idx="19">
                  <c:v>45630</c:v>
                </c:pt>
                <c:pt idx="20">
                  <c:v>45629</c:v>
                </c:pt>
                <c:pt idx="21">
                  <c:v>45628</c:v>
                </c:pt>
                <c:pt idx="22">
                  <c:v>45625</c:v>
                </c:pt>
                <c:pt idx="23">
                  <c:v>45623</c:v>
                </c:pt>
                <c:pt idx="24">
                  <c:v>45622</c:v>
                </c:pt>
                <c:pt idx="25">
                  <c:v>45621</c:v>
                </c:pt>
                <c:pt idx="26">
                  <c:v>45618</c:v>
                </c:pt>
                <c:pt idx="27">
                  <c:v>45617</c:v>
                </c:pt>
                <c:pt idx="28">
                  <c:v>45616</c:v>
                </c:pt>
                <c:pt idx="29">
                  <c:v>45615</c:v>
                </c:pt>
                <c:pt idx="30">
                  <c:v>45614</c:v>
                </c:pt>
                <c:pt idx="31">
                  <c:v>45611</c:v>
                </c:pt>
                <c:pt idx="32">
                  <c:v>45610</c:v>
                </c:pt>
                <c:pt idx="33">
                  <c:v>45609</c:v>
                </c:pt>
                <c:pt idx="34">
                  <c:v>45608</c:v>
                </c:pt>
                <c:pt idx="35">
                  <c:v>45607</c:v>
                </c:pt>
                <c:pt idx="36">
                  <c:v>45604</c:v>
                </c:pt>
                <c:pt idx="37">
                  <c:v>45603</c:v>
                </c:pt>
                <c:pt idx="38">
                  <c:v>45602</c:v>
                </c:pt>
                <c:pt idx="39">
                  <c:v>45601</c:v>
                </c:pt>
                <c:pt idx="40">
                  <c:v>45600</c:v>
                </c:pt>
                <c:pt idx="41">
                  <c:v>45597</c:v>
                </c:pt>
                <c:pt idx="42">
                  <c:v>45596</c:v>
                </c:pt>
                <c:pt idx="43">
                  <c:v>45595</c:v>
                </c:pt>
                <c:pt idx="44">
                  <c:v>45594</c:v>
                </c:pt>
                <c:pt idx="45">
                  <c:v>45593</c:v>
                </c:pt>
                <c:pt idx="46">
                  <c:v>45590</c:v>
                </c:pt>
                <c:pt idx="47">
                  <c:v>45589</c:v>
                </c:pt>
                <c:pt idx="48">
                  <c:v>45588</c:v>
                </c:pt>
                <c:pt idx="49">
                  <c:v>45587</c:v>
                </c:pt>
                <c:pt idx="50">
                  <c:v>45586</c:v>
                </c:pt>
                <c:pt idx="51">
                  <c:v>45583</c:v>
                </c:pt>
                <c:pt idx="52">
                  <c:v>45582</c:v>
                </c:pt>
                <c:pt idx="53">
                  <c:v>45581</c:v>
                </c:pt>
                <c:pt idx="54">
                  <c:v>45580</c:v>
                </c:pt>
                <c:pt idx="55">
                  <c:v>45579</c:v>
                </c:pt>
                <c:pt idx="56">
                  <c:v>45576</c:v>
                </c:pt>
                <c:pt idx="57">
                  <c:v>45575</c:v>
                </c:pt>
                <c:pt idx="58">
                  <c:v>45574</c:v>
                </c:pt>
                <c:pt idx="59">
                  <c:v>45573</c:v>
                </c:pt>
                <c:pt idx="60">
                  <c:v>45572</c:v>
                </c:pt>
                <c:pt idx="61">
                  <c:v>45569</c:v>
                </c:pt>
                <c:pt idx="62">
                  <c:v>45568</c:v>
                </c:pt>
                <c:pt idx="63">
                  <c:v>45567</c:v>
                </c:pt>
                <c:pt idx="64">
                  <c:v>45566</c:v>
                </c:pt>
                <c:pt idx="65">
                  <c:v>45565</c:v>
                </c:pt>
                <c:pt idx="66">
                  <c:v>45562</c:v>
                </c:pt>
                <c:pt idx="67">
                  <c:v>45561</c:v>
                </c:pt>
                <c:pt idx="68">
                  <c:v>45560</c:v>
                </c:pt>
                <c:pt idx="69">
                  <c:v>45559</c:v>
                </c:pt>
                <c:pt idx="70">
                  <c:v>45558</c:v>
                </c:pt>
                <c:pt idx="71">
                  <c:v>45555</c:v>
                </c:pt>
                <c:pt idx="72">
                  <c:v>45554</c:v>
                </c:pt>
                <c:pt idx="73">
                  <c:v>45553</c:v>
                </c:pt>
                <c:pt idx="74">
                  <c:v>45552</c:v>
                </c:pt>
                <c:pt idx="75">
                  <c:v>45551</c:v>
                </c:pt>
                <c:pt idx="76">
                  <c:v>45548</c:v>
                </c:pt>
                <c:pt idx="77">
                  <c:v>45547</c:v>
                </c:pt>
                <c:pt idx="78">
                  <c:v>45546</c:v>
                </c:pt>
                <c:pt idx="79">
                  <c:v>45545</c:v>
                </c:pt>
                <c:pt idx="80">
                  <c:v>45544</c:v>
                </c:pt>
                <c:pt idx="81">
                  <c:v>45541</c:v>
                </c:pt>
                <c:pt idx="82">
                  <c:v>45540</c:v>
                </c:pt>
                <c:pt idx="83">
                  <c:v>45539</c:v>
                </c:pt>
                <c:pt idx="84">
                  <c:v>45538</c:v>
                </c:pt>
                <c:pt idx="85">
                  <c:v>45534</c:v>
                </c:pt>
                <c:pt idx="86">
                  <c:v>45533</c:v>
                </c:pt>
                <c:pt idx="87">
                  <c:v>45532</c:v>
                </c:pt>
                <c:pt idx="88">
                  <c:v>45531</c:v>
                </c:pt>
                <c:pt idx="89">
                  <c:v>45530</c:v>
                </c:pt>
                <c:pt idx="90">
                  <c:v>45527</c:v>
                </c:pt>
                <c:pt idx="91">
                  <c:v>45526</c:v>
                </c:pt>
                <c:pt idx="92">
                  <c:v>45525</c:v>
                </c:pt>
                <c:pt idx="93">
                  <c:v>45524</c:v>
                </c:pt>
                <c:pt idx="94">
                  <c:v>45523</c:v>
                </c:pt>
                <c:pt idx="95">
                  <c:v>45520</c:v>
                </c:pt>
                <c:pt idx="96">
                  <c:v>45519</c:v>
                </c:pt>
                <c:pt idx="97">
                  <c:v>45518</c:v>
                </c:pt>
                <c:pt idx="98">
                  <c:v>45517</c:v>
                </c:pt>
                <c:pt idx="99">
                  <c:v>45516</c:v>
                </c:pt>
                <c:pt idx="100">
                  <c:v>45513</c:v>
                </c:pt>
                <c:pt idx="101">
                  <c:v>45512</c:v>
                </c:pt>
                <c:pt idx="102">
                  <c:v>45511</c:v>
                </c:pt>
                <c:pt idx="103">
                  <c:v>45510</c:v>
                </c:pt>
                <c:pt idx="104">
                  <c:v>45509</c:v>
                </c:pt>
                <c:pt idx="105">
                  <c:v>45506</c:v>
                </c:pt>
                <c:pt idx="106">
                  <c:v>45505</c:v>
                </c:pt>
                <c:pt idx="107">
                  <c:v>45504</c:v>
                </c:pt>
                <c:pt idx="108">
                  <c:v>45503</c:v>
                </c:pt>
                <c:pt idx="109">
                  <c:v>45502</c:v>
                </c:pt>
                <c:pt idx="110">
                  <c:v>45499</c:v>
                </c:pt>
                <c:pt idx="111">
                  <c:v>45498</c:v>
                </c:pt>
                <c:pt idx="112">
                  <c:v>45497</c:v>
                </c:pt>
                <c:pt idx="113">
                  <c:v>45496</c:v>
                </c:pt>
                <c:pt idx="114">
                  <c:v>45495</c:v>
                </c:pt>
                <c:pt idx="115">
                  <c:v>45492</c:v>
                </c:pt>
                <c:pt idx="116">
                  <c:v>45491</c:v>
                </c:pt>
                <c:pt idx="117">
                  <c:v>45490</c:v>
                </c:pt>
                <c:pt idx="118">
                  <c:v>45489</c:v>
                </c:pt>
                <c:pt idx="119">
                  <c:v>45488</c:v>
                </c:pt>
                <c:pt idx="120">
                  <c:v>45485</c:v>
                </c:pt>
                <c:pt idx="121">
                  <c:v>45484</c:v>
                </c:pt>
                <c:pt idx="122">
                  <c:v>45483</c:v>
                </c:pt>
                <c:pt idx="123">
                  <c:v>45482</c:v>
                </c:pt>
                <c:pt idx="124">
                  <c:v>45481</c:v>
                </c:pt>
                <c:pt idx="125">
                  <c:v>45478</c:v>
                </c:pt>
                <c:pt idx="126">
                  <c:v>45476</c:v>
                </c:pt>
                <c:pt idx="127">
                  <c:v>45475</c:v>
                </c:pt>
                <c:pt idx="128">
                  <c:v>45474</c:v>
                </c:pt>
                <c:pt idx="129">
                  <c:v>45471</c:v>
                </c:pt>
                <c:pt idx="130">
                  <c:v>45470</c:v>
                </c:pt>
                <c:pt idx="131">
                  <c:v>45469</c:v>
                </c:pt>
                <c:pt idx="132">
                  <c:v>45468</c:v>
                </c:pt>
                <c:pt idx="133">
                  <c:v>45467</c:v>
                </c:pt>
                <c:pt idx="134">
                  <c:v>45464</c:v>
                </c:pt>
                <c:pt idx="135">
                  <c:v>45463</c:v>
                </c:pt>
                <c:pt idx="136">
                  <c:v>45461</c:v>
                </c:pt>
                <c:pt idx="137">
                  <c:v>45460</c:v>
                </c:pt>
                <c:pt idx="138">
                  <c:v>45457</c:v>
                </c:pt>
                <c:pt idx="139">
                  <c:v>45456</c:v>
                </c:pt>
                <c:pt idx="140">
                  <c:v>45455</c:v>
                </c:pt>
                <c:pt idx="141">
                  <c:v>45454</c:v>
                </c:pt>
                <c:pt idx="142">
                  <c:v>45453</c:v>
                </c:pt>
                <c:pt idx="143">
                  <c:v>45450</c:v>
                </c:pt>
                <c:pt idx="144">
                  <c:v>45449</c:v>
                </c:pt>
                <c:pt idx="145">
                  <c:v>45448</c:v>
                </c:pt>
                <c:pt idx="146">
                  <c:v>45447</c:v>
                </c:pt>
                <c:pt idx="147">
                  <c:v>45446</c:v>
                </c:pt>
                <c:pt idx="148">
                  <c:v>45443</c:v>
                </c:pt>
                <c:pt idx="149">
                  <c:v>45442</c:v>
                </c:pt>
                <c:pt idx="150">
                  <c:v>45441</c:v>
                </c:pt>
                <c:pt idx="151">
                  <c:v>45440</c:v>
                </c:pt>
                <c:pt idx="152">
                  <c:v>45436</c:v>
                </c:pt>
                <c:pt idx="153">
                  <c:v>45435</c:v>
                </c:pt>
                <c:pt idx="154">
                  <c:v>45434</c:v>
                </c:pt>
                <c:pt idx="155">
                  <c:v>45433</c:v>
                </c:pt>
                <c:pt idx="156">
                  <c:v>45432</c:v>
                </c:pt>
                <c:pt idx="157">
                  <c:v>45429</c:v>
                </c:pt>
                <c:pt idx="158">
                  <c:v>45428</c:v>
                </c:pt>
                <c:pt idx="159">
                  <c:v>45427</c:v>
                </c:pt>
                <c:pt idx="160">
                  <c:v>45426</c:v>
                </c:pt>
                <c:pt idx="161">
                  <c:v>45425</c:v>
                </c:pt>
                <c:pt idx="162">
                  <c:v>45422</c:v>
                </c:pt>
                <c:pt idx="163">
                  <c:v>45421</c:v>
                </c:pt>
                <c:pt idx="164">
                  <c:v>45420</c:v>
                </c:pt>
                <c:pt idx="165">
                  <c:v>45419</c:v>
                </c:pt>
                <c:pt idx="166">
                  <c:v>45418</c:v>
                </c:pt>
                <c:pt idx="167">
                  <c:v>45415</c:v>
                </c:pt>
                <c:pt idx="168">
                  <c:v>45414</c:v>
                </c:pt>
                <c:pt idx="169">
                  <c:v>45413</c:v>
                </c:pt>
                <c:pt idx="170">
                  <c:v>45412</c:v>
                </c:pt>
                <c:pt idx="171">
                  <c:v>45411</c:v>
                </c:pt>
                <c:pt idx="172">
                  <c:v>45408</c:v>
                </c:pt>
                <c:pt idx="173">
                  <c:v>45407</c:v>
                </c:pt>
                <c:pt idx="174">
                  <c:v>45406</c:v>
                </c:pt>
                <c:pt idx="175">
                  <c:v>45405</c:v>
                </c:pt>
                <c:pt idx="176">
                  <c:v>45404</c:v>
                </c:pt>
                <c:pt idx="177">
                  <c:v>45401</c:v>
                </c:pt>
                <c:pt idx="178">
                  <c:v>45400</c:v>
                </c:pt>
                <c:pt idx="179">
                  <c:v>45399</c:v>
                </c:pt>
                <c:pt idx="180">
                  <c:v>45398</c:v>
                </c:pt>
                <c:pt idx="181">
                  <c:v>45397</c:v>
                </c:pt>
                <c:pt idx="182">
                  <c:v>45394</c:v>
                </c:pt>
                <c:pt idx="183">
                  <c:v>45393</c:v>
                </c:pt>
                <c:pt idx="184">
                  <c:v>45392</c:v>
                </c:pt>
                <c:pt idx="185">
                  <c:v>45391</c:v>
                </c:pt>
                <c:pt idx="186">
                  <c:v>45390</c:v>
                </c:pt>
                <c:pt idx="187">
                  <c:v>45387</c:v>
                </c:pt>
                <c:pt idx="188">
                  <c:v>45386</c:v>
                </c:pt>
                <c:pt idx="189">
                  <c:v>45385</c:v>
                </c:pt>
                <c:pt idx="190">
                  <c:v>45384</c:v>
                </c:pt>
                <c:pt idx="191">
                  <c:v>45383</c:v>
                </c:pt>
                <c:pt idx="192">
                  <c:v>45379</c:v>
                </c:pt>
                <c:pt idx="193">
                  <c:v>45378</c:v>
                </c:pt>
                <c:pt idx="194">
                  <c:v>45377</c:v>
                </c:pt>
                <c:pt idx="195">
                  <c:v>45376</c:v>
                </c:pt>
                <c:pt idx="196">
                  <c:v>45373</c:v>
                </c:pt>
                <c:pt idx="197">
                  <c:v>45372</c:v>
                </c:pt>
                <c:pt idx="198">
                  <c:v>45371</c:v>
                </c:pt>
                <c:pt idx="199">
                  <c:v>45370</c:v>
                </c:pt>
                <c:pt idx="200">
                  <c:v>45369</c:v>
                </c:pt>
                <c:pt idx="201">
                  <c:v>45366</c:v>
                </c:pt>
                <c:pt idx="202">
                  <c:v>45365</c:v>
                </c:pt>
                <c:pt idx="203">
                  <c:v>45364</c:v>
                </c:pt>
                <c:pt idx="204">
                  <c:v>45363</c:v>
                </c:pt>
                <c:pt idx="205">
                  <c:v>45362</c:v>
                </c:pt>
                <c:pt idx="206">
                  <c:v>45359</c:v>
                </c:pt>
                <c:pt idx="207">
                  <c:v>45358</c:v>
                </c:pt>
                <c:pt idx="208">
                  <c:v>45357</c:v>
                </c:pt>
                <c:pt idx="209">
                  <c:v>45356</c:v>
                </c:pt>
                <c:pt idx="210">
                  <c:v>45355</c:v>
                </c:pt>
                <c:pt idx="211">
                  <c:v>45352</c:v>
                </c:pt>
                <c:pt idx="212">
                  <c:v>45351</c:v>
                </c:pt>
                <c:pt idx="213">
                  <c:v>45350</c:v>
                </c:pt>
                <c:pt idx="214">
                  <c:v>45349</c:v>
                </c:pt>
                <c:pt idx="215">
                  <c:v>45348</c:v>
                </c:pt>
                <c:pt idx="216">
                  <c:v>45345</c:v>
                </c:pt>
                <c:pt idx="217">
                  <c:v>45344</c:v>
                </c:pt>
                <c:pt idx="218">
                  <c:v>45343</c:v>
                </c:pt>
                <c:pt idx="219">
                  <c:v>45342</c:v>
                </c:pt>
                <c:pt idx="220">
                  <c:v>45338</c:v>
                </c:pt>
                <c:pt idx="221">
                  <c:v>45337</c:v>
                </c:pt>
                <c:pt idx="222">
                  <c:v>45336</c:v>
                </c:pt>
                <c:pt idx="223">
                  <c:v>45335</c:v>
                </c:pt>
                <c:pt idx="224">
                  <c:v>45334</c:v>
                </c:pt>
                <c:pt idx="225">
                  <c:v>45331</c:v>
                </c:pt>
                <c:pt idx="226">
                  <c:v>45330</c:v>
                </c:pt>
                <c:pt idx="227">
                  <c:v>45329</c:v>
                </c:pt>
                <c:pt idx="228">
                  <c:v>45328</c:v>
                </c:pt>
                <c:pt idx="229">
                  <c:v>45327</c:v>
                </c:pt>
                <c:pt idx="230">
                  <c:v>45324</c:v>
                </c:pt>
                <c:pt idx="231">
                  <c:v>45323</c:v>
                </c:pt>
                <c:pt idx="232">
                  <c:v>45322</c:v>
                </c:pt>
                <c:pt idx="233">
                  <c:v>45321</c:v>
                </c:pt>
                <c:pt idx="234">
                  <c:v>45320</c:v>
                </c:pt>
                <c:pt idx="235">
                  <c:v>45317</c:v>
                </c:pt>
                <c:pt idx="236">
                  <c:v>45316</c:v>
                </c:pt>
                <c:pt idx="237">
                  <c:v>45315</c:v>
                </c:pt>
                <c:pt idx="238">
                  <c:v>45314</c:v>
                </c:pt>
                <c:pt idx="239">
                  <c:v>45313</c:v>
                </c:pt>
                <c:pt idx="240">
                  <c:v>45310</c:v>
                </c:pt>
                <c:pt idx="241">
                  <c:v>45309</c:v>
                </c:pt>
                <c:pt idx="242">
                  <c:v>45308</c:v>
                </c:pt>
                <c:pt idx="243">
                  <c:v>45307</c:v>
                </c:pt>
                <c:pt idx="244">
                  <c:v>45303</c:v>
                </c:pt>
                <c:pt idx="245">
                  <c:v>45302</c:v>
                </c:pt>
                <c:pt idx="246">
                  <c:v>45301</c:v>
                </c:pt>
                <c:pt idx="247">
                  <c:v>45300</c:v>
                </c:pt>
                <c:pt idx="248">
                  <c:v>45299</c:v>
                </c:pt>
                <c:pt idx="249">
                  <c:v>45296</c:v>
                </c:pt>
                <c:pt idx="250">
                  <c:v>45295</c:v>
                </c:pt>
                <c:pt idx="251">
                  <c:v>45294</c:v>
                </c:pt>
                <c:pt idx="252">
                  <c:v>45293</c:v>
                </c:pt>
                <c:pt idx="253">
                  <c:v>45289</c:v>
                </c:pt>
              </c:numCache>
            </c:numRef>
          </c:cat>
          <c:val>
            <c:numRef>
              <c:extLst>
                <c:ext xmlns:c15="http://schemas.microsoft.com/office/drawing/2012/chart" uri="{02D57815-91ED-43cb-92C2-25804820EDAC}">
                  <c15:fullRef>
                    <c15:sqref>Data!$N$42:$N$296</c15:sqref>
                  </c15:fullRef>
                </c:ext>
              </c:extLst>
              <c:f>(Data!$N$42,Data!$N$44:$N$296)</c:f>
              <c:numCache>
                <c:formatCode>General</c:formatCode>
                <c:ptCount val="254"/>
                <c:pt idx="0">
                  <c:v>473.04</c:v>
                </c:pt>
                <c:pt idx="1" formatCode="&quot;$&quot;#,##0.00_);[Red]\(&quot;$&quot;#,##0.00\)">
                  <c:v>455.73</c:v>
                </c:pt>
                <c:pt idx="2" formatCode="&quot;$&quot;#,##0.00_);[Red]\(&quot;$&quot;#,##0.00\)">
                  <c:v>459.4</c:v>
                </c:pt>
                <c:pt idx="3" formatCode="&quot;$&quot;#,##0.00_);[Red]\(&quot;$&quot;#,##0.00\)">
                  <c:v>475.31</c:v>
                </c:pt>
                <c:pt idx="4" formatCode="&quot;$&quot;#,##0.00_);[Red]\(&quot;$&quot;#,##0.00\)">
                  <c:v>476.17</c:v>
                </c:pt>
                <c:pt idx="5" formatCode="&quot;$&quot;#,##0.00_);[Red]\(&quot;$&quot;#,##0.00\)">
                  <c:v>476.03</c:v>
                </c:pt>
                <c:pt idx="6" formatCode="&quot;$&quot;#,##0.00_);[Red]\(&quot;$&quot;#,##0.00\)">
                  <c:v>464.85</c:v>
                </c:pt>
                <c:pt idx="7" formatCode="&quot;$&quot;#,##0.00_);[Red]\(&quot;$&quot;#,##0.00\)">
                  <c:v>473.4</c:v>
                </c:pt>
                <c:pt idx="8" formatCode="&quot;$&quot;#,##0.00_);[Red]\(&quot;$&quot;#,##0.00\)">
                  <c:v>494.93</c:v>
                </c:pt>
                <c:pt idx="9" formatCode="&quot;$&quot;#,##0.00_);[Red]\(&quot;$&quot;#,##0.00\)">
                  <c:v>510.69</c:v>
                </c:pt>
                <c:pt idx="10" formatCode="&quot;$&quot;#,##0.00_);[Red]\(&quot;$&quot;#,##0.00\)">
                  <c:v>532.83000000000004</c:v>
                </c:pt>
                <c:pt idx="11" formatCode="&quot;$&quot;#,##0.00_);[Red]\(&quot;$&quot;#,##0.00\)">
                  <c:v>536.30999999999995</c:v>
                </c:pt>
                <c:pt idx="12" formatCode="&quot;$&quot;#,##0.00_);[Red]\(&quot;$&quot;#,##0.00\)">
                  <c:v>528.65</c:v>
                </c:pt>
                <c:pt idx="13" formatCode="&quot;$&quot;#,##0.00_);[Red]\(&quot;$&quot;#,##0.00\)">
                  <c:v>524.08000000000004</c:v>
                </c:pt>
                <c:pt idx="14" formatCode="&quot;$&quot;#,##0.00_);[Red]\(&quot;$&quot;#,##0.00\)">
                  <c:v>521.47</c:v>
                </c:pt>
                <c:pt idx="15" formatCode="&quot;$&quot;#,##0.00_);[Red]\(&quot;$&quot;#,##0.00\)">
                  <c:v>522.97</c:v>
                </c:pt>
                <c:pt idx="16" formatCode="&quot;$&quot;#,##0.00_);[Red]\(&quot;$&quot;#,##0.00\)">
                  <c:v>516.17999999999995</c:v>
                </c:pt>
                <c:pt idx="17" formatCode="&quot;$&quot;#,##0.00_);[Red]\(&quot;$&quot;#,##0.00\)">
                  <c:v>515.92999999999995</c:v>
                </c:pt>
                <c:pt idx="18" formatCode="&quot;$&quot;#,##0.00_);[Red]\(&quot;$&quot;#,##0.00\)">
                  <c:v>516.83000000000004</c:v>
                </c:pt>
                <c:pt idx="19" formatCode="&quot;$&quot;#,##0.00_);[Red]\(&quot;$&quot;#,##0.00\)">
                  <c:v>542.36</c:v>
                </c:pt>
                <c:pt idx="20" formatCode="&quot;$&quot;#,##0.00_);[Red]\(&quot;$&quot;#,##0.00\)">
                  <c:v>547.97</c:v>
                </c:pt>
                <c:pt idx="21" formatCode="&quot;$&quot;#,##0.00_);[Red]\(&quot;$&quot;#,##0.00\)">
                  <c:v>557.74</c:v>
                </c:pt>
                <c:pt idx="22" formatCode="&quot;$&quot;#,##0.00_);[Red]\(&quot;$&quot;#,##0.00\)">
                  <c:v>569.08000000000004</c:v>
                </c:pt>
                <c:pt idx="23" formatCode="&quot;$&quot;#,##0.00_);[Red]\(&quot;$&quot;#,##0.00\)">
                  <c:v>564.38</c:v>
                </c:pt>
                <c:pt idx="24" formatCode="&quot;$&quot;#,##0.00_);[Red]\(&quot;$&quot;#,##0.00\)">
                  <c:v>565.96</c:v>
                </c:pt>
                <c:pt idx="25" formatCode="&quot;$&quot;#,##0.00_);[Red]\(&quot;$&quot;#,##0.00\)">
                  <c:v>557.27</c:v>
                </c:pt>
                <c:pt idx="26" formatCode="&quot;$&quot;#,##0.00_);[Red]\(&quot;$&quot;#,##0.00\)">
                  <c:v>541.69000000000005</c:v>
                </c:pt>
                <c:pt idx="27" formatCode="&quot;$&quot;#,##0.00_);[Red]\(&quot;$&quot;#,##0.00\)">
                  <c:v>549.19000000000005</c:v>
                </c:pt>
                <c:pt idx="28" formatCode="&quot;$&quot;#,##0.00_);[Red]\(&quot;$&quot;#,##0.00\)">
                  <c:v>530</c:v>
                </c:pt>
                <c:pt idx="29" formatCode="&quot;$&quot;#,##0.00_);[Red]\(&quot;$&quot;#,##0.00\)">
                  <c:v>515.88</c:v>
                </c:pt>
                <c:pt idx="30" formatCode="&quot;$&quot;#,##0.00_);[Red]\(&quot;$&quot;#,##0.00\)">
                  <c:v>518.16999999999996</c:v>
                </c:pt>
                <c:pt idx="31" formatCode="&quot;$&quot;#,##0.00_);[Red]\(&quot;$&quot;#,##0.00\)">
                  <c:v>522.37</c:v>
                </c:pt>
                <c:pt idx="32" formatCode="&quot;$&quot;#,##0.00_);[Red]\(&quot;$&quot;#,##0.00\)">
                  <c:v>542.32000000000005</c:v>
                </c:pt>
                <c:pt idx="33" formatCode="&quot;$&quot;#,##0.00_);[Red]\(&quot;$&quot;#,##0.00\)">
                  <c:v>537.20000000000005</c:v>
                </c:pt>
                <c:pt idx="34" formatCode="&quot;$&quot;#,##0.00_);[Red]\(&quot;$&quot;#,##0.00\)">
                  <c:v>545.73</c:v>
                </c:pt>
                <c:pt idx="35" formatCode="&quot;$&quot;#,##0.00_);[Red]\(&quot;$&quot;#,##0.00\)">
                  <c:v>558.1</c:v>
                </c:pt>
                <c:pt idx="36" formatCode="&quot;$&quot;#,##0.00_);[Red]\(&quot;$&quot;#,##0.00\)">
                  <c:v>544.89</c:v>
                </c:pt>
                <c:pt idx="37" formatCode="&quot;$&quot;#,##0.00_);[Red]\(&quot;$&quot;#,##0.00\)">
                  <c:v>545.09</c:v>
                </c:pt>
                <c:pt idx="38" formatCode="&quot;$&quot;#,##0.00_);[Red]\(&quot;$&quot;#,##0.00\)">
                  <c:v>568.02</c:v>
                </c:pt>
                <c:pt idx="39" formatCode="&quot;$&quot;#,##0.00_);[Red]\(&quot;$&quot;#,##0.00\)">
                  <c:v>500.83</c:v>
                </c:pt>
                <c:pt idx="40" formatCode="&quot;$&quot;#,##0.00_);[Red]\(&quot;$&quot;#,##0.00\)">
                  <c:v>486.14</c:v>
                </c:pt>
                <c:pt idx="41" formatCode="&quot;$&quot;#,##0.00_);[Red]\(&quot;$&quot;#,##0.00\)">
                  <c:v>480.69</c:v>
                </c:pt>
                <c:pt idx="42" formatCode="&quot;$&quot;#,##0.00_);[Red]\(&quot;$&quot;#,##0.00\)">
                  <c:v>488.61</c:v>
                </c:pt>
                <c:pt idx="43" formatCode="&quot;$&quot;#,##0.00_);[Red]\(&quot;$&quot;#,##0.00\)">
                  <c:v>491.33</c:v>
                </c:pt>
                <c:pt idx="44" formatCode="&quot;$&quot;#,##0.00_);[Red]\(&quot;$&quot;#,##0.00\)">
                  <c:v>476.99</c:v>
                </c:pt>
                <c:pt idx="45" formatCode="&quot;$&quot;#,##0.00_);[Red]\(&quot;$&quot;#,##0.00\)">
                  <c:v>479.38</c:v>
                </c:pt>
                <c:pt idx="46" formatCode="&quot;$&quot;#,##0.00_);[Red]\(&quot;$&quot;#,##0.00\)">
                  <c:v>461.65</c:v>
                </c:pt>
                <c:pt idx="47" formatCode="&quot;$&quot;#,##0.00_);[Red]\(&quot;$&quot;#,##0.00\)">
                  <c:v>414.43</c:v>
                </c:pt>
                <c:pt idx="48" formatCode="&quot;$&quot;#,##0.00_);[Red]\(&quot;$&quot;#,##0.00\)">
                  <c:v>412.89</c:v>
                </c:pt>
                <c:pt idx="49" formatCode="&quot;$&quot;#,##0.00_);[Red]\(&quot;$&quot;#,##0.00\)">
                  <c:v>429.89</c:v>
                </c:pt>
                <c:pt idx="50" formatCode="&quot;$&quot;#,##0.00_);[Red]\(&quot;$&quot;#,##0.00\)">
                  <c:v>422.58</c:v>
                </c:pt>
                <c:pt idx="51" formatCode="&quot;$&quot;#,##0.00_);[Red]\(&quot;$&quot;#,##0.00\)">
                  <c:v>436.69</c:v>
                </c:pt>
                <c:pt idx="52" formatCode="&quot;$&quot;#,##0.00_);[Red]\(&quot;$&quot;#,##0.00\)">
                  <c:v>446.68</c:v>
                </c:pt>
                <c:pt idx="53" formatCode="&quot;$&quot;#,##0.00_);[Red]\(&quot;$&quot;#,##0.00\)">
                  <c:v>459.66</c:v>
                </c:pt>
                <c:pt idx="54" formatCode="&quot;$&quot;#,##0.00_);[Red]\(&quot;$&quot;#,##0.00\)">
                  <c:v>452.66</c:v>
                </c:pt>
                <c:pt idx="55" formatCode="&quot;$&quot;#,##0.00_);[Red]\(&quot;$&quot;#,##0.00\)">
                  <c:v>461.97</c:v>
                </c:pt>
                <c:pt idx="56" formatCode="&quot;$&quot;#,##0.00_);[Red]\(&quot;$&quot;#,##0.00\)">
                  <c:v>463.37</c:v>
                </c:pt>
                <c:pt idx="57" formatCode="&quot;$&quot;#,##0.00_);[Red]\(&quot;$&quot;#,##0.00\)">
                  <c:v>440.85</c:v>
                </c:pt>
                <c:pt idx="58" formatCode="&quot;$&quot;#,##0.00_);[Red]\(&quot;$&quot;#,##0.00\)">
                  <c:v>447.83</c:v>
                </c:pt>
                <c:pt idx="59" formatCode="&quot;$&quot;#,##0.00_);[Red]\(&quot;$&quot;#,##0.00\)">
                  <c:v>436.81</c:v>
                </c:pt>
                <c:pt idx="60" formatCode="&quot;$&quot;#,##0.00_);[Red]\(&quot;$&quot;#,##0.00\)">
                  <c:v>424.84</c:v>
                </c:pt>
                <c:pt idx="61" formatCode="&quot;$&quot;#,##0.00_);[Red]\(&quot;$&quot;#,##0.00\)">
                  <c:v>428.14</c:v>
                </c:pt>
                <c:pt idx="62" formatCode="&quot;$&quot;#,##0.00_);[Red]\(&quot;$&quot;#,##0.00\)">
                  <c:v>426.36</c:v>
                </c:pt>
                <c:pt idx="63" formatCode="&quot;$&quot;#,##0.00_);[Red]\(&quot;$&quot;#,##0.00\)">
                  <c:v>430.14</c:v>
                </c:pt>
                <c:pt idx="64" formatCode="&quot;$&quot;#,##0.00_);[Red]\(&quot;$&quot;#,##0.00\)">
                  <c:v>433.68</c:v>
                </c:pt>
                <c:pt idx="65" formatCode="&quot;$&quot;#,##0.00_);[Red]\(&quot;$&quot;#,##0.00\)">
                  <c:v>437.26</c:v>
                </c:pt>
                <c:pt idx="66" formatCode="&quot;$&quot;#,##0.00_);[Red]\(&quot;$&quot;#,##0.00\)">
                  <c:v>434.62</c:v>
                </c:pt>
                <c:pt idx="67" formatCode="&quot;$&quot;#,##0.00_);[Red]\(&quot;$&quot;#,##0.00\)">
                  <c:v>431.28</c:v>
                </c:pt>
                <c:pt idx="68" formatCode="&quot;$&quot;#,##0.00_);[Red]\(&quot;$&quot;#,##0.00\)">
                  <c:v>450.27</c:v>
                </c:pt>
                <c:pt idx="69" formatCode="&quot;$&quot;#,##0.00_);[Red]\(&quot;$&quot;#,##0.00\)">
                  <c:v>455.73</c:v>
                </c:pt>
                <c:pt idx="70" formatCode="&quot;$&quot;#,##0.00_);[Red]\(&quot;$&quot;#,##0.00\)">
                  <c:v>441.54</c:v>
                </c:pt>
                <c:pt idx="71" formatCode="&quot;$&quot;#,##0.00_);[Red]\(&quot;$&quot;#,##0.00\)">
                  <c:v>436.78</c:v>
                </c:pt>
                <c:pt idx="72" formatCode="&quot;$&quot;#,##0.00_);[Red]\(&quot;$&quot;#,##0.00\)">
                  <c:v>453.83</c:v>
                </c:pt>
                <c:pt idx="73" formatCode="&quot;$&quot;#,##0.00_);[Red]\(&quot;$&quot;#,##0.00\)">
                  <c:v>444.29</c:v>
                </c:pt>
                <c:pt idx="74" formatCode="&quot;$&quot;#,##0.00_);[Red]\(&quot;$&quot;#,##0.00\)">
                  <c:v>438.37</c:v>
                </c:pt>
                <c:pt idx="75" formatCode="&quot;$&quot;#,##0.00_);[Red]\(&quot;$&quot;#,##0.00\)">
                  <c:v>434.81</c:v>
                </c:pt>
                <c:pt idx="76" formatCode="&quot;$&quot;#,##0.00_);[Red]\(&quot;$&quot;#,##0.00\)">
                  <c:v>432.49</c:v>
                </c:pt>
                <c:pt idx="77" formatCode="&quot;$&quot;#,##0.00_);[Red]\(&quot;$&quot;#,##0.00\)">
                  <c:v>420.18</c:v>
                </c:pt>
                <c:pt idx="78" formatCode="&quot;$&quot;#,##0.00_);[Red]\(&quot;$&quot;#,##0.00\)">
                  <c:v>421.14</c:v>
                </c:pt>
                <c:pt idx="79" formatCode="&quot;$&quot;#,##0.00_);[Red]\(&quot;$&quot;#,##0.00\)">
                  <c:v>415.64</c:v>
                </c:pt>
                <c:pt idx="80" formatCode="&quot;$&quot;#,##0.00_);[Red]\(&quot;$&quot;#,##0.00\)">
                  <c:v>410.82</c:v>
                </c:pt>
                <c:pt idx="81" formatCode="&quot;$&quot;#,##0.00_);[Red]\(&quot;$&quot;#,##0.00\)">
                  <c:v>402.39</c:v>
                </c:pt>
                <c:pt idx="82" formatCode="&quot;$&quot;#,##0.00_);[Red]\(&quot;$&quot;#,##0.00\)">
                  <c:v>398.37</c:v>
                </c:pt>
                <c:pt idx="83" formatCode="&quot;$&quot;#,##0.00_);[Red]\(&quot;$&quot;#,##0.00\)">
                  <c:v>417.31</c:v>
                </c:pt>
                <c:pt idx="84" formatCode="&quot;$&quot;#,##0.00_);[Red]\(&quot;$&quot;#,##0.00\)">
                  <c:v>380.58</c:v>
                </c:pt>
                <c:pt idx="85" formatCode="&quot;$&quot;#,##0.00_);[Red]\(&quot;$&quot;#,##0.00\)">
                  <c:v>375.83</c:v>
                </c:pt>
                <c:pt idx="86" formatCode="&quot;$&quot;#,##0.00_);[Red]\(&quot;$&quot;#,##0.00\)">
                  <c:v>374.27</c:v>
                </c:pt>
                <c:pt idx="87" formatCode="&quot;$&quot;#,##0.00_);[Red]\(&quot;$&quot;#,##0.00\)">
                  <c:v>371.34</c:v>
                </c:pt>
                <c:pt idx="88" formatCode="&quot;$&quot;#,##0.00_);[Red]\(&quot;$&quot;#,##0.00\)">
                  <c:v>374.7</c:v>
                </c:pt>
                <c:pt idx="89" formatCode="&quot;$&quot;#,##0.00_);[Red]\(&quot;$&quot;#,##0.00\)">
                  <c:v>392.49</c:v>
                </c:pt>
                <c:pt idx="90" formatCode="&quot;$&quot;#,##0.00_);[Red]\(&quot;$&quot;#,##0.00\)">
                  <c:v>402.33</c:v>
                </c:pt>
                <c:pt idx="91" formatCode="&quot;$&quot;#,##0.00_);[Red]\(&quot;$&quot;#,##0.00\)">
                  <c:v>394.27</c:v>
                </c:pt>
                <c:pt idx="92" formatCode="&quot;$&quot;#,##0.00_);[Red]\(&quot;$&quot;#,##0.00\)">
                  <c:v>397.52</c:v>
                </c:pt>
                <c:pt idx="93" formatCode="&quot;$&quot;#,##0.00_);[Red]\(&quot;$&quot;#,##0.00\)">
                  <c:v>384.19</c:v>
                </c:pt>
                <c:pt idx="94" formatCode="&quot;$&quot;#,##0.00_);[Red]\(&quot;$&quot;#,##0.00\)">
                  <c:v>389.75</c:v>
                </c:pt>
                <c:pt idx="95" formatCode="&quot;$&quot;#,##0.00_);[Red]\(&quot;$&quot;#,##0.00\)">
                  <c:v>392.49</c:v>
                </c:pt>
                <c:pt idx="96" formatCode="&quot;$&quot;#,##0.00_);[Red]\(&quot;$&quot;#,##0.00\)">
                  <c:v>386.625</c:v>
                </c:pt>
                <c:pt idx="97" formatCode="&quot;$&quot;#,##0.00_);[Red]\(&quot;$&quot;#,##0.00\)">
                  <c:v>375.3</c:v>
                </c:pt>
                <c:pt idx="98" formatCode="&quot;$&quot;#,##0.00_);[Red]\(&quot;$&quot;#,##0.00\)">
                  <c:v>374.8</c:v>
                </c:pt>
                <c:pt idx="99" formatCode="&quot;$&quot;#,##0.00_);[Red]\(&quot;$&quot;#,##0.00\)">
                  <c:v>367.6</c:v>
                </c:pt>
                <c:pt idx="100" formatCode="&quot;$&quot;#,##0.00_);[Red]\(&quot;$&quot;#,##0.00\)">
                  <c:v>371.11</c:v>
                </c:pt>
                <c:pt idx="101" formatCode="&quot;$&quot;#,##0.00_);[Red]\(&quot;$&quot;#,##0.00\)">
                  <c:v>384.71</c:v>
                </c:pt>
                <c:pt idx="102" formatCode="&quot;$&quot;#,##0.00_);[Red]\(&quot;$&quot;#,##0.00\)">
                  <c:v>381.15</c:v>
                </c:pt>
                <c:pt idx="103" formatCode="&quot;$&quot;#,##0.00_);[Red]\(&quot;$&quot;#,##0.00\)">
                  <c:v>389.99</c:v>
                </c:pt>
                <c:pt idx="104" formatCode="&quot;$&quot;#,##0.00_);[Red]\(&quot;$&quot;#,##0.00\)">
                  <c:v>377.94</c:v>
                </c:pt>
                <c:pt idx="105" formatCode="&quot;$&quot;#,##0.00_);[Red]\(&quot;$&quot;#,##0.00\)">
                  <c:v>383.24</c:v>
                </c:pt>
                <c:pt idx="106" formatCode="&quot;$&quot;#,##0.00_);[Red]\(&quot;$&quot;#,##0.00\)">
                  <c:v>395.01</c:v>
                </c:pt>
                <c:pt idx="107" formatCode="&quot;$&quot;#,##0.00_);[Red]\(&quot;$&quot;#,##0.00\)">
                  <c:v>417.85</c:v>
                </c:pt>
                <c:pt idx="108" formatCode="&quot;$&quot;#,##0.00_);[Red]\(&quot;$&quot;#,##0.00\)">
                  <c:v>408.61</c:v>
                </c:pt>
                <c:pt idx="109" formatCode="&quot;$&quot;#,##0.00_);[Red]\(&quot;$&quot;#,##0.00\)">
                  <c:v>386.21</c:v>
                </c:pt>
                <c:pt idx="110" formatCode="&quot;$&quot;#,##0.00_);[Red]\(&quot;$&quot;#,##0.00\)">
                  <c:v>396.43</c:v>
                </c:pt>
                <c:pt idx="111" formatCode="&quot;$&quot;#,##0.00_);[Red]\(&quot;$&quot;#,##0.00\)">
                  <c:v>489.11</c:v>
                </c:pt>
                <c:pt idx="112" formatCode="&quot;$&quot;#,##0.00_);[Red]\(&quot;$&quot;#,##0.00\)">
                  <c:v>482.56</c:v>
                </c:pt>
                <c:pt idx="113" formatCode="&quot;$&quot;#,##0.00_);[Red]\(&quot;$&quot;#,##0.00\)">
                  <c:v>482.29</c:v>
                </c:pt>
                <c:pt idx="114" formatCode="&quot;$&quot;#,##0.00_);[Red]\(&quot;$&quot;#,##0.00\)">
                  <c:v>490.51</c:v>
                </c:pt>
                <c:pt idx="115" formatCode="&quot;$&quot;#,##0.00_);[Red]\(&quot;$&quot;#,##0.00\)">
                  <c:v>485.21</c:v>
                </c:pt>
                <c:pt idx="116" formatCode="&quot;$&quot;#,##0.00_);[Red]\(&quot;$&quot;#,##0.00\)">
                  <c:v>482.42</c:v>
                </c:pt>
                <c:pt idx="117" formatCode="&quot;$&quot;#,##0.00_);[Red]\(&quot;$&quot;#,##0.00\)">
                  <c:v>483.74</c:v>
                </c:pt>
                <c:pt idx="118" formatCode="&quot;$&quot;#,##0.00_);[Red]\(&quot;$&quot;#,##0.00\)">
                  <c:v>509.42</c:v>
                </c:pt>
                <c:pt idx="119" formatCode="&quot;$&quot;#,##0.00_);[Red]\(&quot;$&quot;#,##0.00\)">
                  <c:v>480.64</c:v>
                </c:pt>
                <c:pt idx="120" formatCode="&quot;$&quot;#,##0.00_);[Red]\(&quot;$&quot;#,##0.00\)">
                  <c:v>455.02</c:v>
                </c:pt>
                <c:pt idx="121" formatCode="&quot;$&quot;#,##0.00_);[Red]\(&quot;$&quot;#,##0.00\)">
                  <c:v>450.68</c:v>
                </c:pt>
                <c:pt idx="122" formatCode="&quot;$&quot;#,##0.00_);[Red]\(&quot;$&quot;#,##0.00\)">
                  <c:v>440.47</c:v>
                </c:pt>
                <c:pt idx="123" formatCode="&quot;$&quot;#,##0.00_);[Red]\(&quot;$&quot;#,##0.00\)">
                  <c:v>438.51</c:v>
                </c:pt>
                <c:pt idx="124" formatCode="&quot;$&quot;#,##0.00_);[Red]\(&quot;$&quot;#,##0.00\)">
                  <c:v>459.6</c:v>
                </c:pt>
                <c:pt idx="125" formatCode="&quot;$&quot;#,##0.00_);[Red]\(&quot;$&quot;#,##0.00\)">
                  <c:v>464.23</c:v>
                </c:pt>
                <c:pt idx="126" formatCode="&quot;$&quot;#,##0.00_);[Red]\(&quot;$&quot;#,##0.00\)">
                  <c:v>470.22</c:v>
                </c:pt>
                <c:pt idx="127" formatCode="&quot;$&quot;#,##0.00_);[Red]\(&quot;$&quot;#,##0.00\)">
                  <c:v>466.37</c:v>
                </c:pt>
                <c:pt idx="128" formatCode="&quot;$&quot;#,##0.00_);[Red]\(&quot;$&quot;#,##0.00\)">
                  <c:v>471.47</c:v>
                </c:pt>
                <c:pt idx="129" formatCode="&quot;$&quot;#,##0.00_);[Red]\(&quot;$&quot;#,##0.00\)">
                  <c:v>474.29</c:v>
                </c:pt>
                <c:pt idx="130" formatCode="&quot;$&quot;#,##0.00_);[Red]\(&quot;$&quot;#,##0.00\)">
                  <c:v>458.7</c:v>
                </c:pt>
                <c:pt idx="131" formatCode="&quot;$&quot;#,##0.00_);[Red]\(&quot;$&quot;#,##0.00\)">
                  <c:v>464.65</c:v>
                </c:pt>
                <c:pt idx="132" formatCode="&quot;$&quot;#,##0.00_);[Red]\(&quot;$&quot;#,##0.00\)">
                  <c:v>466.94</c:v>
                </c:pt>
                <c:pt idx="133" formatCode="&quot;$&quot;#,##0.00_);[Red]\(&quot;$&quot;#,##0.00\)">
                  <c:v>467.05</c:v>
                </c:pt>
                <c:pt idx="134" formatCode="&quot;$&quot;#,##0.00_);[Red]\(&quot;$&quot;#,##0.00\)">
                  <c:v>460.61</c:v>
                </c:pt>
                <c:pt idx="135" formatCode="&quot;$&quot;#,##0.00_);[Red]\(&quot;$&quot;#,##0.00\)">
                  <c:v>460.24</c:v>
                </c:pt>
                <c:pt idx="136" formatCode="&quot;$&quot;#,##0.00_);[Red]\(&quot;$&quot;#,##0.00\)">
                  <c:v>454</c:v>
                </c:pt>
                <c:pt idx="137" formatCode="&quot;$&quot;#,##0.00_);[Red]\(&quot;$&quot;#,##0.00\)">
                  <c:v>447.34</c:v>
                </c:pt>
                <c:pt idx="138" formatCode="&quot;$&quot;#,##0.00_);[Red]\(&quot;$&quot;#,##0.00\)">
                  <c:v>452.74</c:v>
                </c:pt>
                <c:pt idx="139" formatCode="&quot;$&quot;#,##0.00_);[Red]\(&quot;$&quot;#,##0.00\)">
                  <c:v>455.9</c:v>
                </c:pt>
                <c:pt idx="140" formatCode="&quot;$&quot;#,##0.00_);[Red]\(&quot;$&quot;#,##0.00\)">
                  <c:v>462.01</c:v>
                </c:pt>
                <c:pt idx="141" formatCode="&quot;$&quot;#,##0.00_);[Red]\(&quot;$&quot;#,##0.00\)">
                  <c:v>454.11</c:v>
                </c:pt>
                <c:pt idx="142" formatCode="&quot;$&quot;#,##0.00_);[Red]\(&quot;$&quot;#,##0.00\)">
                  <c:v>449.01</c:v>
                </c:pt>
                <c:pt idx="143" formatCode="&quot;$&quot;#,##0.00_);[Red]\(&quot;$&quot;#,##0.00\)">
                  <c:v>445.7</c:v>
                </c:pt>
                <c:pt idx="144" formatCode="&quot;$&quot;#,##0.00_);[Red]\(&quot;$&quot;#,##0.00\)">
                  <c:v>452.61</c:v>
                </c:pt>
                <c:pt idx="145" formatCode="&quot;$&quot;#,##0.00_);[Red]\(&quot;$&quot;#,##0.00\)">
                  <c:v>445.4</c:v>
                </c:pt>
                <c:pt idx="146" formatCode="&quot;$&quot;#,##0.00_);[Red]\(&quot;$&quot;#,##0.00\)">
                  <c:v>429.33</c:v>
                </c:pt>
                <c:pt idx="147" formatCode="&quot;$&quot;#,##0.00_);[Red]\(&quot;$&quot;#,##0.00\)">
                  <c:v>402.5</c:v>
                </c:pt>
                <c:pt idx="148" formatCode="&quot;$&quot;#,##0.00_);[Red]\(&quot;$&quot;#,##0.00\)">
                  <c:v>409.48</c:v>
                </c:pt>
                <c:pt idx="149" formatCode="&quot;$&quot;#,##0.00_);[Red]\(&quot;$&quot;#,##0.00\)">
                  <c:v>403.74</c:v>
                </c:pt>
                <c:pt idx="150" formatCode="&quot;$&quot;#,##0.00_);[Red]\(&quot;$&quot;#,##0.00\)">
                  <c:v>396.95</c:v>
                </c:pt>
                <c:pt idx="151" formatCode="&quot;$&quot;#,##0.00_);[Red]\(&quot;$&quot;#,##0.00\)">
                  <c:v>396.29</c:v>
                </c:pt>
                <c:pt idx="152" formatCode="&quot;$&quot;#,##0.00_);[Red]\(&quot;$&quot;#,##0.00\)">
                  <c:v>400</c:v>
                </c:pt>
                <c:pt idx="153" formatCode="&quot;$&quot;#,##0.00_);[Red]\(&quot;$&quot;#,##0.00\)">
                  <c:v>380.25</c:v>
                </c:pt>
                <c:pt idx="154" formatCode="&quot;$&quot;#,##0.00_);[Red]\(&quot;$&quot;#,##0.00\)">
                  <c:v>377.26</c:v>
                </c:pt>
                <c:pt idx="155" formatCode="&quot;$&quot;#,##0.00_);[Red]\(&quot;$&quot;#,##0.00\)">
                  <c:v>379.52</c:v>
                </c:pt>
                <c:pt idx="156" formatCode="&quot;$&quot;#,##0.00_);[Red]\(&quot;$&quot;#,##0.00\)">
                  <c:v>398.28</c:v>
                </c:pt>
                <c:pt idx="157" formatCode="&quot;$&quot;#,##0.00_);[Red]\(&quot;$&quot;#,##0.00\)">
                  <c:v>399.14</c:v>
                </c:pt>
                <c:pt idx="158" formatCode="&quot;$&quot;#,##0.00_);[Red]\(&quot;$&quot;#,##0.00\)">
                  <c:v>407.81</c:v>
                </c:pt>
                <c:pt idx="159" formatCode="&quot;$&quot;#,##0.00_);[Red]\(&quot;$&quot;#,##0.00\)">
                  <c:v>409.88</c:v>
                </c:pt>
                <c:pt idx="160" formatCode="&quot;$&quot;#,##0.00_);[Red]\(&quot;$&quot;#,##0.00\)">
                  <c:v>405.21</c:v>
                </c:pt>
                <c:pt idx="161" formatCode="&quot;$&quot;#,##0.00_);[Red]\(&quot;$&quot;#,##0.00\)">
                  <c:v>403.02</c:v>
                </c:pt>
                <c:pt idx="162" formatCode="&quot;$&quot;#,##0.00_);[Red]\(&quot;$&quot;#,##0.00\)">
                  <c:v>410.65</c:v>
                </c:pt>
                <c:pt idx="163" formatCode="&quot;$&quot;#,##0.00_);[Red]\(&quot;$&quot;#,##0.00\)">
                  <c:v>410.5</c:v>
                </c:pt>
                <c:pt idx="164" formatCode="&quot;$&quot;#,##0.00_);[Red]\(&quot;$&quot;#,##0.00\)">
                  <c:v>413.31</c:v>
                </c:pt>
                <c:pt idx="165" formatCode="&quot;$&quot;#,##0.00_);[Red]\(&quot;$&quot;#,##0.00\)">
                  <c:v>406.46</c:v>
                </c:pt>
                <c:pt idx="166" formatCode="&quot;$&quot;#,##0.00_);[Red]\(&quot;$&quot;#,##0.00\)">
                  <c:v>393.26</c:v>
                </c:pt>
                <c:pt idx="167" formatCode="&quot;$&quot;#,##0.00_);[Red]\(&quot;$&quot;#,##0.00\)">
                  <c:v>400.08</c:v>
                </c:pt>
                <c:pt idx="168" formatCode="&quot;$&quot;#,##0.00_);[Red]\(&quot;$&quot;#,##0.00\)">
                  <c:v>405.95</c:v>
                </c:pt>
                <c:pt idx="169" formatCode="&quot;$&quot;#,##0.00_);[Red]\(&quot;$&quot;#,##0.00\)">
                  <c:v>396</c:v>
                </c:pt>
                <c:pt idx="170" formatCode="&quot;$&quot;#,##0.00_);[Red]\(&quot;$&quot;#,##0.00\)">
                  <c:v>396.83</c:v>
                </c:pt>
                <c:pt idx="171" formatCode="&quot;$&quot;#,##0.00_);[Red]\(&quot;$&quot;#,##0.00\)">
                  <c:v>416.1</c:v>
                </c:pt>
                <c:pt idx="172" formatCode="&quot;$&quot;#,##0.00_);[Red]\(&quot;$&quot;#,##0.00\)">
                  <c:v>428.81</c:v>
                </c:pt>
                <c:pt idx="173" formatCode="&quot;$&quot;#,##0.00_);[Red]\(&quot;$&quot;#,##0.00\)">
                  <c:v>543.02</c:v>
                </c:pt>
                <c:pt idx="174" formatCode="&quot;$&quot;#,##0.00_);[Red]\(&quot;$&quot;#,##0.00\)">
                  <c:v>527.83000000000004</c:v>
                </c:pt>
                <c:pt idx="175" formatCode="&quot;$&quot;#,##0.00_);[Red]\(&quot;$&quot;#,##0.00\)">
                  <c:v>546.28</c:v>
                </c:pt>
                <c:pt idx="176" formatCode="&quot;$&quot;#,##0.00_);[Red]\(&quot;$&quot;#,##0.00\)">
                  <c:v>522.62</c:v>
                </c:pt>
                <c:pt idx="177" formatCode="&quot;$&quot;#,##0.00_);[Red]\(&quot;$&quot;#,##0.00\)">
                  <c:v>517.51</c:v>
                </c:pt>
                <c:pt idx="178" formatCode="&quot;$&quot;#,##0.00_);[Red]\(&quot;$&quot;#,##0.00\)">
                  <c:v>522.53</c:v>
                </c:pt>
                <c:pt idx="179" formatCode="&quot;$&quot;#,##0.00_);[Red]\(&quot;$&quot;#,##0.00\)">
                  <c:v>541.29</c:v>
                </c:pt>
                <c:pt idx="180" formatCode="&quot;$&quot;#,##0.00_);[Red]\(&quot;$&quot;#,##0.00\)">
                  <c:v>556.27</c:v>
                </c:pt>
                <c:pt idx="181" formatCode="&quot;$&quot;#,##0.00_);[Red]\(&quot;$&quot;#,##0.00\)">
                  <c:v>576.97</c:v>
                </c:pt>
                <c:pt idx="182" formatCode="&quot;$&quot;#,##0.00_);[Red]\(&quot;$&quot;#,##0.00\)">
                  <c:v>577.72</c:v>
                </c:pt>
                <c:pt idx="183" formatCode="&quot;$&quot;#,##0.00_);[Red]\(&quot;$&quot;#,##0.00\)">
                  <c:v>587.91</c:v>
                </c:pt>
                <c:pt idx="184" formatCode="&quot;$&quot;#,##0.00_);[Red]\(&quot;$&quot;#,##0.00\)">
                  <c:v>581</c:v>
                </c:pt>
                <c:pt idx="185" formatCode="&quot;$&quot;#,##0.00_);[Red]\(&quot;$&quot;#,##0.00\)">
                  <c:v>591.72</c:v>
                </c:pt>
                <c:pt idx="186" formatCode="&quot;$&quot;#,##0.00_);[Red]\(&quot;$&quot;#,##0.00\)">
                  <c:v>598</c:v>
                </c:pt>
                <c:pt idx="187" formatCode="&quot;$&quot;#,##0.00_);[Red]\(&quot;$&quot;#,##0.00\)">
                  <c:v>593</c:v>
                </c:pt>
                <c:pt idx="188" formatCode="&quot;$&quot;#,##0.00_);[Red]\(&quot;$&quot;#,##0.00\)">
                  <c:v>571.66</c:v>
                </c:pt>
                <c:pt idx="189" formatCode="&quot;$&quot;#,##0.00_);[Red]\(&quot;$&quot;#,##0.00\)">
                  <c:v>578.37</c:v>
                </c:pt>
                <c:pt idx="190" formatCode="&quot;$&quot;#,##0.00_);[Red]\(&quot;$&quot;#,##0.00\)">
                  <c:v>576.86</c:v>
                </c:pt>
                <c:pt idx="191" formatCode="&quot;$&quot;#,##0.00_);[Red]\(&quot;$&quot;#,##0.00\)">
                  <c:v>585.77</c:v>
                </c:pt>
                <c:pt idx="192" formatCode="&quot;$&quot;#,##0.00_);[Red]\(&quot;$&quot;#,##0.00\)">
                  <c:v>585</c:v>
                </c:pt>
                <c:pt idx="193" formatCode="&quot;$&quot;#,##0.00_);[Red]\(&quot;$&quot;#,##0.00\)">
                  <c:v>580.46</c:v>
                </c:pt>
                <c:pt idx="194" formatCode="&quot;$&quot;#,##0.00_);[Red]\(&quot;$&quot;#,##0.00\)">
                  <c:v>587.48</c:v>
                </c:pt>
                <c:pt idx="195" formatCode="&quot;$&quot;#,##0.00_);[Red]\(&quot;$&quot;#,##0.00\)">
                  <c:v>586.45000000000005</c:v>
                </c:pt>
                <c:pt idx="196" formatCode="&quot;$&quot;#,##0.00_);[Red]\(&quot;$&quot;#,##0.00\)">
                  <c:v>585.92999999999995</c:v>
                </c:pt>
                <c:pt idx="197" formatCode="&quot;$&quot;#,##0.00_);[Red]\(&quot;$&quot;#,##0.00\)">
                  <c:v>585.52</c:v>
                </c:pt>
                <c:pt idx="198" formatCode="&quot;$&quot;#,##0.00_);[Red]\(&quot;$&quot;#,##0.00\)">
                  <c:v>568</c:v>
                </c:pt>
                <c:pt idx="199" formatCode="&quot;$&quot;#,##0.00_);[Red]\(&quot;$&quot;#,##0.00\)">
                  <c:v>560</c:v>
                </c:pt>
                <c:pt idx="200" formatCode="&quot;$&quot;#,##0.00_);[Red]\(&quot;$&quot;#,##0.00\)">
                  <c:v>560.75</c:v>
                </c:pt>
                <c:pt idx="201" formatCode="&quot;$&quot;#,##0.00_);[Red]\(&quot;$&quot;#,##0.00\)">
                  <c:v>578.08000000000004</c:v>
                </c:pt>
                <c:pt idx="202" formatCode="&quot;$&quot;#,##0.00_);[Red]\(&quot;$&quot;#,##0.00\)">
                  <c:v>588.70000000000005</c:v>
                </c:pt>
                <c:pt idx="203" formatCode="&quot;$&quot;#,##0.00_);[Red]\(&quot;$&quot;#,##0.00\)">
                  <c:v>592.80999999999995</c:v>
                </c:pt>
                <c:pt idx="204" formatCode="&quot;$&quot;#,##0.00_);[Red]\(&quot;$&quot;#,##0.00\)">
                  <c:v>596.11</c:v>
                </c:pt>
                <c:pt idx="205" formatCode="&quot;$&quot;#,##0.00_);[Red]\(&quot;$&quot;#,##0.00\)">
                  <c:v>579.19000000000005</c:v>
                </c:pt>
                <c:pt idx="206" formatCode="&quot;$&quot;#,##0.00_);[Red]\(&quot;$&quot;#,##0.00\)">
                  <c:v>583.66999999999996</c:v>
                </c:pt>
                <c:pt idx="207" formatCode="&quot;$&quot;#,##0.00_);[Red]\(&quot;$&quot;#,##0.00\)">
                  <c:v>601.36</c:v>
                </c:pt>
                <c:pt idx="208" formatCode="&quot;$&quot;#,##0.00_);[Red]\(&quot;$&quot;#,##0.00\)">
                  <c:v>605.91999999999996</c:v>
                </c:pt>
                <c:pt idx="209" formatCode="&quot;$&quot;#,##0.00_);[Red]\(&quot;$&quot;#,##0.00\)">
                  <c:v>604.77</c:v>
                </c:pt>
                <c:pt idx="210" formatCode="&quot;$&quot;#,##0.00_);[Red]\(&quot;$&quot;#,##0.00\)">
                  <c:v>584.01</c:v>
                </c:pt>
                <c:pt idx="211" formatCode="&quot;$&quot;#,##0.00_);[Red]\(&quot;$&quot;#,##0.00\)">
                  <c:v>579.55999999999995</c:v>
                </c:pt>
                <c:pt idx="212" formatCode="&quot;$&quot;#,##0.00_);[Red]\(&quot;$&quot;#,##0.00\)">
                  <c:v>575.4</c:v>
                </c:pt>
                <c:pt idx="213" formatCode="&quot;$&quot;#,##0.00_);[Red]\(&quot;$&quot;#,##0.00\)">
                  <c:v>562.59</c:v>
                </c:pt>
                <c:pt idx="214" formatCode="&quot;$&quot;#,##0.00_);[Red]\(&quot;$&quot;#,##0.00\)">
                  <c:v>570.4</c:v>
                </c:pt>
                <c:pt idx="215" formatCode="&quot;$&quot;#,##0.00_);[Red]\(&quot;$&quot;#,##0.00\)">
                  <c:v>574.36</c:v>
                </c:pt>
                <c:pt idx="216" formatCode="&quot;$&quot;#,##0.00_);[Red]\(&quot;$&quot;#,##0.00\)">
                  <c:v>563.59</c:v>
                </c:pt>
                <c:pt idx="217" formatCode="&quot;$&quot;#,##0.00_);[Red]\(&quot;$&quot;#,##0.00\)">
                  <c:v>559.14</c:v>
                </c:pt>
                <c:pt idx="218" formatCode="&quot;$&quot;#,##0.00_);[Red]\(&quot;$&quot;#,##0.00\)">
                  <c:v>547.33000000000004</c:v>
                </c:pt>
                <c:pt idx="219" formatCode="&quot;$&quot;#,##0.00_);[Red]\(&quot;$&quot;#,##0.00\)">
                  <c:v>529.41</c:v>
                </c:pt>
                <c:pt idx="220" formatCode="&quot;$&quot;#,##0.00_);[Red]\(&quot;$&quot;#,##0.00\)">
                  <c:v>540.73</c:v>
                </c:pt>
                <c:pt idx="221" formatCode="&quot;$&quot;#,##0.00_);[Red]\(&quot;$&quot;#,##0.00\)">
                  <c:v>552.53</c:v>
                </c:pt>
                <c:pt idx="222" formatCode="&quot;$&quot;#,##0.00_);[Red]\(&quot;$&quot;#,##0.00\)">
                  <c:v>562.47</c:v>
                </c:pt>
                <c:pt idx="223" formatCode="&quot;$&quot;#,##0.00_);[Red]\(&quot;$&quot;#,##0.00\)">
                  <c:v>555</c:v>
                </c:pt>
                <c:pt idx="224" formatCode="&quot;$&quot;#,##0.00_);[Red]\(&quot;$&quot;#,##0.00\)">
                  <c:v>560.4</c:v>
                </c:pt>
                <c:pt idx="225" formatCode="&quot;$&quot;#,##0.00_);[Red]\(&quot;$&quot;#,##0.00\)">
                  <c:v>565.26499999999999</c:v>
                </c:pt>
                <c:pt idx="226" formatCode="&quot;$&quot;#,##0.00_);[Red]\(&quot;$&quot;#,##0.00\)">
                  <c:v>553.1</c:v>
                </c:pt>
                <c:pt idx="227" formatCode="&quot;$&quot;#,##0.00_);[Red]\(&quot;$&quot;#,##0.00\)">
                  <c:v>536.02</c:v>
                </c:pt>
                <c:pt idx="228" formatCode="&quot;$&quot;#,##0.00_);[Red]\(&quot;$&quot;#,##0.00\)">
                  <c:v>530.76</c:v>
                </c:pt>
                <c:pt idx="229" formatCode="&quot;$&quot;#,##0.00_);[Red]\(&quot;$&quot;#,##0.00\)">
                  <c:v>531.75</c:v>
                </c:pt>
                <c:pt idx="230" formatCode="&quot;$&quot;#,##0.00_);[Red]\(&quot;$&quot;#,##0.00\)">
                  <c:v>534.51</c:v>
                </c:pt>
                <c:pt idx="231" formatCode="&quot;$&quot;#,##0.00_);[Red]\(&quot;$&quot;#,##0.00\)">
                  <c:v>467.45</c:v>
                </c:pt>
                <c:pt idx="232" formatCode="&quot;$&quot;#,##0.00_);[Red]\(&quot;$&quot;#,##0.00\)">
                  <c:v>450.58</c:v>
                </c:pt>
                <c:pt idx="233" formatCode="&quot;$&quot;#,##0.00_);[Red]\(&quot;$&quot;#,##0.00\)">
                  <c:v>453.03</c:v>
                </c:pt>
                <c:pt idx="234" formatCode="&quot;$&quot;#,##0.00_);[Red]\(&quot;$&quot;#,##0.00\)">
                  <c:v>459.18</c:v>
                </c:pt>
                <c:pt idx="235" formatCode="&quot;$&quot;#,##0.00_);[Red]\(&quot;$&quot;#,##0.00\)">
                  <c:v>450.15</c:v>
                </c:pt>
                <c:pt idx="236" formatCode="&quot;$&quot;#,##0.00_);[Red]\(&quot;$&quot;#,##0.00\)">
                  <c:v>452.52</c:v>
                </c:pt>
                <c:pt idx="237" formatCode="&quot;$&quot;#,##0.00_);[Red]\(&quot;$&quot;#,##0.00\)">
                  <c:v>452.37</c:v>
                </c:pt>
                <c:pt idx="238" formatCode="&quot;$&quot;#,##0.00_);[Red]\(&quot;$&quot;#,##0.00\)">
                  <c:v>460.76499999999999</c:v>
                </c:pt>
                <c:pt idx="239" formatCode="&quot;$&quot;#,##0.00_);[Red]\(&quot;$&quot;#,##0.00\)">
                  <c:v>468.91</c:v>
                </c:pt>
                <c:pt idx="240" formatCode="&quot;$&quot;#,##0.00_);[Red]\(&quot;$&quot;#,##0.00\)">
                  <c:v>450.82</c:v>
                </c:pt>
                <c:pt idx="241" formatCode="&quot;$&quot;#,##0.00_);[Red]\(&quot;$&quot;#,##0.00\)">
                  <c:v>441.53</c:v>
                </c:pt>
                <c:pt idx="242" formatCode="&quot;$&quot;#,##0.00_);[Red]\(&quot;$&quot;#,##0.00\)">
                  <c:v>431.74</c:v>
                </c:pt>
                <c:pt idx="243" formatCode="&quot;$&quot;#,##0.00_);[Red]\(&quot;$&quot;#,##0.00\)">
                  <c:v>437.99</c:v>
                </c:pt>
                <c:pt idx="244" formatCode="&quot;$&quot;#,##0.00_);[Red]\(&quot;$&quot;#,##0.00\)">
                  <c:v>439.86</c:v>
                </c:pt>
                <c:pt idx="245" formatCode="&quot;$&quot;#,##0.00_);[Red]\(&quot;$&quot;#,##0.00\)">
                  <c:v>433.65</c:v>
                </c:pt>
                <c:pt idx="246" formatCode="&quot;$&quot;#,##0.00_);[Red]\(&quot;$&quot;#,##0.00\)">
                  <c:v>435.98</c:v>
                </c:pt>
                <c:pt idx="247" formatCode="&quot;$&quot;#,##0.00_);[Red]\(&quot;$&quot;#,##0.00\)">
                  <c:v>430.07</c:v>
                </c:pt>
                <c:pt idx="248" formatCode="&quot;$&quot;#,##0.00_);[Red]\(&quot;$&quot;#,##0.00\)">
                  <c:v>430.82</c:v>
                </c:pt>
                <c:pt idx="249" formatCode="&quot;$&quot;#,##0.00_);[Red]\(&quot;$&quot;#,##0.00\)">
                  <c:v>419.14</c:v>
                </c:pt>
                <c:pt idx="250" formatCode="&quot;$&quot;#,##0.00_);[Red]\(&quot;$&quot;#,##0.00\)">
                  <c:v>421.22</c:v>
                </c:pt>
                <c:pt idx="251" formatCode="&quot;$&quot;#,##0.00_);[Red]\(&quot;$&quot;#,##0.00\)">
                  <c:v>418.79</c:v>
                </c:pt>
                <c:pt idx="252" formatCode="&quot;$&quot;#,##0.00_);[Red]\(&quot;$&quot;#,##0.00\)">
                  <c:v>427.5</c:v>
                </c:pt>
                <c:pt idx="253" formatCode="&quot;$&quot;#,##0.00_);[Red]\(&quot;$&quot;#,##0.00\)">
                  <c:v>438.22</c:v>
                </c:pt>
              </c:numCache>
            </c:numRef>
          </c:val>
          <c:smooth val="0"/>
          <c:extLst>
            <c:ext xmlns:c16="http://schemas.microsoft.com/office/drawing/2014/chart" uri="{C3380CC4-5D6E-409C-BE32-E72D297353CC}">
              <c16:uniqueId val="{00000002-D22B-460A-BAE6-BE7FCC06C774}"/>
            </c:ext>
          </c:extLst>
        </c:ser>
        <c:ser>
          <c:idx val="1"/>
          <c:order val="1"/>
          <c:tx>
            <c:strRef>
              <c:f>Data!$O$41</c:f>
              <c:strCache>
                <c:ptCount val="1"/>
                <c:pt idx="0">
                  <c:v>Bull Case </c:v>
                </c:pt>
              </c:strCache>
            </c:strRef>
          </c:tx>
          <c:spPr>
            <a:ln w="28575" cap="rnd">
              <a:solidFill>
                <a:schemeClr val="accent4"/>
              </a:solidFill>
              <a:round/>
            </a:ln>
            <a:effectLst/>
          </c:spPr>
          <c:marker>
            <c:symbol val="none"/>
          </c:marker>
          <c:dPt>
            <c:idx val="253"/>
            <c:marker>
              <c:symbol val="none"/>
            </c:marker>
            <c:bubble3D val="0"/>
            <c:spPr>
              <a:ln w="28575" cap="rnd">
                <a:solidFill>
                  <a:schemeClr val="accent4"/>
                </a:solidFill>
                <a:round/>
              </a:ln>
              <a:effectLst/>
            </c:spPr>
            <c:extLst>
              <c:ext xmlns:c16="http://schemas.microsoft.com/office/drawing/2014/chart" uri="{C3380CC4-5D6E-409C-BE32-E72D297353CC}">
                <c16:uniqueId val="{00000004-D22B-460A-BAE6-BE7FCC06C774}"/>
              </c:ext>
            </c:extLst>
          </c:dPt>
          <c:dLbls>
            <c:dLbl>
              <c:idx val="253"/>
              <c:layout>
                <c:manualLayout>
                  <c:x val="-7.896734059544315E-2"/>
                  <c:y val="-5.28401658487767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2B-460A-BAE6-BE7FCC06C7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Data!$M$42:$M$296</c15:sqref>
                  </c15:fullRef>
                </c:ext>
              </c:extLst>
              <c:f>(Data!$M$42,Data!$M$44:$M$296)</c:f>
              <c:numCache>
                <c:formatCode>m/d/yyyy</c:formatCode>
                <c:ptCount val="254"/>
                <c:pt idx="0">
                  <c:v>46022</c:v>
                </c:pt>
                <c:pt idx="1">
                  <c:v>45657</c:v>
                </c:pt>
                <c:pt idx="2">
                  <c:v>45656</c:v>
                </c:pt>
                <c:pt idx="3">
                  <c:v>45653</c:v>
                </c:pt>
                <c:pt idx="4">
                  <c:v>45652</c:v>
                </c:pt>
                <c:pt idx="5">
                  <c:v>45650</c:v>
                </c:pt>
                <c:pt idx="6">
                  <c:v>45649</c:v>
                </c:pt>
                <c:pt idx="7">
                  <c:v>45646</c:v>
                </c:pt>
                <c:pt idx="8">
                  <c:v>45645</c:v>
                </c:pt>
                <c:pt idx="9">
                  <c:v>45644</c:v>
                </c:pt>
                <c:pt idx="10">
                  <c:v>45643</c:v>
                </c:pt>
                <c:pt idx="11">
                  <c:v>45642</c:v>
                </c:pt>
                <c:pt idx="12">
                  <c:v>45639</c:v>
                </c:pt>
                <c:pt idx="13">
                  <c:v>45638</c:v>
                </c:pt>
                <c:pt idx="14">
                  <c:v>45637</c:v>
                </c:pt>
                <c:pt idx="15">
                  <c:v>45636</c:v>
                </c:pt>
                <c:pt idx="16">
                  <c:v>45635</c:v>
                </c:pt>
                <c:pt idx="17">
                  <c:v>45632</c:v>
                </c:pt>
                <c:pt idx="18">
                  <c:v>45631</c:v>
                </c:pt>
                <c:pt idx="19">
                  <c:v>45630</c:v>
                </c:pt>
                <c:pt idx="20">
                  <c:v>45629</c:v>
                </c:pt>
                <c:pt idx="21">
                  <c:v>45628</c:v>
                </c:pt>
                <c:pt idx="22">
                  <c:v>45625</c:v>
                </c:pt>
                <c:pt idx="23">
                  <c:v>45623</c:v>
                </c:pt>
                <c:pt idx="24">
                  <c:v>45622</c:v>
                </c:pt>
                <c:pt idx="25">
                  <c:v>45621</c:v>
                </c:pt>
                <c:pt idx="26">
                  <c:v>45618</c:v>
                </c:pt>
                <c:pt idx="27">
                  <c:v>45617</c:v>
                </c:pt>
                <c:pt idx="28">
                  <c:v>45616</c:v>
                </c:pt>
                <c:pt idx="29">
                  <c:v>45615</c:v>
                </c:pt>
                <c:pt idx="30">
                  <c:v>45614</c:v>
                </c:pt>
                <c:pt idx="31">
                  <c:v>45611</c:v>
                </c:pt>
                <c:pt idx="32">
                  <c:v>45610</c:v>
                </c:pt>
                <c:pt idx="33">
                  <c:v>45609</c:v>
                </c:pt>
                <c:pt idx="34">
                  <c:v>45608</c:v>
                </c:pt>
                <c:pt idx="35">
                  <c:v>45607</c:v>
                </c:pt>
                <c:pt idx="36">
                  <c:v>45604</c:v>
                </c:pt>
                <c:pt idx="37">
                  <c:v>45603</c:v>
                </c:pt>
                <c:pt idx="38">
                  <c:v>45602</c:v>
                </c:pt>
                <c:pt idx="39">
                  <c:v>45601</c:v>
                </c:pt>
                <c:pt idx="40">
                  <c:v>45600</c:v>
                </c:pt>
                <c:pt idx="41">
                  <c:v>45597</c:v>
                </c:pt>
                <c:pt idx="42">
                  <c:v>45596</c:v>
                </c:pt>
                <c:pt idx="43">
                  <c:v>45595</c:v>
                </c:pt>
                <c:pt idx="44">
                  <c:v>45594</c:v>
                </c:pt>
                <c:pt idx="45">
                  <c:v>45593</c:v>
                </c:pt>
                <c:pt idx="46">
                  <c:v>45590</c:v>
                </c:pt>
                <c:pt idx="47">
                  <c:v>45589</c:v>
                </c:pt>
                <c:pt idx="48">
                  <c:v>45588</c:v>
                </c:pt>
                <c:pt idx="49">
                  <c:v>45587</c:v>
                </c:pt>
                <c:pt idx="50">
                  <c:v>45586</c:v>
                </c:pt>
                <c:pt idx="51">
                  <c:v>45583</c:v>
                </c:pt>
                <c:pt idx="52">
                  <c:v>45582</c:v>
                </c:pt>
                <c:pt idx="53">
                  <c:v>45581</c:v>
                </c:pt>
                <c:pt idx="54">
                  <c:v>45580</c:v>
                </c:pt>
                <c:pt idx="55">
                  <c:v>45579</c:v>
                </c:pt>
                <c:pt idx="56">
                  <c:v>45576</c:v>
                </c:pt>
                <c:pt idx="57">
                  <c:v>45575</c:v>
                </c:pt>
                <c:pt idx="58">
                  <c:v>45574</c:v>
                </c:pt>
                <c:pt idx="59">
                  <c:v>45573</c:v>
                </c:pt>
                <c:pt idx="60">
                  <c:v>45572</c:v>
                </c:pt>
                <c:pt idx="61">
                  <c:v>45569</c:v>
                </c:pt>
                <c:pt idx="62">
                  <c:v>45568</c:v>
                </c:pt>
                <c:pt idx="63">
                  <c:v>45567</c:v>
                </c:pt>
                <c:pt idx="64">
                  <c:v>45566</c:v>
                </c:pt>
                <c:pt idx="65">
                  <c:v>45565</c:v>
                </c:pt>
                <c:pt idx="66">
                  <c:v>45562</c:v>
                </c:pt>
                <c:pt idx="67">
                  <c:v>45561</c:v>
                </c:pt>
                <c:pt idx="68">
                  <c:v>45560</c:v>
                </c:pt>
                <c:pt idx="69">
                  <c:v>45559</c:v>
                </c:pt>
                <c:pt idx="70">
                  <c:v>45558</c:v>
                </c:pt>
                <c:pt idx="71">
                  <c:v>45555</c:v>
                </c:pt>
                <c:pt idx="72">
                  <c:v>45554</c:v>
                </c:pt>
                <c:pt idx="73">
                  <c:v>45553</c:v>
                </c:pt>
                <c:pt idx="74">
                  <c:v>45552</c:v>
                </c:pt>
                <c:pt idx="75">
                  <c:v>45551</c:v>
                </c:pt>
                <c:pt idx="76">
                  <c:v>45548</c:v>
                </c:pt>
                <c:pt idx="77">
                  <c:v>45547</c:v>
                </c:pt>
                <c:pt idx="78">
                  <c:v>45546</c:v>
                </c:pt>
                <c:pt idx="79">
                  <c:v>45545</c:v>
                </c:pt>
                <c:pt idx="80">
                  <c:v>45544</c:v>
                </c:pt>
                <c:pt idx="81">
                  <c:v>45541</c:v>
                </c:pt>
                <c:pt idx="82">
                  <c:v>45540</c:v>
                </c:pt>
                <c:pt idx="83">
                  <c:v>45539</c:v>
                </c:pt>
                <c:pt idx="84">
                  <c:v>45538</c:v>
                </c:pt>
                <c:pt idx="85">
                  <c:v>45534</c:v>
                </c:pt>
                <c:pt idx="86">
                  <c:v>45533</c:v>
                </c:pt>
                <c:pt idx="87">
                  <c:v>45532</c:v>
                </c:pt>
                <c:pt idx="88">
                  <c:v>45531</c:v>
                </c:pt>
                <c:pt idx="89">
                  <c:v>45530</c:v>
                </c:pt>
                <c:pt idx="90">
                  <c:v>45527</c:v>
                </c:pt>
                <c:pt idx="91">
                  <c:v>45526</c:v>
                </c:pt>
                <c:pt idx="92">
                  <c:v>45525</c:v>
                </c:pt>
                <c:pt idx="93">
                  <c:v>45524</c:v>
                </c:pt>
                <c:pt idx="94">
                  <c:v>45523</c:v>
                </c:pt>
                <c:pt idx="95">
                  <c:v>45520</c:v>
                </c:pt>
                <c:pt idx="96">
                  <c:v>45519</c:v>
                </c:pt>
                <c:pt idx="97">
                  <c:v>45518</c:v>
                </c:pt>
                <c:pt idx="98">
                  <c:v>45517</c:v>
                </c:pt>
                <c:pt idx="99">
                  <c:v>45516</c:v>
                </c:pt>
                <c:pt idx="100">
                  <c:v>45513</c:v>
                </c:pt>
                <c:pt idx="101">
                  <c:v>45512</c:v>
                </c:pt>
                <c:pt idx="102">
                  <c:v>45511</c:v>
                </c:pt>
                <c:pt idx="103">
                  <c:v>45510</c:v>
                </c:pt>
                <c:pt idx="104">
                  <c:v>45509</c:v>
                </c:pt>
                <c:pt idx="105">
                  <c:v>45506</c:v>
                </c:pt>
                <c:pt idx="106">
                  <c:v>45505</c:v>
                </c:pt>
                <c:pt idx="107">
                  <c:v>45504</c:v>
                </c:pt>
                <c:pt idx="108">
                  <c:v>45503</c:v>
                </c:pt>
                <c:pt idx="109">
                  <c:v>45502</c:v>
                </c:pt>
                <c:pt idx="110">
                  <c:v>45499</c:v>
                </c:pt>
                <c:pt idx="111">
                  <c:v>45498</c:v>
                </c:pt>
                <c:pt idx="112">
                  <c:v>45497</c:v>
                </c:pt>
                <c:pt idx="113">
                  <c:v>45496</c:v>
                </c:pt>
                <c:pt idx="114">
                  <c:v>45495</c:v>
                </c:pt>
                <c:pt idx="115">
                  <c:v>45492</c:v>
                </c:pt>
                <c:pt idx="116">
                  <c:v>45491</c:v>
                </c:pt>
                <c:pt idx="117">
                  <c:v>45490</c:v>
                </c:pt>
                <c:pt idx="118">
                  <c:v>45489</c:v>
                </c:pt>
                <c:pt idx="119">
                  <c:v>45488</c:v>
                </c:pt>
                <c:pt idx="120">
                  <c:v>45485</c:v>
                </c:pt>
                <c:pt idx="121">
                  <c:v>45484</c:v>
                </c:pt>
                <c:pt idx="122">
                  <c:v>45483</c:v>
                </c:pt>
                <c:pt idx="123">
                  <c:v>45482</c:v>
                </c:pt>
                <c:pt idx="124">
                  <c:v>45481</c:v>
                </c:pt>
                <c:pt idx="125">
                  <c:v>45478</c:v>
                </c:pt>
                <c:pt idx="126">
                  <c:v>45476</c:v>
                </c:pt>
                <c:pt idx="127">
                  <c:v>45475</c:v>
                </c:pt>
                <c:pt idx="128">
                  <c:v>45474</c:v>
                </c:pt>
                <c:pt idx="129">
                  <c:v>45471</c:v>
                </c:pt>
                <c:pt idx="130">
                  <c:v>45470</c:v>
                </c:pt>
                <c:pt idx="131">
                  <c:v>45469</c:v>
                </c:pt>
                <c:pt idx="132">
                  <c:v>45468</c:v>
                </c:pt>
                <c:pt idx="133">
                  <c:v>45467</c:v>
                </c:pt>
                <c:pt idx="134">
                  <c:v>45464</c:v>
                </c:pt>
                <c:pt idx="135">
                  <c:v>45463</c:v>
                </c:pt>
                <c:pt idx="136">
                  <c:v>45461</c:v>
                </c:pt>
                <c:pt idx="137">
                  <c:v>45460</c:v>
                </c:pt>
                <c:pt idx="138">
                  <c:v>45457</c:v>
                </c:pt>
                <c:pt idx="139">
                  <c:v>45456</c:v>
                </c:pt>
                <c:pt idx="140">
                  <c:v>45455</c:v>
                </c:pt>
                <c:pt idx="141">
                  <c:v>45454</c:v>
                </c:pt>
                <c:pt idx="142">
                  <c:v>45453</c:v>
                </c:pt>
                <c:pt idx="143">
                  <c:v>45450</c:v>
                </c:pt>
                <c:pt idx="144">
                  <c:v>45449</c:v>
                </c:pt>
                <c:pt idx="145">
                  <c:v>45448</c:v>
                </c:pt>
                <c:pt idx="146">
                  <c:v>45447</c:v>
                </c:pt>
                <c:pt idx="147">
                  <c:v>45446</c:v>
                </c:pt>
                <c:pt idx="148">
                  <c:v>45443</c:v>
                </c:pt>
                <c:pt idx="149">
                  <c:v>45442</c:v>
                </c:pt>
                <c:pt idx="150">
                  <c:v>45441</c:v>
                </c:pt>
                <c:pt idx="151">
                  <c:v>45440</c:v>
                </c:pt>
                <c:pt idx="152">
                  <c:v>45436</c:v>
                </c:pt>
                <c:pt idx="153">
                  <c:v>45435</c:v>
                </c:pt>
                <c:pt idx="154">
                  <c:v>45434</c:v>
                </c:pt>
                <c:pt idx="155">
                  <c:v>45433</c:v>
                </c:pt>
                <c:pt idx="156">
                  <c:v>45432</c:v>
                </c:pt>
                <c:pt idx="157">
                  <c:v>45429</c:v>
                </c:pt>
                <c:pt idx="158">
                  <c:v>45428</c:v>
                </c:pt>
                <c:pt idx="159">
                  <c:v>45427</c:v>
                </c:pt>
                <c:pt idx="160">
                  <c:v>45426</c:v>
                </c:pt>
                <c:pt idx="161">
                  <c:v>45425</c:v>
                </c:pt>
                <c:pt idx="162">
                  <c:v>45422</c:v>
                </c:pt>
                <c:pt idx="163">
                  <c:v>45421</c:v>
                </c:pt>
                <c:pt idx="164">
                  <c:v>45420</c:v>
                </c:pt>
                <c:pt idx="165">
                  <c:v>45419</c:v>
                </c:pt>
                <c:pt idx="166">
                  <c:v>45418</c:v>
                </c:pt>
                <c:pt idx="167">
                  <c:v>45415</c:v>
                </c:pt>
                <c:pt idx="168">
                  <c:v>45414</c:v>
                </c:pt>
                <c:pt idx="169">
                  <c:v>45413</c:v>
                </c:pt>
                <c:pt idx="170">
                  <c:v>45412</c:v>
                </c:pt>
                <c:pt idx="171">
                  <c:v>45411</c:v>
                </c:pt>
                <c:pt idx="172">
                  <c:v>45408</c:v>
                </c:pt>
                <c:pt idx="173">
                  <c:v>45407</c:v>
                </c:pt>
                <c:pt idx="174">
                  <c:v>45406</c:v>
                </c:pt>
                <c:pt idx="175">
                  <c:v>45405</c:v>
                </c:pt>
                <c:pt idx="176">
                  <c:v>45404</c:v>
                </c:pt>
                <c:pt idx="177">
                  <c:v>45401</c:v>
                </c:pt>
                <c:pt idx="178">
                  <c:v>45400</c:v>
                </c:pt>
                <c:pt idx="179">
                  <c:v>45399</c:v>
                </c:pt>
                <c:pt idx="180">
                  <c:v>45398</c:v>
                </c:pt>
                <c:pt idx="181">
                  <c:v>45397</c:v>
                </c:pt>
                <c:pt idx="182">
                  <c:v>45394</c:v>
                </c:pt>
                <c:pt idx="183">
                  <c:v>45393</c:v>
                </c:pt>
                <c:pt idx="184">
                  <c:v>45392</c:v>
                </c:pt>
                <c:pt idx="185">
                  <c:v>45391</c:v>
                </c:pt>
                <c:pt idx="186">
                  <c:v>45390</c:v>
                </c:pt>
                <c:pt idx="187">
                  <c:v>45387</c:v>
                </c:pt>
                <c:pt idx="188">
                  <c:v>45386</c:v>
                </c:pt>
                <c:pt idx="189">
                  <c:v>45385</c:v>
                </c:pt>
                <c:pt idx="190">
                  <c:v>45384</c:v>
                </c:pt>
                <c:pt idx="191">
                  <c:v>45383</c:v>
                </c:pt>
                <c:pt idx="192">
                  <c:v>45379</c:v>
                </c:pt>
                <c:pt idx="193">
                  <c:v>45378</c:v>
                </c:pt>
                <c:pt idx="194">
                  <c:v>45377</c:v>
                </c:pt>
                <c:pt idx="195">
                  <c:v>45376</c:v>
                </c:pt>
                <c:pt idx="196">
                  <c:v>45373</c:v>
                </c:pt>
                <c:pt idx="197">
                  <c:v>45372</c:v>
                </c:pt>
                <c:pt idx="198">
                  <c:v>45371</c:v>
                </c:pt>
                <c:pt idx="199">
                  <c:v>45370</c:v>
                </c:pt>
                <c:pt idx="200">
                  <c:v>45369</c:v>
                </c:pt>
                <c:pt idx="201">
                  <c:v>45366</c:v>
                </c:pt>
                <c:pt idx="202">
                  <c:v>45365</c:v>
                </c:pt>
                <c:pt idx="203">
                  <c:v>45364</c:v>
                </c:pt>
                <c:pt idx="204">
                  <c:v>45363</c:v>
                </c:pt>
                <c:pt idx="205">
                  <c:v>45362</c:v>
                </c:pt>
                <c:pt idx="206">
                  <c:v>45359</c:v>
                </c:pt>
                <c:pt idx="207">
                  <c:v>45358</c:v>
                </c:pt>
                <c:pt idx="208">
                  <c:v>45357</c:v>
                </c:pt>
                <c:pt idx="209">
                  <c:v>45356</c:v>
                </c:pt>
                <c:pt idx="210">
                  <c:v>45355</c:v>
                </c:pt>
                <c:pt idx="211">
                  <c:v>45352</c:v>
                </c:pt>
                <c:pt idx="212">
                  <c:v>45351</c:v>
                </c:pt>
                <c:pt idx="213">
                  <c:v>45350</c:v>
                </c:pt>
                <c:pt idx="214">
                  <c:v>45349</c:v>
                </c:pt>
                <c:pt idx="215">
                  <c:v>45348</c:v>
                </c:pt>
                <c:pt idx="216">
                  <c:v>45345</c:v>
                </c:pt>
                <c:pt idx="217">
                  <c:v>45344</c:v>
                </c:pt>
                <c:pt idx="218">
                  <c:v>45343</c:v>
                </c:pt>
                <c:pt idx="219">
                  <c:v>45342</c:v>
                </c:pt>
                <c:pt idx="220">
                  <c:v>45338</c:v>
                </c:pt>
                <c:pt idx="221">
                  <c:v>45337</c:v>
                </c:pt>
                <c:pt idx="222">
                  <c:v>45336</c:v>
                </c:pt>
                <c:pt idx="223">
                  <c:v>45335</c:v>
                </c:pt>
                <c:pt idx="224">
                  <c:v>45334</c:v>
                </c:pt>
                <c:pt idx="225">
                  <c:v>45331</c:v>
                </c:pt>
                <c:pt idx="226">
                  <c:v>45330</c:v>
                </c:pt>
                <c:pt idx="227">
                  <c:v>45329</c:v>
                </c:pt>
                <c:pt idx="228">
                  <c:v>45328</c:v>
                </c:pt>
                <c:pt idx="229">
                  <c:v>45327</c:v>
                </c:pt>
                <c:pt idx="230">
                  <c:v>45324</c:v>
                </c:pt>
                <c:pt idx="231">
                  <c:v>45323</c:v>
                </c:pt>
                <c:pt idx="232">
                  <c:v>45322</c:v>
                </c:pt>
                <c:pt idx="233">
                  <c:v>45321</c:v>
                </c:pt>
                <c:pt idx="234">
                  <c:v>45320</c:v>
                </c:pt>
                <c:pt idx="235">
                  <c:v>45317</c:v>
                </c:pt>
                <c:pt idx="236">
                  <c:v>45316</c:v>
                </c:pt>
                <c:pt idx="237">
                  <c:v>45315</c:v>
                </c:pt>
                <c:pt idx="238">
                  <c:v>45314</c:v>
                </c:pt>
                <c:pt idx="239">
                  <c:v>45313</c:v>
                </c:pt>
                <c:pt idx="240">
                  <c:v>45310</c:v>
                </c:pt>
                <c:pt idx="241">
                  <c:v>45309</c:v>
                </c:pt>
                <c:pt idx="242">
                  <c:v>45308</c:v>
                </c:pt>
                <c:pt idx="243">
                  <c:v>45307</c:v>
                </c:pt>
                <c:pt idx="244">
                  <c:v>45303</c:v>
                </c:pt>
                <c:pt idx="245">
                  <c:v>45302</c:v>
                </c:pt>
                <c:pt idx="246">
                  <c:v>45301</c:v>
                </c:pt>
                <c:pt idx="247">
                  <c:v>45300</c:v>
                </c:pt>
                <c:pt idx="248">
                  <c:v>45299</c:v>
                </c:pt>
                <c:pt idx="249">
                  <c:v>45296</c:v>
                </c:pt>
                <c:pt idx="250">
                  <c:v>45295</c:v>
                </c:pt>
                <c:pt idx="251">
                  <c:v>45294</c:v>
                </c:pt>
                <c:pt idx="252">
                  <c:v>45293</c:v>
                </c:pt>
                <c:pt idx="253">
                  <c:v>45289</c:v>
                </c:pt>
              </c:numCache>
            </c:numRef>
          </c:cat>
          <c:val>
            <c:numRef>
              <c:extLst>
                <c:ext xmlns:c15="http://schemas.microsoft.com/office/drawing/2012/chart" uri="{02D57815-91ED-43cb-92C2-25804820EDAC}">
                  <c15:fullRef>
                    <c15:sqref>Data!$O$42:$O$296</c15:sqref>
                  </c15:fullRef>
                </c:ext>
              </c:extLst>
              <c:f>(Data!$O$42,Data!$O$44:$O$296)</c:f>
              <c:numCache>
                <c:formatCode>General</c:formatCode>
                <c:ptCount val="254"/>
                <c:pt idx="0">
                  <c:v>600.13</c:v>
                </c:pt>
                <c:pt idx="1" formatCode="&quot;$&quot;#,##0.00_);[Red]\(&quot;$&quot;#,##0.00\)">
                  <c:v>455.73</c:v>
                </c:pt>
                <c:pt idx="2" formatCode="&quot;$&quot;#,##0.00_);[Red]\(&quot;$&quot;#,##0.00\)">
                  <c:v>459.4</c:v>
                </c:pt>
                <c:pt idx="3" formatCode="&quot;$&quot;#,##0.00_);[Red]\(&quot;$&quot;#,##0.00\)">
                  <c:v>475.31</c:v>
                </c:pt>
                <c:pt idx="4" formatCode="&quot;$&quot;#,##0.00_);[Red]\(&quot;$&quot;#,##0.00\)">
                  <c:v>476.17</c:v>
                </c:pt>
                <c:pt idx="5" formatCode="&quot;$&quot;#,##0.00_);[Red]\(&quot;$&quot;#,##0.00\)">
                  <c:v>476.03</c:v>
                </c:pt>
                <c:pt idx="6" formatCode="&quot;$&quot;#,##0.00_);[Red]\(&quot;$&quot;#,##0.00\)">
                  <c:v>464.85</c:v>
                </c:pt>
                <c:pt idx="7" formatCode="&quot;$&quot;#,##0.00_);[Red]\(&quot;$&quot;#,##0.00\)">
                  <c:v>473.4</c:v>
                </c:pt>
                <c:pt idx="8" formatCode="&quot;$&quot;#,##0.00_);[Red]\(&quot;$&quot;#,##0.00\)">
                  <c:v>494.93</c:v>
                </c:pt>
                <c:pt idx="9" formatCode="&quot;$&quot;#,##0.00_);[Red]\(&quot;$&quot;#,##0.00\)">
                  <c:v>510.69</c:v>
                </c:pt>
                <c:pt idx="10" formatCode="&quot;$&quot;#,##0.00_);[Red]\(&quot;$&quot;#,##0.00\)">
                  <c:v>532.83000000000004</c:v>
                </c:pt>
                <c:pt idx="11" formatCode="&quot;$&quot;#,##0.00_);[Red]\(&quot;$&quot;#,##0.00\)">
                  <c:v>536.30999999999995</c:v>
                </c:pt>
                <c:pt idx="12" formatCode="&quot;$&quot;#,##0.00_);[Red]\(&quot;$&quot;#,##0.00\)">
                  <c:v>528.65</c:v>
                </c:pt>
                <c:pt idx="13" formatCode="&quot;$&quot;#,##0.00_);[Red]\(&quot;$&quot;#,##0.00\)">
                  <c:v>524.08000000000004</c:v>
                </c:pt>
                <c:pt idx="14" formatCode="&quot;$&quot;#,##0.00_);[Red]\(&quot;$&quot;#,##0.00\)">
                  <c:v>521.47</c:v>
                </c:pt>
                <c:pt idx="15" formatCode="&quot;$&quot;#,##0.00_);[Red]\(&quot;$&quot;#,##0.00\)">
                  <c:v>522.97</c:v>
                </c:pt>
                <c:pt idx="16" formatCode="&quot;$&quot;#,##0.00_);[Red]\(&quot;$&quot;#,##0.00\)">
                  <c:v>516.17999999999995</c:v>
                </c:pt>
                <c:pt idx="17" formatCode="&quot;$&quot;#,##0.00_);[Red]\(&quot;$&quot;#,##0.00\)">
                  <c:v>515.92999999999995</c:v>
                </c:pt>
                <c:pt idx="18" formatCode="&quot;$&quot;#,##0.00_);[Red]\(&quot;$&quot;#,##0.00\)">
                  <c:v>516.83000000000004</c:v>
                </c:pt>
                <c:pt idx="19" formatCode="&quot;$&quot;#,##0.00_);[Red]\(&quot;$&quot;#,##0.00\)">
                  <c:v>542.36</c:v>
                </c:pt>
                <c:pt idx="20" formatCode="&quot;$&quot;#,##0.00_);[Red]\(&quot;$&quot;#,##0.00\)">
                  <c:v>547.97</c:v>
                </c:pt>
                <c:pt idx="21" formatCode="&quot;$&quot;#,##0.00_);[Red]\(&quot;$&quot;#,##0.00\)">
                  <c:v>557.74</c:v>
                </c:pt>
                <c:pt idx="22" formatCode="&quot;$&quot;#,##0.00_);[Red]\(&quot;$&quot;#,##0.00\)">
                  <c:v>569.08000000000004</c:v>
                </c:pt>
                <c:pt idx="23" formatCode="&quot;$&quot;#,##0.00_);[Red]\(&quot;$&quot;#,##0.00\)">
                  <c:v>564.38</c:v>
                </c:pt>
                <c:pt idx="24" formatCode="&quot;$&quot;#,##0.00_);[Red]\(&quot;$&quot;#,##0.00\)">
                  <c:v>565.96</c:v>
                </c:pt>
                <c:pt idx="25" formatCode="&quot;$&quot;#,##0.00_);[Red]\(&quot;$&quot;#,##0.00\)">
                  <c:v>557.27</c:v>
                </c:pt>
                <c:pt idx="26" formatCode="&quot;$&quot;#,##0.00_);[Red]\(&quot;$&quot;#,##0.00\)">
                  <c:v>541.69000000000005</c:v>
                </c:pt>
                <c:pt idx="27" formatCode="&quot;$&quot;#,##0.00_);[Red]\(&quot;$&quot;#,##0.00\)">
                  <c:v>549.19000000000005</c:v>
                </c:pt>
                <c:pt idx="28" formatCode="&quot;$&quot;#,##0.00_);[Red]\(&quot;$&quot;#,##0.00\)">
                  <c:v>530</c:v>
                </c:pt>
                <c:pt idx="29" formatCode="&quot;$&quot;#,##0.00_);[Red]\(&quot;$&quot;#,##0.00\)">
                  <c:v>515.88</c:v>
                </c:pt>
                <c:pt idx="30" formatCode="&quot;$&quot;#,##0.00_);[Red]\(&quot;$&quot;#,##0.00\)">
                  <c:v>518.16999999999996</c:v>
                </c:pt>
                <c:pt idx="31" formatCode="&quot;$&quot;#,##0.00_);[Red]\(&quot;$&quot;#,##0.00\)">
                  <c:v>522.37</c:v>
                </c:pt>
                <c:pt idx="32" formatCode="&quot;$&quot;#,##0.00_);[Red]\(&quot;$&quot;#,##0.00\)">
                  <c:v>542.32000000000005</c:v>
                </c:pt>
                <c:pt idx="33" formatCode="&quot;$&quot;#,##0.00_);[Red]\(&quot;$&quot;#,##0.00\)">
                  <c:v>537.20000000000005</c:v>
                </c:pt>
                <c:pt idx="34" formatCode="&quot;$&quot;#,##0.00_);[Red]\(&quot;$&quot;#,##0.00\)">
                  <c:v>545.73</c:v>
                </c:pt>
                <c:pt idx="35" formatCode="&quot;$&quot;#,##0.00_);[Red]\(&quot;$&quot;#,##0.00\)">
                  <c:v>558.1</c:v>
                </c:pt>
                <c:pt idx="36" formatCode="&quot;$&quot;#,##0.00_);[Red]\(&quot;$&quot;#,##0.00\)">
                  <c:v>544.89</c:v>
                </c:pt>
                <c:pt idx="37" formatCode="&quot;$&quot;#,##0.00_);[Red]\(&quot;$&quot;#,##0.00\)">
                  <c:v>545.09</c:v>
                </c:pt>
                <c:pt idx="38" formatCode="&quot;$&quot;#,##0.00_);[Red]\(&quot;$&quot;#,##0.00\)">
                  <c:v>568.02</c:v>
                </c:pt>
                <c:pt idx="39" formatCode="&quot;$&quot;#,##0.00_);[Red]\(&quot;$&quot;#,##0.00\)">
                  <c:v>500.83</c:v>
                </c:pt>
                <c:pt idx="40" formatCode="&quot;$&quot;#,##0.00_);[Red]\(&quot;$&quot;#,##0.00\)">
                  <c:v>486.14</c:v>
                </c:pt>
                <c:pt idx="41" formatCode="&quot;$&quot;#,##0.00_);[Red]\(&quot;$&quot;#,##0.00\)">
                  <c:v>480.69</c:v>
                </c:pt>
                <c:pt idx="42" formatCode="&quot;$&quot;#,##0.00_);[Red]\(&quot;$&quot;#,##0.00\)">
                  <c:v>488.61</c:v>
                </c:pt>
                <c:pt idx="43" formatCode="&quot;$&quot;#,##0.00_);[Red]\(&quot;$&quot;#,##0.00\)">
                  <c:v>491.33</c:v>
                </c:pt>
                <c:pt idx="44" formatCode="&quot;$&quot;#,##0.00_);[Red]\(&quot;$&quot;#,##0.00\)">
                  <c:v>476.99</c:v>
                </c:pt>
                <c:pt idx="45" formatCode="&quot;$&quot;#,##0.00_);[Red]\(&quot;$&quot;#,##0.00\)">
                  <c:v>479.38</c:v>
                </c:pt>
                <c:pt idx="46" formatCode="&quot;$&quot;#,##0.00_);[Red]\(&quot;$&quot;#,##0.00\)">
                  <c:v>461.65</c:v>
                </c:pt>
                <c:pt idx="47" formatCode="&quot;$&quot;#,##0.00_);[Red]\(&quot;$&quot;#,##0.00\)">
                  <c:v>414.43</c:v>
                </c:pt>
                <c:pt idx="48" formatCode="&quot;$&quot;#,##0.00_);[Red]\(&quot;$&quot;#,##0.00\)">
                  <c:v>412.89</c:v>
                </c:pt>
                <c:pt idx="49" formatCode="&quot;$&quot;#,##0.00_);[Red]\(&quot;$&quot;#,##0.00\)">
                  <c:v>429.89</c:v>
                </c:pt>
                <c:pt idx="50" formatCode="&quot;$&quot;#,##0.00_);[Red]\(&quot;$&quot;#,##0.00\)">
                  <c:v>422.58</c:v>
                </c:pt>
                <c:pt idx="51" formatCode="&quot;$&quot;#,##0.00_);[Red]\(&quot;$&quot;#,##0.00\)">
                  <c:v>436.69</c:v>
                </c:pt>
                <c:pt idx="52" formatCode="&quot;$&quot;#,##0.00_);[Red]\(&quot;$&quot;#,##0.00\)">
                  <c:v>446.68</c:v>
                </c:pt>
                <c:pt idx="53" formatCode="&quot;$&quot;#,##0.00_);[Red]\(&quot;$&quot;#,##0.00\)">
                  <c:v>459.66</c:v>
                </c:pt>
                <c:pt idx="54" formatCode="&quot;$&quot;#,##0.00_);[Red]\(&quot;$&quot;#,##0.00\)">
                  <c:v>452.66</c:v>
                </c:pt>
                <c:pt idx="55" formatCode="&quot;$&quot;#,##0.00_);[Red]\(&quot;$&quot;#,##0.00\)">
                  <c:v>461.97</c:v>
                </c:pt>
                <c:pt idx="56" formatCode="&quot;$&quot;#,##0.00_);[Red]\(&quot;$&quot;#,##0.00\)">
                  <c:v>463.37</c:v>
                </c:pt>
                <c:pt idx="57" formatCode="&quot;$&quot;#,##0.00_);[Red]\(&quot;$&quot;#,##0.00\)">
                  <c:v>440.85</c:v>
                </c:pt>
                <c:pt idx="58" formatCode="&quot;$&quot;#,##0.00_);[Red]\(&quot;$&quot;#,##0.00\)">
                  <c:v>447.83</c:v>
                </c:pt>
                <c:pt idx="59" formatCode="&quot;$&quot;#,##0.00_);[Red]\(&quot;$&quot;#,##0.00\)">
                  <c:v>436.81</c:v>
                </c:pt>
                <c:pt idx="60" formatCode="&quot;$&quot;#,##0.00_);[Red]\(&quot;$&quot;#,##0.00\)">
                  <c:v>424.84</c:v>
                </c:pt>
                <c:pt idx="61" formatCode="&quot;$&quot;#,##0.00_);[Red]\(&quot;$&quot;#,##0.00\)">
                  <c:v>428.14</c:v>
                </c:pt>
                <c:pt idx="62" formatCode="&quot;$&quot;#,##0.00_);[Red]\(&quot;$&quot;#,##0.00\)">
                  <c:v>426.36</c:v>
                </c:pt>
                <c:pt idx="63" formatCode="&quot;$&quot;#,##0.00_);[Red]\(&quot;$&quot;#,##0.00\)">
                  <c:v>430.14</c:v>
                </c:pt>
                <c:pt idx="64" formatCode="&quot;$&quot;#,##0.00_);[Red]\(&quot;$&quot;#,##0.00\)">
                  <c:v>433.68</c:v>
                </c:pt>
                <c:pt idx="65" formatCode="&quot;$&quot;#,##0.00_);[Red]\(&quot;$&quot;#,##0.00\)">
                  <c:v>437.26</c:v>
                </c:pt>
                <c:pt idx="66" formatCode="&quot;$&quot;#,##0.00_);[Red]\(&quot;$&quot;#,##0.00\)">
                  <c:v>434.62</c:v>
                </c:pt>
                <c:pt idx="67" formatCode="&quot;$&quot;#,##0.00_);[Red]\(&quot;$&quot;#,##0.00\)">
                  <c:v>431.28</c:v>
                </c:pt>
                <c:pt idx="68" formatCode="&quot;$&quot;#,##0.00_);[Red]\(&quot;$&quot;#,##0.00\)">
                  <c:v>450.27</c:v>
                </c:pt>
                <c:pt idx="69" formatCode="&quot;$&quot;#,##0.00_);[Red]\(&quot;$&quot;#,##0.00\)">
                  <c:v>455.73</c:v>
                </c:pt>
                <c:pt idx="70" formatCode="&quot;$&quot;#,##0.00_);[Red]\(&quot;$&quot;#,##0.00\)">
                  <c:v>441.54</c:v>
                </c:pt>
                <c:pt idx="71" formatCode="&quot;$&quot;#,##0.00_);[Red]\(&quot;$&quot;#,##0.00\)">
                  <c:v>436.78</c:v>
                </c:pt>
                <c:pt idx="72" formatCode="&quot;$&quot;#,##0.00_);[Red]\(&quot;$&quot;#,##0.00\)">
                  <c:v>453.83</c:v>
                </c:pt>
                <c:pt idx="73" formatCode="&quot;$&quot;#,##0.00_);[Red]\(&quot;$&quot;#,##0.00\)">
                  <c:v>444.29</c:v>
                </c:pt>
                <c:pt idx="74" formatCode="&quot;$&quot;#,##0.00_);[Red]\(&quot;$&quot;#,##0.00\)">
                  <c:v>438.37</c:v>
                </c:pt>
                <c:pt idx="75" formatCode="&quot;$&quot;#,##0.00_);[Red]\(&quot;$&quot;#,##0.00\)">
                  <c:v>434.81</c:v>
                </c:pt>
                <c:pt idx="76" formatCode="&quot;$&quot;#,##0.00_);[Red]\(&quot;$&quot;#,##0.00\)">
                  <c:v>432.49</c:v>
                </c:pt>
                <c:pt idx="77" formatCode="&quot;$&quot;#,##0.00_);[Red]\(&quot;$&quot;#,##0.00\)">
                  <c:v>420.18</c:v>
                </c:pt>
                <c:pt idx="78" formatCode="&quot;$&quot;#,##0.00_);[Red]\(&quot;$&quot;#,##0.00\)">
                  <c:v>421.14</c:v>
                </c:pt>
                <c:pt idx="79" formatCode="&quot;$&quot;#,##0.00_);[Red]\(&quot;$&quot;#,##0.00\)">
                  <c:v>415.64</c:v>
                </c:pt>
                <c:pt idx="80" formatCode="&quot;$&quot;#,##0.00_);[Red]\(&quot;$&quot;#,##0.00\)">
                  <c:v>410.82</c:v>
                </c:pt>
                <c:pt idx="81" formatCode="&quot;$&quot;#,##0.00_);[Red]\(&quot;$&quot;#,##0.00\)">
                  <c:v>402.39</c:v>
                </c:pt>
                <c:pt idx="82" formatCode="&quot;$&quot;#,##0.00_);[Red]\(&quot;$&quot;#,##0.00\)">
                  <c:v>398.37</c:v>
                </c:pt>
                <c:pt idx="83" formatCode="&quot;$&quot;#,##0.00_);[Red]\(&quot;$&quot;#,##0.00\)">
                  <c:v>417.31</c:v>
                </c:pt>
                <c:pt idx="84" formatCode="&quot;$&quot;#,##0.00_);[Red]\(&quot;$&quot;#,##0.00\)">
                  <c:v>380.58</c:v>
                </c:pt>
                <c:pt idx="85" formatCode="&quot;$&quot;#,##0.00_);[Red]\(&quot;$&quot;#,##0.00\)">
                  <c:v>375.83</c:v>
                </c:pt>
                <c:pt idx="86" formatCode="&quot;$&quot;#,##0.00_);[Red]\(&quot;$&quot;#,##0.00\)">
                  <c:v>374.27</c:v>
                </c:pt>
                <c:pt idx="87" formatCode="&quot;$&quot;#,##0.00_);[Red]\(&quot;$&quot;#,##0.00\)">
                  <c:v>371.34</c:v>
                </c:pt>
                <c:pt idx="88" formatCode="&quot;$&quot;#,##0.00_);[Red]\(&quot;$&quot;#,##0.00\)">
                  <c:v>374.7</c:v>
                </c:pt>
                <c:pt idx="89" formatCode="&quot;$&quot;#,##0.00_);[Red]\(&quot;$&quot;#,##0.00\)">
                  <c:v>392.49</c:v>
                </c:pt>
                <c:pt idx="90" formatCode="&quot;$&quot;#,##0.00_);[Red]\(&quot;$&quot;#,##0.00\)">
                  <c:v>402.33</c:v>
                </c:pt>
                <c:pt idx="91" formatCode="&quot;$&quot;#,##0.00_);[Red]\(&quot;$&quot;#,##0.00\)">
                  <c:v>394.27</c:v>
                </c:pt>
                <c:pt idx="92" formatCode="&quot;$&quot;#,##0.00_);[Red]\(&quot;$&quot;#,##0.00\)">
                  <c:v>397.52</c:v>
                </c:pt>
                <c:pt idx="93" formatCode="&quot;$&quot;#,##0.00_);[Red]\(&quot;$&quot;#,##0.00\)">
                  <c:v>384.19</c:v>
                </c:pt>
                <c:pt idx="94" formatCode="&quot;$&quot;#,##0.00_);[Red]\(&quot;$&quot;#,##0.00\)">
                  <c:v>389.75</c:v>
                </c:pt>
                <c:pt idx="95" formatCode="&quot;$&quot;#,##0.00_);[Red]\(&quot;$&quot;#,##0.00\)">
                  <c:v>392.49</c:v>
                </c:pt>
                <c:pt idx="96" formatCode="&quot;$&quot;#,##0.00_);[Red]\(&quot;$&quot;#,##0.00\)">
                  <c:v>386.625</c:v>
                </c:pt>
                <c:pt idx="97" formatCode="&quot;$&quot;#,##0.00_);[Red]\(&quot;$&quot;#,##0.00\)">
                  <c:v>375.3</c:v>
                </c:pt>
                <c:pt idx="98" formatCode="&quot;$&quot;#,##0.00_);[Red]\(&quot;$&quot;#,##0.00\)">
                  <c:v>374.8</c:v>
                </c:pt>
                <c:pt idx="99" formatCode="&quot;$&quot;#,##0.00_);[Red]\(&quot;$&quot;#,##0.00\)">
                  <c:v>367.6</c:v>
                </c:pt>
                <c:pt idx="100" formatCode="&quot;$&quot;#,##0.00_);[Red]\(&quot;$&quot;#,##0.00\)">
                  <c:v>371.11</c:v>
                </c:pt>
                <c:pt idx="101" formatCode="&quot;$&quot;#,##0.00_);[Red]\(&quot;$&quot;#,##0.00\)">
                  <c:v>384.71</c:v>
                </c:pt>
                <c:pt idx="102" formatCode="&quot;$&quot;#,##0.00_);[Red]\(&quot;$&quot;#,##0.00\)">
                  <c:v>381.15</c:v>
                </c:pt>
                <c:pt idx="103" formatCode="&quot;$&quot;#,##0.00_);[Red]\(&quot;$&quot;#,##0.00\)">
                  <c:v>389.99</c:v>
                </c:pt>
                <c:pt idx="104" formatCode="&quot;$&quot;#,##0.00_);[Red]\(&quot;$&quot;#,##0.00\)">
                  <c:v>377.94</c:v>
                </c:pt>
                <c:pt idx="105" formatCode="&quot;$&quot;#,##0.00_);[Red]\(&quot;$&quot;#,##0.00\)">
                  <c:v>383.24</c:v>
                </c:pt>
                <c:pt idx="106" formatCode="&quot;$&quot;#,##0.00_);[Red]\(&quot;$&quot;#,##0.00\)">
                  <c:v>395.01</c:v>
                </c:pt>
                <c:pt idx="107" formatCode="&quot;$&quot;#,##0.00_);[Red]\(&quot;$&quot;#,##0.00\)">
                  <c:v>417.85</c:v>
                </c:pt>
                <c:pt idx="108" formatCode="&quot;$&quot;#,##0.00_);[Red]\(&quot;$&quot;#,##0.00\)">
                  <c:v>408.61</c:v>
                </c:pt>
                <c:pt idx="109" formatCode="&quot;$&quot;#,##0.00_);[Red]\(&quot;$&quot;#,##0.00\)">
                  <c:v>386.21</c:v>
                </c:pt>
                <c:pt idx="110" formatCode="&quot;$&quot;#,##0.00_);[Red]\(&quot;$&quot;#,##0.00\)">
                  <c:v>396.43</c:v>
                </c:pt>
                <c:pt idx="111" formatCode="&quot;$&quot;#,##0.00_);[Red]\(&quot;$&quot;#,##0.00\)">
                  <c:v>489.11</c:v>
                </c:pt>
                <c:pt idx="112" formatCode="&quot;$&quot;#,##0.00_);[Red]\(&quot;$&quot;#,##0.00\)">
                  <c:v>482.56</c:v>
                </c:pt>
                <c:pt idx="113" formatCode="&quot;$&quot;#,##0.00_);[Red]\(&quot;$&quot;#,##0.00\)">
                  <c:v>482.29</c:v>
                </c:pt>
                <c:pt idx="114" formatCode="&quot;$&quot;#,##0.00_);[Red]\(&quot;$&quot;#,##0.00\)">
                  <c:v>490.51</c:v>
                </c:pt>
                <c:pt idx="115" formatCode="&quot;$&quot;#,##0.00_);[Red]\(&quot;$&quot;#,##0.00\)">
                  <c:v>485.21</c:v>
                </c:pt>
                <c:pt idx="116" formatCode="&quot;$&quot;#,##0.00_);[Red]\(&quot;$&quot;#,##0.00\)">
                  <c:v>482.42</c:v>
                </c:pt>
                <c:pt idx="117" formatCode="&quot;$&quot;#,##0.00_);[Red]\(&quot;$&quot;#,##0.00\)">
                  <c:v>483.74</c:v>
                </c:pt>
                <c:pt idx="118" formatCode="&quot;$&quot;#,##0.00_);[Red]\(&quot;$&quot;#,##0.00\)">
                  <c:v>509.42</c:v>
                </c:pt>
                <c:pt idx="119" formatCode="&quot;$&quot;#,##0.00_);[Red]\(&quot;$&quot;#,##0.00\)">
                  <c:v>480.64</c:v>
                </c:pt>
                <c:pt idx="120" formatCode="&quot;$&quot;#,##0.00_);[Red]\(&quot;$&quot;#,##0.00\)">
                  <c:v>455.02</c:v>
                </c:pt>
                <c:pt idx="121" formatCode="&quot;$&quot;#,##0.00_);[Red]\(&quot;$&quot;#,##0.00\)">
                  <c:v>450.68</c:v>
                </c:pt>
                <c:pt idx="122" formatCode="&quot;$&quot;#,##0.00_);[Red]\(&quot;$&quot;#,##0.00\)">
                  <c:v>440.47</c:v>
                </c:pt>
                <c:pt idx="123" formatCode="&quot;$&quot;#,##0.00_);[Red]\(&quot;$&quot;#,##0.00\)">
                  <c:v>438.51</c:v>
                </c:pt>
                <c:pt idx="124" formatCode="&quot;$&quot;#,##0.00_);[Red]\(&quot;$&quot;#,##0.00\)">
                  <c:v>459.6</c:v>
                </c:pt>
                <c:pt idx="125" formatCode="&quot;$&quot;#,##0.00_);[Red]\(&quot;$&quot;#,##0.00\)">
                  <c:v>464.23</c:v>
                </c:pt>
                <c:pt idx="126" formatCode="&quot;$&quot;#,##0.00_);[Red]\(&quot;$&quot;#,##0.00\)">
                  <c:v>470.22</c:v>
                </c:pt>
                <c:pt idx="127" formatCode="&quot;$&quot;#,##0.00_);[Red]\(&quot;$&quot;#,##0.00\)">
                  <c:v>466.37</c:v>
                </c:pt>
                <c:pt idx="128" formatCode="&quot;$&quot;#,##0.00_);[Red]\(&quot;$&quot;#,##0.00\)">
                  <c:v>471.47</c:v>
                </c:pt>
                <c:pt idx="129" formatCode="&quot;$&quot;#,##0.00_);[Red]\(&quot;$&quot;#,##0.00\)">
                  <c:v>474.29</c:v>
                </c:pt>
                <c:pt idx="130" formatCode="&quot;$&quot;#,##0.00_);[Red]\(&quot;$&quot;#,##0.00\)">
                  <c:v>458.7</c:v>
                </c:pt>
                <c:pt idx="131" formatCode="&quot;$&quot;#,##0.00_);[Red]\(&quot;$&quot;#,##0.00\)">
                  <c:v>464.65</c:v>
                </c:pt>
                <c:pt idx="132" formatCode="&quot;$&quot;#,##0.00_);[Red]\(&quot;$&quot;#,##0.00\)">
                  <c:v>466.94</c:v>
                </c:pt>
                <c:pt idx="133" formatCode="&quot;$&quot;#,##0.00_);[Red]\(&quot;$&quot;#,##0.00\)">
                  <c:v>467.05</c:v>
                </c:pt>
                <c:pt idx="134" formatCode="&quot;$&quot;#,##0.00_);[Red]\(&quot;$&quot;#,##0.00\)">
                  <c:v>460.61</c:v>
                </c:pt>
                <c:pt idx="135" formatCode="&quot;$&quot;#,##0.00_);[Red]\(&quot;$&quot;#,##0.00\)">
                  <c:v>460.24</c:v>
                </c:pt>
                <c:pt idx="136" formatCode="&quot;$&quot;#,##0.00_);[Red]\(&quot;$&quot;#,##0.00\)">
                  <c:v>454</c:v>
                </c:pt>
                <c:pt idx="137" formatCode="&quot;$&quot;#,##0.00_);[Red]\(&quot;$&quot;#,##0.00\)">
                  <c:v>447.34</c:v>
                </c:pt>
                <c:pt idx="138" formatCode="&quot;$&quot;#,##0.00_);[Red]\(&quot;$&quot;#,##0.00\)">
                  <c:v>452.74</c:v>
                </c:pt>
                <c:pt idx="139" formatCode="&quot;$&quot;#,##0.00_);[Red]\(&quot;$&quot;#,##0.00\)">
                  <c:v>455.9</c:v>
                </c:pt>
                <c:pt idx="140" formatCode="&quot;$&quot;#,##0.00_);[Red]\(&quot;$&quot;#,##0.00\)">
                  <c:v>462.01</c:v>
                </c:pt>
                <c:pt idx="141" formatCode="&quot;$&quot;#,##0.00_);[Red]\(&quot;$&quot;#,##0.00\)">
                  <c:v>454.11</c:v>
                </c:pt>
                <c:pt idx="142" formatCode="&quot;$&quot;#,##0.00_);[Red]\(&quot;$&quot;#,##0.00\)">
                  <c:v>449.01</c:v>
                </c:pt>
                <c:pt idx="143" formatCode="&quot;$&quot;#,##0.00_);[Red]\(&quot;$&quot;#,##0.00\)">
                  <c:v>445.7</c:v>
                </c:pt>
                <c:pt idx="144" formatCode="&quot;$&quot;#,##0.00_);[Red]\(&quot;$&quot;#,##0.00\)">
                  <c:v>452.61</c:v>
                </c:pt>
                <c:pt idx="145" formatCode="&quot;$&quot;#,##0.00_);[Red]\(&quot;$&quot;#,##0.00\)">
                  <c:v>445.4</c:v>
                </c:pt>
                <c:pt idx="146" formatCode="&quot;$&quot;#,##0.00_);[Red]\(&quot;$&quot;#,##0.00\)">
                  <c:v>429.33</c:v>
                </c:pt>
                <c:pt idx="147" formatCode="&quot;$&quot;#,##0.00_);[Red]\(&quot;$&quot;#,##0.00\)">
                  <c:v>402.5</c:v>
                </c:pt>
                <c:pt idx="148" formatCode="&quot;$&quot;#,##0.00_);[Red]\(&quot;$&quot;#,##0.00\)">
                  <c:v>409.48</c:v>
                </c:pt>
                <c:pt idx="149" formatCode="&quot;$&quot;#,##0.00_);[Red]\(&quot;$&quot;#,##0.00\)">
                  <c:v>403.74</c:v>
                </c:pt>
                <c:pt idx="150" formatCode="&quot;$&quot;#,##0.00_);[Red]\(&quot;$&quot;#,##0.00\)">
                  <c:v>396.95</c:v>
                </c:pt>
                <c:pt idx="151" formatCode="&quot;$&quot;#,##0.00_);[Red]\(&quot;$&quot;#,##0.00\)">
                  <c:v>396.29</c:v>
                </c:pt>
                <c:pt idx="152" formatCode="&quot;$&quot;#,##0.00_);[Red]\(&quot;$&quot;#,##0.00\)">
                  <c:v>400</c:v>
                </c:pt>
                <c:pt idx="153" formatCode="&quot;$&quot;#,##0.00_);[Red]\(&quot;$&quot;#,##0.00\)">
                  <c:v>380.25</c:v>
                </c:pt>
                <c:pt idx="154" formatCode="&quot;$&quot;#,##0.00_);[Red]\(&quot;$&quot;#,##0.00\)">
                  <c:v>377.26</c:v>
                </c:pt>
                <c:pt idx="155" formatCode="&quot;$&quot;#,##0.00_);[Red]\(&quot;$&quot;#,##0.00\)">
                  <c:v>379.52</c:v>
                </c:pt>
                <c:pt idx="156" formatCode="&quot;$&quot;#,##0.00_);[Red]\(&quot;$&quot;#,##0.00\)">
                  <c:v>398.28</c:v>
                </c:pt>
                <c:pt idx="157" formatCode="&quot;$&quot;#,##0.00_);[Red]\(&quot;$&quot;#,##0.00\)">
                  <c:v>399.14</c:v>
                </c:pt>
                <c:pt idx="158" formatCode="&quot;$&quot;#,##0.00_);[Red]\(&quot;$&quot;#,##0.00\)">
                  <c:v>407.81</c:v>
                </c:pt>
                <c:pt idx="159" formatCode="&quot;$&quot;#,##0.00_);[Red]\(&quot;$&quot;#,##0.00\)">
                  <c:v>409.88</c:v>
                </c:pt>
                <c:pt idx="160" formatCode="&quot;$&quot;#,##0.00_);[Red]\(&quot;$&quot;#,##0.00\)">
                  <c:v>405.21</c:v>
                </c:pt>
                <c:pt idx="161" formatCode="&quot;$&quot;#,##0.00_);[Red]\(&quot;$&quot;#,##0.00\)">
                  <c:v>403.02</c:v>
                </c:pt>
                <c:pt idx="162" formatCode="&quot;$&quot;#,##0.00_);[Red]\(&quot;$&quot;#,##0.00\)">
                  <c:v>410.65</c:v>
                </c:pt>
                <c:pt idx="163" formatCode="&quot;$&quot;#,##0.00_);[Red]\(&quot;$&quot;#,##0.00\)">
                  <c:v>410.5</c:v>
                </c:pt>
                <c:pt idx="164" formatCode="&quot;$&quot;#,##0.00_);[Red]\(&quot;$&quot;#,##0.00\)">
                  <c:v>413.31</c:v>
                </c:pt>
                <c:pt idx="165" formatCode="&quot;$&quot;#,##0.00_);[Red]\(&quot;$&quot;#,##0.00\)">
                  <c:v>406.46</c:v>
                </c:pt>
                <c:pt idx="166" formatCode="&quot;$&quot;#,##0.00_);[Red]\(&quot;$&quot;#,##0.00\)">
                  <c:v>393.26</c:v>
                </c:pt>
                <c:pt idx="167" formatCode="&quot;$&quot;#,##0.00_);[Red]\(&quot;$&quot;#,##0.00\)">
                  <c:v>400.08</c:v>
                </c:pt>
                <c:pt idx="168" formatCode="&quot;$&quot;#,##0.00_);[Red]\(&quot;$&quot;#,##0.00\)">
                  <c:v>405.95</c:v>
                </c:pt>
                <c:pt idx="169" formatCode="&quot;$&quot;#,##0.00_);[Red]\(&quot;$&quot;#,##0.00\)">
                  <c:v>396</c:v>
                </c:pt>
                <c:pt idx="170" formatCode="&quot;$&quot;#,##0.00_);[Red]\(&quot;$&quot;#,##0.00\)">
                  <c:v>396.83</c:v>
                </c:pt>
                <c:pt idx="171" formatCode="&quot;$&quot;#,##0.00_);[Red]\(&quot;$&quot;#,##0.00\)">
                  <c:v>416.1</c:v>
                </c:pt>
                <c:pt idx="172" formatCode="&quot;$&quot;#,##0.00_);[Red]\(&quot;$&quot;#,##0.00\)">
                  <c:v>428.81</c:v>
                </c:pt>
                <c:pt idx="173" formatCode="&quot;$&quot;#,##0.00_);[Red]\(&quot;$&quot;#,##0.00\)">
                  <c:v>543.02</c:v>
                </c:pt>
                <c:pt idx="174" formatCode="&quot;$&quot;#,##0.00_);[Red]\(&quot;$&quot;#,##0.00\)">
                  <c:v>527.83000000000004</c:v>
                </c:pt>
                <c:pt idx="175" formatCode="&quot;$&quot;#,##0.00_);[Red]\(&quot;$&quot;#,##0.00\)">
                  <c:v>546.28</c:v>
                </c:pt>
                <c:pt idx="176" formatCode="&quot;$&quot;#,##0.00_);[Red]\(&quot;$&quot;#,##0.00\)">
                  <c:v>522.62</c:v>
                </c:pt>
                <c:pt idx="177" formatCode="&quot;$&quot;#,##0.00_);[Red]\(&quot;$&quot;#,##0.00\)">
                  <c:v>517.51</c:v>
                </c:pt>
                <c:pt idx="178" formatCode="&quot;$&quot;#,##0.00_);[Red]\(&quot;$&quot;#,##0.00\)">
                  <c:v>522.53</c:v>
                </c:pt>
                <c:pt idx="179" formatCode="&quot;$&quot;#,##0.00_);[Red]\(&quot;$&quot;#,##0.00\)">
                  <c:v>541.29</c:v>
                </c:pt>
                <c:pt idx="180" formatCode="&quot;$&quot;#,##0.00_);[Red]\(&quot;$&quot;#,##0.00\)">
                  <c:v>556.27</c:v>
                </c:pt>
                <c:pt idx="181" formatCode="&quot;$&quot;#,##0.00_);[Red]\(&quot;$&quot;#,##0.00\)">
                  <c:v>576.97</c:v>
                </c:pt>
                <c:pt idx="182" formatCode="&quot;$&quot;#,##0.00_);[Red]\(&quot;$&quot;#,##0.00\)">
                  <c:v>577.72</c:v>
                </c:pt>
                <c:pt idx="183" formatCode="&quot;$&quot;#,##0.00_);[Red]\(&quot;$&quot;#,##0.00\)">
                  <c:v>587.91</c:v>
                </c:pt>
                <c:pt idx="184" formatCode="&quot;$&quot;#,##0.00_);[Red]\(&quot;$&quot;#,##0.00\)">
                  <c:v>581</c:v>
                </c:pt>
                <c:pt idx="185" formatCode="&quot;$&quot;#,##0.00_);[Red]\(&quot;$&quot;#,##0.00\)">
                  <c:v>591.72</c:v>
                </c:pt>
                <c:pt idx="186" formatCode="&quot;$&quot;#,##0.00_);[Red]\(&quot;$&quot;#,##0.00\)">
                  <c:v>598</c:v>
                </c:pt>
                <c:pt idx="187" formatCode="&quot;$&quot;#,##0.00_);[Red]\(&quot;$&quot;#,##0.00\)">
                  <c:v>593</c:v>
                </c:pt>
                <c:pt idx="188" formatCode="&quot;$&quot;#,##0.00_);[Red]\(&quot;$&quot;#,##0.00\)">
                  <c:v>571.66</c:v>
                </c:pt>
                <c:pt idx="189" formatCode="&quot;$&quot;#,##0.00_);[Red]\(&quot;$&quot;#,##0.00\)">
                  <c:v>578.37</c:v>
                </c:pt>
                <c:pt idx="190" formatCode="&quot;$&quot;#,##0.00_);[Red]\(&quot;$&quot;#,##0.00\)">
                  <c:v>576.86</c:v>
                </c:pt>
                <c:pt idx="191" formatCode="&quot;$&quot;#,##0.00_);[Red]\(&quot;$&quot;#,##0.00\)">
                  <c:v>585.77</c:v>
                </c:pt>
                <c:pt idx="192" formatCode="&quot;$&quot;#,##0.00_);[Red]\(&quot;$&quot;#,##0.00\)">
                  <c:v>585</c:v>
                </c:pt>
                <c:pt idx="193" formatCode="&quot;$&quot;#,##0.00_);[Red]\(&quot;$&quot;#,##0.00\)">
                  <c:v>580.46</c:v>
                </c:pt>
                <c:pt idx="194" formatCode="&quot;$&quot;#,##0.00_);[Red]\(&quot;$&quot;#,##0.00\)">
                  <c:v>587.48</c:v>
                </c:pt>
                <c:pt idx="195" formatCode="&quot;$&quot;#,##0.00_);[Red]\(&quot;$&quot;#,##0.00\)">
                  <c:v>586.45000000000005</c:v>
                </c:pt>
                <c:pt idx="196" formatCode="&quot;$&quot;#,##0.00_);[Red]\(&quot;$&quot;#,##0.00\)">
                  <c:v>585.92999999999995</c:v>
                </c:pt>
                <c:pt idx="197" formatCode="&quot;$&quot;#,##0.00_);[Red]\(&quot;$&quot;#,##0.00\)">
                  <c:v>585.52</c:v>
                </c:pt>
                <c:pt idx="198" formatCode="&quot;$&quot;#,##0.00_);[Red]\(&quot;$&quot;#,##0.00\)">
                  <c:v>568</c:v>
                </c:pt>
                <c:pt idx="199" formatCode="&quot;$&quot;#,##0.00_);[Red]\(&quot;$&quot;#,##0.00\)">
                  <c:v>560</c:v>
                </c:pt>
                <c:pt idx="200" formatCode="&quot;$&quot;#,##0.00_);[Red]\(&quot;$&quot;#,##0.00\)">
                  <c:v>560.75</c:v>
                </c:pt>
                <c:pt idx="201" formatCode="&quot;$&quot;#,##0.00_);[Red]\(&quot;$&quot;#,##0.00\)">
                  <c:v>578.08000000000004</c:v>
                </c:pt>
                <c:pt idx="202" formatCode="&quot;$&quot;#,##0.00_);[Red]\(&quot;$&quot;#,##0.00\)">
                  <c:v>588.70000000000005</c:v>
                </c:pt>
                <c:pt idx="203" formatCode="&quot;$&quot;#,##0.00_);[Red]\(&quot;$&quot;#,##0.00\)">
                  <c:v>592.80999999999995</c:v>
                </c:pt>
                <c:pt idx="204" formatCode="&quot;$&quot;#,##0.00_);[Red]\(&quot;$&quot;#,##0.00\)">
                  <c:v>596.11</c:v>
                </c:pt>
                <c:pt idx="205" formatCode="&quot;$&quot;#,##0.00_);[Red]\(&quot;$&quot;#,##0.00\)">
                  <c:v>579.19000000000005</c:v>
                </c:pt>
                <c:pt idx="206" formatCode="&quot;$&quot;#,##0.00_);[Red]\(&quot;$&quot;#,##0.00\)">
                  <c:v>583.66999999999996</c:v>
                </c:pt>
                <c:pt idx="207" formatCode="&quot;$&quot;#,##0.00_);[Red]\(&quot;$&quot;#,##0.00\)">
                  <c:v>601.36</c:v>
                </c:pt>
                <c:pt idx="208" formatCode="&quot;$&quot;#,##0.00_);[Red]\(&quot;$&quot;#,##0.00\)">
                  <c:v>605.91999999999996</c:v>
                </c:pt>
                <c:pt idx="209" formatCode="&quot;$&quot;#,##0.00_);[Red]\(&quot;$&quot;#,##0.00\)">
                  <c:v>604.77</c:v>
                </c:pt>
                <c:pt idx="210" formatCode="&quot;$&quot;#,##0.00_);[Red]\(&quot;$&quot;#,##0.00\)">
                  <c:v>584.01</c:v>
                </c:pt>
                <c:pt idx="211" formatCode="&quot;$&quot;#,##0.00_);[Red]\(&quot;$&quot;#,##0.00\)">
                  <c:v>579.55999999999995</c:v>
                </c:pt>
                <c:pt idx="212" formatCode="&quot;$&quot;#,##0.00_);[Red]\(&quot;$&quot;#,##0.00\)">
                  <c:v>575.4</c:v>
                </c:pt>
                <c:pt idx="213" formatCode="&quot;$&quot;#,##0.00_);[Red]\(&quot;$&quot;#,##0.00\)">
                  <c:v>562.59</c:v>
                </c:pt>
                <c:pt idx="214" formatCode="&quot;$&quot;#,##0.00_);[Red]\(&quot;$&quot;#,##0.00\)">
                  <c:v>570.4</c:v>
                </c:pt>
                <c:pt idx="215" formatCode="&quot;$&quot;#,##0.00_);[Red]\(&quot;$&quot;#,##0.00\)">
                  <c:v>574.36</c:v>
                </c:pt>
                <c:pt idx="216" formatCode="&quot;$&quot;#,##0.00_);[Red]\(&quot;$&quot;#,##0.00\)">
                  <c:v>563.59</c:v>
                </c:pt>
                <c:pt idx="217" formatCode="&quot;$&quot;#,##0.00_);[Red]\(&quot;$&quot;#,##0.00\)">
                  <c:v>559.14</c:v>
                </c:pt>
                <c:pt idx="218" formatCode="&quot;$&quot;#,##0.00_);[Red]\(&quot;$&quot;#,##0.00\)">
                  <c:v>547.33000000000004</c:v>
                </c:pt>
                <c:pt idx="219" formatCode="&quot;$&quot;#,##0.00_);[Red]\(&quot;$&quot;#,##0.00\)">
                  <c:v>529.41</c:v>
                </c:pt>
                <c:pt idx="220" formatCode="&quot;$&quot;#,##0.00_);[Red]\(&quot;$&quot;#,##0.00\)">
                  <c:v>540.73</c:v>
                </c:pt>
                <c:pt idx="221" formatCode="&quot;$&quot;#,##0.00_);[Red]\(&quot;$&quot;#,##0.00\)">
                  <c:v>552.53</c:v>
                </c:pt>
                <c:pt idx="222" formatCode="&quot;$&quot;#,##0.00_);[Red]\(&quot;$&quot;#,##0.00\)">
                  <c:v>562.47</c:v>
                </c:pt>
                <c:pt idx="223" formatCode="&quot;$&quot;#,##0.00_);[Red]\(&quot;$&quot;#,##0.00\)">
                  <c:v>555</c:v>
                </c:pt>
                <c:pt idx="224" formatCode="&quot;$&quot;#,##0.00_);[Red]\(&quot;$&quot;#,##0.00\)">
                  <c:v>560.4</c:v>
                </c:pt>
                <c:pt idx="225" formatCode="&quot;$&quot;#,##0.00_);[Red]\(&quot;$&quot;#,##0.00\)">
                  <c:v>565.26499999999999</c:v>
                </c:pt>
                <c:pt idx="226" formatCode="&quot;$&quot;#,##0.00_);[Red]\(&quot;$&quot;#,##0.00\)">
                  <c:v>553.1</c:v>
                </c:pt>
                <c:pt idx="227" formatCode="&quot;$&quot;#,##0.00_);[Red]\(&quot;$&quot;#,##0.00\)">
                  <c:v>536.02</c:v>
                </c:pt>
                <c:pt idx="228" formatCode="&quot;$&quot;#,##0.00_);[Red]\(&quot;$&quot;#,##0.00\)">
                  <c:v>530.76</c:v>
                </c:pt>
                <c:pt idx="229" formatCode="&quot;$&quot;#,##0.00_);[Red]\(&quot;$&quot;#,##0.00\)">
                  <c:v>531.75</c:v>
                </c:pt>
                <c:pt idx="230" formatCode="&quot;$&quot;#,##0.00_);[Red]\(&quot;$&quot;#,##0.00\)">
                  <c:v>534.51</c:v>
                </c:pt>
                <c:pt idx="231" formatCode="&quot;$&quot;#,##0.00_);[Red]\(&quot;$&quot;#,##0.00\)">
                  <c:v>467.45</c:v>
                </c:pt>
                <c:pt idx="232" formatCode="&quot;$&quot;#,##0.00_);[Red]\(&quot;$&quot;#,##0.00\)">
                  <c:v>450.58</c:v>
                </c:pt>
                <c:pt idx="233" formatCode="&quot;$&quot;#,##0.00_);[Red]\(&quot;$&quot;#,##0.00\)">
                  <c:v>453.03</c:v>
                </c:pt>
                <c:pt idx="234" formatCode="&quot;$&quot;#,##0.00_);[Red]\(&quot;$&quot;#,##0.00\)">
                  <c:v>459.18</c:v>
                </c:pt>
                <c:pt idx="235" formatCode="&quot;$&quot;#,##0.00_);[Red]\(&quot;$&quot;#,##0.00\)">
                  <c:v>450.15</c:v>
                </c:pt>
                <c:pt idx="236" formatCode="&quot;$&quot;#,##0.00_);[Red]\(&quot;$&quot;#,##0.00\)">
                  <c:v>452.52</c:v>
                </c:pt>
                <c:pt idx="237" formatCode="&quot;$&quot;#,##0.00_);[Red]\(&quot;$&quot;#,##0.00\)">
                  <c:v>452.37</c:v>
                </c:pt>
                <c:pt idx="238" formatCode="&quot;$&quot;#,##0.00_);[Red]\(&quot;$&quot;#,##0.00\)">
                  <c:v>460.76499999999999</c:v>
                </c:pt>
                <c:pt idx="239" formatCode="&quot;$&quot;#,##0.00_);[Red]\(&quot;$&quot;#,##0.00\)">
                  <c:v>468.91</c:v>
                </c:pt>
                <c:pt idx="240" formatCode="&quot;$&quot;#,##0.00_);[Red]\(&quot;$&quot;#,##0.00\)">
                  <c:v>450.82</c:v>
                </c:pt>
                <c:pt idx="241" formatCode="&quot;$&quot;#,##0.00_);[Red]\(&quot;$&quot;#,##0.00\)">
                  <c:v>441.53</c:v>
                </c:pt>
                <c:pt idx="242" formatCode="&quot;$&quot;#,##0.00_);[Red]\(&quot;$&quot;#,##0.00\)">
                  <c:v>431.74</c:v>
                </c:pt>
                <c:pt idx="243" formatCode="&quot;$&quot;#,##0.00_);[Red]\(&quot;$&quot;#,##0.00\)">
                  <c:v>437.99</c:v>
                </c:pt>
                <c:pt idx="244" formatCode="&quot;$&quot;#,##0.00_);[Red]\(&quot;$&quot;#,##0.00\)">
                  <c:v>439.86</c:v>
                </c:pt>
                <c:pt idx="245" formatCode="&quot;$&quot;#,##0.00_);[Red]\(&quot;$&quot;#,##0.00\)">
                  <c:v>433.65</c:v>
                </c:pt>
                <c:pt idx="246" formatCode="&quot;$&quot;#,##0.00_);[Red]\(&quot;$&quot;#,##0.00\)">
                  <c:v>435.98</c:v>
                </c:pt>
                <c:pt idx="247" formatCode="&quot;$&quot;#,##0.00_);[Red]\(&quot;$&quot;#,##0.00\)">
                  <c:v>430.07</c:v>
                </c:pt>
                <c:pt idx="248" formatCode="&quot;$&quot;#,##0.00_);[Red]\(&quot;$&quot;#,##0.00\)">
                  <c:v>430.82</c:v>
                </c:pt>
                <c:pt idx="249" formatCode="&quot;$&quot;#,##0.00_);[Red]\(&quot;$&quot;#,##0.00\)">
                  <c:v>419.14</c:v>
                </c:pt>
                <c:pt idx="250" formatCode="&quot;$&quot;#,##0.00_);[Red]\(&quot;$&quot;#,##0.00\)">
                  <c:v>421.22</c:v>
                </c:pt>
                <c:pt idx="251" formatCode="&quot;$&quot;#,##0.00_);[Red]\(&quot;$&quot;#,##0.00\)">
                  <c:v>418.79</c:v>
                </c:pt>
                <c:pt idx="252" formatCode="&quot;$&quot;#,##0.00_);[Red]\(&quot;$&quot;#,##0.00\)">
                  <c:v>427.5</c:v>
                </c:pt>
                <c:pt idx="253" formatCode="&quot;$&quot;#,##0.00_);[Red]\(&quot;$&quot;#,##0.00\)">
                  <c:v>438.22</c:v>
                </c:pt>
              </c:numCache>
            </c:numRef>
          </c:val>
          <c:smooth val="0"/>
          <c:extLst>
            <c:ext xmlns:c16="http://schemas.microsoft.com/office/drawing/2014/chart" uri="{C3380CC4-5D6E-409C-BE32-E72D297353CC}">
              <c16:uniqueId val="{00000005-D22B-460A-BAE6-BE7FCC06C774}"/>
            </c:ext>
          </c:extLst>
        </c:ser>
        <c:ser>
          <c:idx val="2"/>
          <c:order val="2"/>
          <c:tx>
            <c:strRef>
              <c:f>Data!$P$41</c:f>
              <c:strCache>
                <c:ptCount val="1"/>
                <c:pt idx="0">
                  <c:v>Base Case</c:v>
                </c:pt>
              </c:strCache>
            </c:strRef>
          </c:tx>
          <c:spPr>
            <a:ln w="28575" cap="rnd">
              <a:solidFill>
                <a:srgbClr val="7A0019"/>
              </a:solidFill>
              <a:round/>
            </a:ln>
            <a:effectLst/>
          </c:spPr>
          <c:marker>
            <c:symbol val="none"/>
          </c:marker>
          <c:dLbls>
            <c:dLbl>
              <c:idx val="253"/>
              <c:layout>
                <c:manualLayout>
                  <c:x val="-5.3151094631548344E-2"/>
                  <c:y val="0.119771042590560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22B-460A-BAE6-BE7FCC06C7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Data!$M$42:$M$296</c15:sqref>
                  </c15:fullRef>
                </c:ext>
              </c:extLst>
              <c:f>(Data!$M$42,Data!$M$44:$M$296)</c:f>
              <c:numCache>
                <c:formatCode>m/d/yyyy</c:formatCode>
                <c:ptCount val="254"/>
                <c:pt idx="0">
                  <c:v>46022</c:v>
                </c:pt>
                <c:pt idx="1">
                  <c:v>45657</c:v>
                </c:pt>
                <c:pt idx="2">
                  <c:v>45656</c:v>
                </c:pt>
                <c:pt idx="3">
                  <c:v>45653</c:v>
                </c:pt>
                <c:pt idx="4">
                  <c:v>45652</c:v>
                </c:pt>
                <c:pt idx="5">
                  <c:v>45650</c:v>
                </c:pt>
                <c:pt idx="6">
                  <c:v>45649</c:v>
                </c:pt>
                <c:pt idx="7">
                  <c:v>45646</c:v>
                </c:pt>
                <c:pt idx="8">
                  <c:v>45645</c:v>
                </c:pt>
                <c:pt idx="9">
                  <c:v>45644</c:v>
                </c:pt>
                <c:pt idx="10">
                  <c:v>45643</c:v>
                </c:pt>
                <c:pt idx="11">
                  <c:v>45642</c:v>
                </c:pt>
                <c:pt idx="12">
                  <c:v>45639</c:v>
                </c:pt>
                <c:pt idx="13">
                  <c:v>45638</c:v>
                </c:pt>
                <c:pt idx="14">
                  <c:v>45637</c:v>
                </c:pt>
                <c:pt idx="15">
                  <c:v>45636</c:v>
                </c:pt>
                <c:pt idx="16">
                  <c:v>45635</c:v>
                </c:pt>
                <c:pt idx="17">
                  <c:v>45632</c:v>
                </c:pt>
                <c:pt idx="18">
                  <c:v>45631</c:v>
                </c:pt>
                <c:pt idx="19">
                  <c:v>45630</c:v>
                </c:pt>
                <c:pt idx="20">
                  <c:v>45629</c:v>
                </c:pt>
                <c:pt idx="21">
                  <c:v>45628</c:v>
                </c:pt>
                <c:pt idx="22">
                  <c:v>45625</c:v>
                </c:pt>
                <c:pt idx="23">
                  <c:v>45623</c:v>
                </c:pt>
                <c:pt idx="24">
                  <c:v>45622</c:v>
                </c:pt>
                <c:pt idx="25">
                  <c:v>45621</c:v>
                </c:pt>
                <c:pt idx="26">
                  <c:v>45618</c:v>
                </c:pt>
                <c:pt idx="27">
                  <c:v>45617</c:v>
                </c:pt>
                <c:pt idx="28">
                  <c:v>45616</c:v>
                </c:pt>
                <c:pt idx="29">
                  <c:v>45615</c:v>
                </c:pt>
                <c:pt idx="30">
                  <c:v>45614</c:v>
                </c:pt>
                <c:pt idx="31">
                  <c:v>45611</c:v>
                </c:pt>
                <c:pt idx="32">
                  <c:v>45610</c:v>
                </c:pt>
                <c:pt idx="33">
                  <c:v>45609</c:v>
                </c:pt>
                <c:pt idx="34">
                  <c:v>45608</c:v>
                </c:pt>
                <c:pt idx="35">
                  <c:v>45607</c:v>
                </c:pt>
                <c:pt idx="36">
                  <c:v>45604</c:v>
                </c:pt>
                <c:pt idx="37">
                  <c:v>45603</c:v>
                </c:pt>
                <c:pt idx="38">
                  <c:v>45602</c:v>
                </c:pt>
                <c:pt idx="39">
                  <c:v>45601</c:v>
                </c:pt>
                <c:pt idx="40">
                  <c:v>45600</c:v>
                </c:pt>
                <c:pt idx="41">
                  <c:v>45597</c:v>
                </c:pt>
                <c:pt idx="42">
                  <c:v>45596</c:v>
                </c:pt>
                <c:pt idx="43">
                  <c:v>45595</c:v>
                </c:pt>
                <c:pt idx="44">
                  <c:v>45594</c:v>
                </c:pt>
                <c:pt idx="45">
                  <c:v>45593</c:v>
                </c:pt>
                <c:pt idx="46">
                  <c:v>45590</c:v>
                </c:pt>
                <c:pt idx="47">
                  <c:v>45589</c:v>
                </c:pt>
                <c:pt idx="48">
                  <c:v>45588</c:v>
                </c:pt>
                <c:pt idx="49">
                  <c:v>45587</c:v>
                </c:pt>
                <c:pt idx="50">
                  <c:v>45586</c:v>
                </c:pt>
                <c:pt idx="51">
                  <c:v>45583</c:v>
                </c:pt>
                <c:pt idx="52">
                  <c:v>45582</c:v>
                </c:pt>
                <c:pt idx="53">
                  <c:v>45581</c:v>
                </c:pt>
                <c:pt idx="54">
                  <c:v>45580</c:v>
                </c:pt>
                <c:pt idx="55">
                  <c:v>45579</c:v>
                </c:pt>
                <c:pt idx="56">
                  <c:v>45576</c:v>
                </c:pt>
                <c:pt idx="57">
                  <c:v>45575</c:v>
                </c:pt>
                <c:pt idx="58">
                  <c:v>45574</c:v>
                </c:pt>
                <c:pt idx="59">
                  <c:v>45573</c:v>
                </c:pt>
                <c:pt idx="60">
                  <c:v>45572</c:v>
                </c:pt>
                <c:pt idx="61">
                  <c:v>45569</c:v>
                </c:pt>
                <c:pt idx="62">
                  <c:v>45568</c:v>
                </c:pt>
                <c:pt idx="63">
                  <c:v>45567</c:v>
                </c:pt>
                <c:pt idx="64">
                  <c:v>45566</c:v>
                </c:pt>
                <c:pt idx="65">
                  <c:v>45565</c:v>
                </c:pt>
                <c:pt idx="66">
                  <c:v>45562</c:v>
                </c:pt>
                <c:pt idx="67">
                  <c:v>45561</c:v>
                </c:pt>
                <c:pt idx="68">
                  <c:v>45560</c:v>
                </c:pt>
                <c:pt idx="69">
                  <c:v>45559</c:v>
                </c:pt>
                <c:pt idx="70">
                  <c:v>45558</c:v>
                </c:pt>
                <c:pt idx="71">
                  <c:v>45555</c:v>
                </c:pt>
                <c:pt idx="72">
                  <c:v>45554</c:v>
                </c:pt>
                <c:pt idx="73">
                  <c:v>45553</c:v>
                </c:pt>
                <c:pt idx="74">
                  <c:v>45552</c:v>
                </c:pt>
                <c:pt idx="75">
                  <c:v>45551</c:v>
                </c:pt>
                <c:pt idx="76">
                  <c:v>45548</c:v>
                </c:pt>
                <c:pt idx="77">
                  <c:v>45547</c:v>
                </c:pt>
                <c:pt idx="78">
                  <c:v>45546</c:v>
                </c:pt>
                <c:pt idx="79">
                  <c:v>45545</c:v>
                </c:pt>
                <c:pt idx="80">
                  <c:v>45544</c:v>
                </c:pt>
                <c:pt idx="81">
                  <c:v>45541</c:v>
                </c:pt>
                <c:pt idx="82">
                  <c:v>45540</c:v>
                </c:pt>
                <c:pt idx="83">
                  <c:v>45539</c:v>
                </c:pt>
                <c:pt idx="84">
                  <c:v>45538</c:v>
                </c:pt>
                <c:pt idx="85">
                  <c:v>45534</c:v>
                </c:pt>
                <c:pt idx="86">
                  <c:v>45533</c:v>
                </c:pt>
                <c:pt idx="87">
                  <c:v>45532</c:v>
                </c:pt>
                <c:pt idx="88">
                  <c:v>45531</c:v>
                </c:pt>
                <c:pt idx="89">
                  <c:v>45530</c:v>
                </c:pt>
                <c:pt idx="90">
                  <c:v>45527</c:v>
                </c:pt>
                <c:pt idx="91">
                  <c:v>45526</c:v>
                </c:pt>
                <c:pt idx="92">
                  <c:v>45525</c:v>
                </c:pt>
                <c:pt idx="93">
                  <c:v>45524</c:v>
                </c:pt>
                <c:pt idx="94">
                  <c:v>45523</c:v>
                </c:pt>
                <c:pt idx="95">
                  <c:v>45520</c:v>
                </c:pt>
                <c:pt idx="96">
                  <c:v>45519</c:v>
                </c:pt>
                <c:pt idx="97">
                  <c:v>45518</c:v>
                </c:pt>
                <c:pt idx="98">
                  <c:v>45517</c:v>
                </c:pt>
                <c:pt idx="99">
                  <c:v>45516</c:v>
                </c:pt>
                <c:pt idx="100">
                  <c:v>45513</c:v>
                </c:pt>
                <c:pt idx="101">
                  <c:v>45512</c:v>
                </c:pt>
                <c:pt idx="102">
                  <c:v>45511</c:v>
                </c:pt>
                <c:pt idx="103">
                  <c:v>45510</c:v>
                </c:pt>
                <c:pt idx="104">
                  <c:v>45509</c:v>
                </c:pt>
                <c:pt idx="105">
                  <c:v>45506</c:v>
                </c:pt>
                <c:pt idx="106">
                  <c:v>45505</c:v>
                </c:pt>
                <c:pt idx="107">
                  <c:v>45504</c:v>
                </c:pt>
                <c:pt idx="108">
                  <c:v>45503</c:v>
                </c:pt>
                <c:pt idx="109">
                  <c:v>45502</c:v>
                </c:pt>
                <c:pt idx="110">
                  <c:v>45499</c:v>
                </c:pt>
                <c:pt idx="111">
                  <c:v>45498</c:v>
                </c:pt>
                <c:pt idx="112">
                  <c:v>45497</c:v>
                </c:pt>
                <c:pt idx="113">
                  <c:v>45496</c:v>
                </c:pt>
                <c:pt idx="114">
                  <c:v>45495</c:v>
                </c:pt>
                <c:pt idx="115">
                  <c:v>45492</c:v>
                </c:pt>
                <c:pt idx="116">
                  <c:v>45491</c:v>
                </c:pt>
                <c:pt idx="117">
                  <c:v>45490</c:v>
                </c:pt>
                <c:pt idx="118">
                  <c:v>45489</c:v>
                </c:pt>
                <c:pt idx="119">
                  <c:v>45488</c:v>
                </c:pt>
                <c:pt idx="120">
                  <c:v>45485</c:v>
                </c:pt>
                <c:pt idx="121">
                  <c:v>45484</c:v>
                </c:pt>
                <c:pt idx="122">
                  <c:v>45483</c:v>
                </c:pt>
                <c:pt idx="123">
                  <c:v>45482</c:v>
                </c:pt>
                <c:pt idx="124">
                  <c:v>45481</c:v>
                </c:pt>
                <c:pt idx="125">
                  <c:v>45478</c:v>
                </c:pt>
                <c:pt idx="126">
                  <c:v>45476</c:v>
                </c:pt>
                <c:pt idx="127">
                  <c:v>45475</c:v>
                </c:pt>
                <c:pt idx="128">
                  <c:v>45474</c:v>
                </c:pt>
                <c:pt idx="129">
                  <c:v>45471</c:v>
                </c:pt>
                <c:pt idx="130">
                  <c:v>45470</c:v>
                </c:pt>
                <c:pt idx="131">
                  <c:v>45469</c:v>
                </c:pt>
                <c:pt idx="132">
                  <c:v>45468</c:v>
                </c:pt>
                <c:pt idx="133">
                  <c:v>45467</c:v>
                </c:pt>
                <c:pt idx="134">
                  <c:v>45464</c:v>
                </c:pt>
                <c:pt idx="135">
                  <c:v>45463</c:v>
                </c:pt>
                <c:pt idx="136">
                  <c:v>45461</c:v>
                </c:pt>
                <c:pt idx="137">
                  <c:v>45460</c:v>
                </c:pt>
                <c:pt idx="138">
                  <c:v>45457</c:v>
                </c:pt>
                <c:pt idx="139">
                  <c:v>45456</c:v>
                </c:pt>
                <c:pt idx="140">
                  <c:v>45455</c:v>
                </c:pt>
                <c:pt idx="141">
                  <c:v>45454</c:v>
                </c:pt>
                <c:pt idx="142">
                  <c:v>45453</c:v>
                </c:pt>
                <c:pt idx="143">
                  <c:v>45450</c:v>
                </c:pt>
                <c:pt idx="144">
                  <c:v>45449</c:v>
                </c:pt>
                <c:pt idx="145">
                  <c:v>45448</c:v>
                </c:pt>
                <c:pt idx="146">
                  <c:v>45447</c:v>
                </c:pt>
                <c:pt idx="147">
                  <c:v>45446</c:v>
                </c:pt>
                <c:pt idx="148">
                  <c:v>45443</c:v>
                </c:pt>
                <c:pt idx="149">
                  <c:v>45442</c:v>
                </c:pt>
                <c:pt idx="150">
                  <c:v>45441</c:v>
                </c:pt>
                <c:pt idx="151">
                  <c:v>45440</c:v>
                </c:pt>
                <c:pt idx="152">
                  <c:v>45436</c:v>
                </c:pt>
                <c:pt idx="153">
                  <c:v>45435</c:v>
                </c:pt>
                <c:pt idx="154">
                  <c:v>45434</c:v>
                </c:pt>
                <c:pt idx="155">
                  <c:v>45433</c:v>
                </c:pt>
                <c:pt idx="156">
                  <c:v>45432</c:v>
                </c:pt>
                <c:pt idx="157">
                  <c:v>45429</c:v>
                </c:pt>
                <c:pt idx="158">
                  <c:v>45428</c:v>
                </c:pt>
                <c:pt idx="159">
                  <c:v>45427</c:v>
                </c:pt>
                <c:pt idx="160">
                  <c:v>45426</c:v>
                </c:pt>
                <c:pt idx="161">
                  <c:v>45425</c:v>
                </c:pt>
                <c:pt idx="162">
                  <c:v>45422</c:v>
                </c:pt>
                <c:pt idx="163">
                  <c:v>45421</c:v>
                </c:pt>
                <c:pt idx="164">
                  <c:v>45420</c:v>
                </c:pt>
                <c:pt idx="165">
                  <c:v>45419</c:v>
                </c:pt>
                <c:pt idx="166">
                  <c:v>45418</c:v>
                </c:pt>
                <c:pt idx="167">
                  <c:v>45415</c:v>
                </c:pt>
                <c:pt idx="168">
                  <c:v>45414</c:v>
                </c:pt>
                <c:pt idx="169">
                  <c:v>45413</c:v>
                </c:pt>
                <c:pt idx="170">
                  <c:v>45412</c:v>
                </c:pt>
                <c:pt idx="171">
                  <c:v>45411</c:v>
                </c:pt>
                <c:pt idx="172">
                  <c:v>45408</c:v>
                </c:pt>
                <c:pt idx="173">
                  <c:v>45407</c:v>
                </c:pt>
                <c:pt idx="174">
                  <c:v>45406</c:v>
                </c:pt>
                <c:pt idx="175">
                  <c:v>45405</c:v>
                </c:pt>
                <c:pt idx="176">
                  <c:v>45404</c:v>
                </c:pt>
                <c:pt idx="177">
                  <c:v>45401</c:v>
                </c:pt>
                <c:pt idx="178">
                  <c:v>45400</c:v>
                </c:pt>
                <c:pt idx="179">
                  <c:v>45399</c:v>
                </c:pt>
                <c:pt idx="180">
                  <c:v>45398</c:v>
                </c:pt>
                <c:pt idx="181">
                  <c:v>45397</c:v>
                </c:pt>
                <c:pt idx="182">
                  <c:v>45394</c:v>
                </c:pt>
                <c:pt idx="183">
                  <c:v>45393</c:v>
                </c:pt>
                <c:pt idx="184">
                  <c:v>45392</c:v>
                </c:pt>
                <c:pt idx="185">
                  <c:v>45391</c:v>
                </c:pt>
                <c:pt idx="186">
                  <c:v>45390</c:v>
                </c:pt>
                <c:pt idx="187">
                  <c:v>45387</c:v>
                </c:pt>
                <c:pt idx="188">
                  <c:v>45386</c:v>
                </c:pt>
                <c:pt idx="189">
                  <c:v>45385</c:v>
                </c:pt>
                <c:pt idx="190">
                  <c:v>45384</c:v>
                </c:pt>
                <c:pt idx="191">
                  <c:v>45383</c:v>
                </c:pt>
                <c:pt idx="192">
                  <c:v>45379</c:v>
                </c:pt>
                <c:pt idx="193">
                  <c:v>45378</c:v>
                </c:pt>
                <c:pt idx="194">
                  <c:v>45377</c:v>
                </c:pt>
                <c:pt idx="195">
                  <c:v>45376</c:v>
                </c:pt>
                <c:pt idx="196">
                  <c:v>45373</c:v>
                </c:pt>
                <c:pt idx="197">
                  <c:v>45372</c:v>
                </c:pt>
                <c:pt idx="198">
                  <c:v>45371</c:v>
                </c:pt>
                <c:pt idx="199">
                  <c:v>45370</c:v>
                </c:pt>
                <c:pt idx="200">
                  <c:v>45369</c:v>
                </c:pt>
                <c:pt idx="201">
                  <c:v>45366</c:v>
                </c:pt>
                <c:pt idx="202">
                  <c:v>45365</c:v>
                </c:pt>
                <c:pt idx="203">
                  <c:v>45364</c:v>
                </c:pt>
                <c:pt idx="204">
                  <c:v>45363</c:v>
                </c:pt>
                <c:pt idx="205">
                  <c:v>45362</c:v>
                </c:pt>
                <c:pt idx="206">
                  <c:v>45359</c:v>
                </c:pt>
                <c:pt idx="207">
                  <c:v>45358</c:v>
                </c:pt>
                <c:pt idx="208">
                  <c:v>45357</c:v>
                </c:pt>
                <c:pt idx="209">
                  <c:v>45356</c:v>
                </c:pt>
                <c:pt idx="210">
                  <c:v>45355</c:v>
                </c:pt>
                <c:pt idx="211">
                  <c:v>45352</c:v>
                </c:pt>
                <c:pt idx="212">
                  <c:v>45351</c:v>
                </c:pt>
                <c:pt idx="213">
                  <c:v>45350</c:v>
                </c:pt>
                <c:pt idx="214">
                  <c:v>45349</c:v>
                </c:pt>
                <c:pt idx="215">
                  <c:v>45348</c:v>
                </c:pt>
                <c:pt idx="216">
                  <c:v>45345</c:v>
                </c:pt>
                <c:pt idx="217">
                  <c:v>45344</c:v>
                </c:pt>
                <c:pt idx="218">
                  <c:v>45343</c:v>
                </c:pt>
                <c:pt idx="219">
                  <c:v>45342</c:v>
                </c:pt>
                <c:pt idx="220">
                  <c:v>45338</c:v>
                </c:pt>
                <c:pt idx="221">
                  <c:v>45337</c:v>
                </c:pt>
                <c:pt idx="222">
                  <c:v>45336</c:v>
                </c:pt>
                <c:pt idx="223">
                  <c:v>45335</c:v>
                </c:pt>
                <c:pt idx="224">
                  <c:v>45334</c:v>
                </c:pt>
                <c:pt idx="225">
                  <c:v>45331</c:v>
                </c:pt>
                <c:pt idx="226">
                  <c:v>45330</c:v>
                </c:pt>
                <c:pt idx="227">
                  <c:v>45329</c:v>
                </c:pt>
                <c:pt idx="228">
                  <c:v>45328</c:v>
                </c:pt>
                <c:pt idx="229">
                  <c:v>45327</c:v>
                </c:pt>
                <c:pt idx="230">
                  <c:v>45324</c:v>
                </c:pt>
                <c:pt idx="231">
                  <c:v>45323</c:v>
                </c:pt>
                <c:pt idx="232">
                  <c:v>45322</c:v>
                </c:pt>
                <c:pt idx="233">
                  <c:v>45321</c:v>
                </c:pt>
                <c:pt idx="234">
                  <c:v>45320</c:v>
                </c:pt>
                <c:pt idx="235">
                  <c:v>45317</c:v>
                </c:pt>
                <c:pt idx="236">
                  <c:v>45316</c:v>
                </c:pt>
                <c:pt idx="237">
                  <c:v>45315</c:v>
                </c:pt>
                <c:pt idx="238">
                  <c:v>45314</c:v>
                </c:pt>
                <c:pt idx="239">
                  <c:v>45313</c:v>
                </c:pt>
                <c:pt idx="240">
                  <c:v>45310</c:v>
                </c:pt>
                <c:pt idx="241">
                  <c:v>45309</c:v>
                </c:pt>
                <c:pt idx="242">
                  <c:v>45308</c:v>
                </c:pt>
                <c:pt idx="243">
                  <c:v>45307</c:v>
                </c:pt>
                <c:pt idx="244">
                  <c:v>45303</c:v>
                </c:pt>
                <c:pt idx="245">
                  <c:v>45302</c:v>
                </c:pt>
                <c:pt idx="246">
                  <c:v>45301</c:v>
                </c:pt>
                <c:pt idx="247">
                  <c:v>45300</c:v>
                </c:pt>
                <c:pt idx="248">
                  <c:v>45299</c:v>
                </c:pt>
                <c:pt idx="249">
                  <c:v>45296</c:v>
                </c:pt>
                <c:pt idx="250">
                  <c:v>45295</c:v>
                </c:pt>
                <c:pt idx="251">
                  <c:v>45294</c:v>
                </c:pt>
                <c:pt idx="252">
                  <c:v>45293</c:v>
                </c:pt>
                <c:pt idx="253">
                  <c:v>45289</c:v>
                </c:pt>
              </c:numCache>
            </c:numRef>
          </c:cat>
          <c:val>
            <c:numRef>
              <c:extLst>
                <c:ext xmlns:c15="http://schemas.microsoft.com/office/drawing/2012/chart" uri="{02D57815-91ED-43cb-92C2-25804820EDAC}">
                  <c15:fullRef>
                    <c15:sqref>Data!$P$42:$P$296</c15:sqref>
                  </c15:fullRef>
                </c:ext>
              </c:extLst>
              <c:f>(Data!$P$42,Data!$P$44:$P$296)</c:f>
              <c:numCache>
                <c:formatCode>General</c:formatCode>
                <c:ptCount val="254"/>
                <c:pt idx="0">
                  <c:v>567.45000000000005</c:v>
                </c:pt>
                <c:pt idx="1" formatCode="&quot;$&quot;#,##0.00_);[Red]\(&quot;$&quot;#,##0.00\)">
                  <c:v>455.73</c:v>
                </c:pt>
                <c:pt idx="2" formatCode="&quot;$&quot;#,##0.00_);[Red]\(&quot;$&quot;#,##0.00\)">
                  <c:v>459.4</c:v>
                </c:pt>
                <c:pt idx="3" formatCode="&quot;$&quot;#,##0.00_);[Red]\(&quot;$&quot;#,##0.00\)">
                  <c:v>475.31</c:v>
                </c:pt>
                <c:pt idx="4" formatCode="&quot;$&quot;#,##0.00_);[Red]\(&quot;$&quot;#,##0.00\)">
                  <c:v>476.17</c:v>
                </c:pt>
                <c:pt idx="5" formatCode="&quot;$&quot;#,##0.00_);[Red]\(&quot;$&quot;#,##0.00\)">
                  <c:v>476.03</c:v>
                </c:pt>
                <c:pt idx="6" formatCode="&quot;$&quot;#,##0.00_);[Red]\(&quot;$&quot;#,##0.00\)">
                  <c:v>464.85</c:v>
                </c:pt>
                <c:pt idx="7" formatCode="&quot;$&quot;#,##0.00_);[Red]\(&quot;$&quot;#,##0.00\)">
                  <c:v>473.4</c:v>
                </c:pt>
                <c:pt idx="8" formatCode="&quot;$&quot;#,##0.00_);[Red]\(&quot;$&quot;#,##0.00\)">
                  <c:v>494.93</c:v>
                </c:pt>
                <c:pt idx="9" formatCode="&quot;$&quot;#,##0.00_);[Red]\(&quot;$&quot;#,##0.00\)">
                  <c:v>510.69</c:v>
                </c:pt>
                <c:pt idx="10" formatCode="&quot;$&quot;#,##0.00_);[Red]\(&quot;$&quot;#,##0.00\)">
                  <c:v>532.83000000000004</c:v>
                </c:pt>
                <c:pt idx="11" formatCode="&quot;$&quot;#,##0.00_);[Red]\(&quot;$&quot;#,##0.00\)">
                  <c:v>536.30999999999995</c:v>
                </c:pt>
                <c:pt idx="12" formatCode="&quot;$&quot;#,##0.00_);[Red]\(&quot;$&quot;#,##0.00\)">
                  <c:v>528.65</c:v>
                </c:pt>
                <c:pt idx="13" formatCode="&quot;$&quot;#,##0.00_);[Red]\(&quot;$&quot;#,##0.00\)">
                  <c:v>524.08000000000004</c:v>
                </c:pt>
                <c:pt idx="14" formatCode="&quot;$&quot;#,##0.00_);[Red]\(&quot;$&quot;#,##0.00\)">
                  <c:v>521.47</c:v>
                </c:pt>
                <c:pt idx="15" formatCode="&quot;$&quot;#,##0.00_);[Red]\(&quot;$&quot;#,##0.00\)">
                  <c:v>522.97</c:v>
                </c:pt>
                <c:pt idx="16" formatCode="&quot;$&quot;#,##0.00_);[Red]\(&quot;$&quot;#,##0.00\)">
                  <c:v>516.17999999999995</c:v>
                </c:pt>
                <c:pt idx="17" formatCode="&quot;$&quot;#,##0.00_);[Red]\(&quot;$&quot;#,##0.00\)">
                  <c:v>515.92999999999995</c:v>
                </c:pt>
                <c:pt idx="18" formatCode="&quot;$&quot;#,##0.00_);[Red]\(&quot;$&quot;#,##0.00\)">
                  <c:v>516.83000000000004</c:v>
                </c:pt>
                <c:pt idx="19" formatCode="&quot;$&quot;#,##0.00_);[Red]\(&quot;$&quot;#,##0.00\)">
                  <c:v>542.36</c:v>
                </c:pt>
                <c:pt idx="20" formatCode="&quot;$&quot;#,##0.00_);[Red]\(&quot;$&quot;#,##0.00\)">
                  <c:v>547.97</c:v>
                </c:pt>
                <c:pt idx="21" formatCode="&quot;$&quot;#,##0.00_);[Red]\(&quot;$&quot;#,##0.00\)">
                  <c:v>557.74</c:v>
                </c:pt>
                <c:pt idx="22" formatCode="&quot;$&quot;#,##0.00_);[Red]\(&quot;$&quot;#,##0.00\)">
                  <c:v>569.08000000000004</c:v>
                </c:pt>
                <c:pt idx="23" formatCode="&quot;$&quot;#,##0.00_);[Red]\(&quot;$&quot;#,##0.00\)">
                  <c:v>564.38</c:v>
                </c:pt>
                <c:pt idx="24" formatCode="&quot;$&quot;#,##0.00_);[Red]\(&quot;$&quot;#,##0.00\)">
                  <c:v>565.96</c:v>
                </c:pt>
                <c:pt idx="25" formatCode="&quot;$&quot;#,##0.00_);[Red]\(&quot;$&quot;#,##0.00\)">
                  <c:v>557.27</c:v>
                </c:pt>
                <c:pt idx="26" formatCode="&quot;$&quot;#,##0.00_);[Red]\(&quot;$&quot;#,##0.00\)">
                  <c:v>541.69000000000005</c:v>
                </c:pt>
                <c:pt idx="27" formatCode="&quot;$&quot;#,##0.00_);[Red]\(&quot;$&quot;#,##0.00\)">
                  <c:v>549.19000000000005</c:v>
                </c:pt>
                <c:pt idx="28" formatCode="&quot;$&quot;#,##0.00_);[Red]\(&quot;$&quot;#,##0.00\)">
                  <c:v>530</c:v>
                </c:pt>
                <c:pt idx="29" formatCode="&quot;$&quot;#,##0.00_);[Red]\(&quot;$&quot;#,##0.00\)">
                  <c:v>515.88</c:v>
                </c:pt>
                <c:pt idx="30" formatCode="&quot;$&quot;#,##0.00_);[Red]\(&quot;$&quot;#,##0.00\)">
                  <c:v>518.16999999999996</c:v>
                </c:pt>
                <c:pt idx="31" formatCode="&quot;$&quot;#,##0.00_);[Red]\(&quot;$&quot;#,##0.00\)">
                  <c:v>522.37</c:v>
                </c:pt>
                <c:pt idx="32" formatCode="&quot;$&quot;#,##0.00_);[Red]\(&quot;$&quot;#,##0.00\)">
                  <c:v>542.32000000000005</c:v>
                </c:pt>
                <c:pt idx="33" formatCode="&quot;$&quot;#,##0.00_);[Red]\(&quot;$&quot;#,##0.00\)">
                  <c:v>537.20000000000005</c:v>
                </c:pt>
                <c:pt idx="34" formatCode="&quot;$&quot;#,##0.00_);[Red]\(&quot;$&quot;#,##0.00\)">
                  <c:v>545.73</c:v>
                </c:pt>
                <c:pt idx="35" formatCode="&quot;$&quot;#,##0.00_);[Red]\(&quot;$&quot;#,##0.00\)">
                  <c:v>558.1</c:v>
                </c:pt>
                <c:pt idx="36" formatCode="&quot;$&quot;#,##0.00_);[Red]\(&quot;$&quot;#,##0.00\)">
                  <c:v>544.89</c:v>
                </c:pt>
                <c:pt idx="37" formatCode="&quot;$&quot;#,##0.00_);[Red]\(&quot;$&quot;#,##0.00\)">
                  <c:v>545.09</c:v>
                </c:pt>
                <c:pt idx="38" formatCode="&quot;$&quot;#,##0.00_);[Red]\(&quot;$&quot;#,##0.00\)">
                  <c:v>568.02</c:v>
                </c:pt>
                <c:pt idx="39" formatCode="&quot;$&quot;#,##0.00_);[Red]\(&quot;$&quot;#,##0.00\)">
                  <c:v>500.83</c:v>
                </c:pt>
                <c:pt idx="40" formatCode="&quot;$&quot;#,##0.00_);[Red]\(&quot;$&quot;#,##0.00\)">
                  <c:v>486.14</c:v>
                </c:pt>
                <c:pt idx="41" formatCode="&quot;$&quot;#,##0.00_);[Red]\(&quot;$&quot;#,##0.00\)">
                  <c:v>480.69</c:v>
                </c:pt>
                <c:pt idx="42" formatCode="&quot;$&quot;#,##0.00_);[Red]\(&quot;$&quot;#,##0.00\)">
                  <c:v>488.61</c:v>
                </c:pt>
                <c:pt idx="43" formatCode="&quot;$&quot;#,##0.00_);[Red]\(&quot;$&quot;#,##0.00\)">
                  <c:v>491.33</c:v>
                </c:pt>
                <c:pt idx="44" formatCode="&quot;$&quot;#,##0.00_);[Red]\(&quot;$&quot;#,##0.00\)">
                  <c:v>476.99</c:v>
                </c:pt>
                <c:pt idx="45" formatCode="&quot;$&quot;#,##0.00_);[Red]\(&quot;$&quot;#,##0.00\)">
                  <c:v>479.38</c:v>
                </c:pt>
                <c:pt idx="46" formatCode="&quot;$&quot;#,##0.00_);[Red]\(&quot;$&quot;#,##0.00\)">
                  <c:v>461.65</c:v>
                </c:pt>
                <c:pt idx="47" formatCode="&quot;$&quot;#,##0.00_);[Red]\(&quot;$&quot;#,##0.00\)">
                  <c:v>414.43</c:v>
                </c:pt>
                <c:pt idx="48" formatCode="&quot;$&quot;#,##0.00_);[Red]\(&quot;$&quot;#,##0.00\)">
                  <c:v>412.89</c:v>
                </c:pt>
                <c:pt idx="49" formatCode="&quot;$&quot;#,##0.00_);[Red]\(&quot;$&quot;#,##0.00\)">
                  <c:v>429.89</c:v>
                </c:pt>
                <c:pt idx="50" formatCode="&quot;$&quot;#,##0.00_);[Red]\(&quot;$&quot;#,##0.00\)">
                  <c:v>422.58</c:v>
                </c:pt>
                <c:pt idx="51" formatCode="&quot;$&quot;#,##0.00_);[Red]\(&quot;$&quot;#,##0.00\)">
                  <c:v>436.69</c:v>
                </c:pt>
                <c:pt idx="52" formatCode="&quot;$&quot;#,##0.00_);[Red]\(&quot;$&quot;#,##0.00\)">
                  <c:v>446.68</c:v>
                </c:pt>
                <c:pt idx="53" formatCode="&quot;$&quot;#,##0.00_);[Red]\(&quot;$&quot;#,##0.00\)">
                  <c:v>459.66</c:v>
                </c:pt>
                <c:pt idx="54" formatCode="&quot;$&quot;#,##0.00_);[Red]\(&quot;$&quot;#,##0.00\)">
                  <c:v>452.66</c:v>
                </c:pt>
                <c:pt idx="55" formatCode="&quot;$&quot;#,##0.00_);[Red]\(&quot;$&quot;#,##0.00\)">
                  <c:v>461.97</c:v>
                </c:pt>
                <c:pt idx="56" formatCode="&quot;$&quot;#,##0.00_);[Red]\(&quot;$&quot;#,##0.00\)">
                  <c:v>463.37</c:v>
                </c:pt>
                <c:pt idx="57" formatCode="&quot;$&quot;#,##0.00_);[Red]\(&quot;$&quot;#,##0.00\)">
                  <c:v>440.85</c:v>
                </c:pt>
                <c:pt idx="58" formatCode="&quot;$&quot;#,##0.00_);[Red]\(&quot;$&quot;#,##0.00\)">
                  <c:v>447.83</c:v>
                </c:pt>
                <c:pt idx="59" formatCode="&quot;$&quot;#,##0.00_);[Red]\(&quot;$&quot;#,##0.00\)">
                  <c:v>436.81</c:v>
                </c:pt>
                <c:pt idx="60" formatCode="&quot;$&quot;#,##0.00_);[Red]\(&quot;$&quot;#,##0.00\)">
                  <c:v>424.84</c:v>
                </c:pt>
                <c:pt idx="61" formatCode="&quot;$&quot;#,##0.00_);[Red]\(&quot;$&quot;#,##0.00\)">
                  <c:v>428.14</c:v>
                </c:pt>
                <c:pt idx="62" formatCode="&quot;$&quot;#,##0.00_);[Red]\(&quot;$&quot;#,##0.00\)">
                  <c:v>426.36</c:v>
                </c:pt>
                <c:pt idx="63" formatCode="&quot;$&quot;#,##0.00_);[Red]\(&quot;$&quot;#,##0.00\)">
                  <c:v>430.14</c:v>
                </c:pt>
                <c:pt idx="64" formatCode="&quot;$&quot;#,##0.00_);[Red]\(&quot;$&quot;#,##0.00\)">
                  <c:v>433.68</c:v>
                </c:pt>
                <c:pt idx="65" formatCode="&quot;$&quot;#,##0.00_);[Red]\(&quot;$&quot;#,##0.00\)">
                  <c:v>437.26</c:v>
                </c:pt>
                <c:pt idx="66" formatCode="&quot;$&quot;#,##0.00_);[Red]\(&quot;$&quot;#,##0.00\)">
                  <c:v>434.62</c:v>
                </c:pt>
                <c:pt idx="67" formatCode="&quot;$&quot;#,##0.00_);[Red]\(&quot;$&quot;#,##0.00\)">
                  <c:v>431.28</c:v>
                </c:pt>
                <c:pt idx="68" formatCode="&quot;$&quot;#,##0.00_);[Red]\(&quot;$&quot;#,##0.00\)">
                  <c:v>450.27</c:v>
                </c:pt>
                <c:pt idx="69" formatCode="&quot;$&quot;#,##0.00_);[Red]\(&quot;$&quot;#,##0.00\)">
                  <c:v>455.73</c:v>
                </c:pt>
                <c:pt idx="70" formatCode="&quot;$&quot;#,##0.00_);[Red]\(&quot;$&quot;#,##0.00\)">
                  <c:v>441.54</c:v>
                </c:pt>
                <c:pt idx="71" formatCode="&quot;$&quot;#,##0.00_);[Red]\(&quot;$&quot;#,##0.00\)">
                  <c:v>436.78</c:v>
                </c:pt>
                <c:pt idx="72" formatCode="&quot;$&quot;#,##0.00_);[Red]\(&quot;$&quot;#,##0.00\)">
                  <c:v>453.83</c:v>
                </c:pt>
                <c:pt idx="73" formatCode="&quot;$&quot;#,##0.00_);[Red]\(&quot;$&quot;#,##0.00\)">
                  <c:v>444.29</c:v>
                </c:pt>
                <c:pt idx="74" formatCode="&quot;$&quot;#,##0.00_);[Red]\(&quot;$&quot;#,##0.00\)">
                  <c:v>438.37</c:v>
                </c:pt>
                <c:pt idx="75" formatCode="&quot;$&quot;#,##0.00_);[Red]\(&quot;$&quot;#,##0.00\)">
                  <c:v>434.81</c:v>
                </c:pt>
                <c:pt idx="76" formatCode="&quot;$&quot;#,##0.00_);[Red]\(&quot;$&quot;#,##0.00\)">
                  <c:v>432.49</c:v>
                </c:pt>
                <c:pt idx="77" formatCode="&quot;$&quot;#,##0.00_);[Red]\(&quot;$&quot;#,##0.00\)">
                  <c:v>420.18</c:v>
                </c:pt>
                <c:pt idx="78" formatCode="&quot;$&quot;#,##0.00_);[Red]\(&quot;$&quot;#,##0.00\)">
                  <c:v>421.14</c:v>
                </c:pt>
                <c:pt idx="79" formatCode="&quot;$&quot;#,##0.00_);[Red]\(&quot;$&quot;#,##0.00\)">
                  <c:v>415.64</c:v>
                </c:pt>
                <c:pt idx="80" formatCode="&quot;$&quot;#,##0.00_);[Red]\(&quot;$&quot;#,##0.00\)">
                  <c:v>410.82</c:v>
                </c:pt>
                <c:pt idx="81" formatCode="&quot;$&quot;#,##0.00_);[Red]\(&quot;$&quot;#,##0.00\)">
                  <c:v>402.39</c:v>
                </c:pt>
                <c:pt idx="82" formatCode="&quot;$&quot;#,##0.00_);[Red]\(&quot;$&quot;#,##0.00\)">
                  <c:v>398.37</c:v>
                </c:pt>
                <c:pt idx="83" formatCode="&quot;$&quot;#,##0.00_);[Red]\(&quot;$&quot;#,##0.00\)">
                  <c:v>417.31</c:v>
                </c:pt>
                <c:pt idx="84" formatCode="&quot;$&quot;#,##0.00_);[Red]\(&quot;$&quot;#,##0.00\)">
                  <c:v>380.58</c:v>
                </c:pt>
                <c:pt idx="85" formatCode="&quot;$&quot;#,##0.00_);[Red]\(&quot;$&quot;#,##0.00\)">
                  <c:v>375.83</c:v>
                </c:pt>
                <c:pt idx="86" formatCode="&quot;$&quot;#,##0.00_);[Red]\(&quot;$&quot;#,##0.00\)">
                  <c:v>374.27</c:v>
                </c:pt>
                <c:pt idx="87" formatCode="&quot;$&quot;#,##0.00_);[Red]\(&quot;$&quot;#,##0.00\)">
                  <c:v>371.34</c:v>
                </c:pt>
                <c:pt idx="88" formatCode="&quot;$&quot;#,##0.00_);[Red]\(&quot;$&quot;#,##0.00\)">
                  <c:v>374.7</c:v>
                </c:pt>
                <c:pt idx="89" formatCode="&quot;$&quot;#,##0.00_);[Red]\(&quot;$&quot;#,##0.00\)">
                  <c:v>392.49</c:v>
                </c:pt>
                <c:pt idx="90" formatCode="&quot;$&quot;#,##0.00_);[Red]\(&quot;$&quot;#,##0.00\)">
                  <c:v>402.33</c:v>
                </c:pt>
                <c:pt idx="91" formatCode="&quot;$&quot;#,##0.00_);[Red]\(&quot;$&quot;#,##0.00\)">
                  <c:v>394.27</c:v>
                </c:pt>
                <c:pt idx="92" formatCode="&quot;$&quot;#,##0.00_);[Red]\(&quot;$&quot;#,##0.00\)">
                  <c:v>397.52</c:v>
                </c:pt>
                <c:pt idx="93" formatCode="&quot;$&quot;#,##0.00_);[Red]\(&quot;$&quot;#,##0.00\)">
                  <c:v>384.19</c:v>
                </c:pt>
                <c:pt idx="94" formatCode="&quot;$&quot;#,##0.00_);[Red]\(&quot;$&quot;#,##0.00\)">
                  <c:v>389.75</c:v>
                </c:pt>
                <c:pt idx="95" formatCode="&quot;$&quot;#,##0.00_);[Red]\(&quot;$&quot;#,##0.00\)">
                  <c:v>392.49</c:v>
                </c:pt>
                <c:pt idx="96" formatCode="&quot;$&quot;#,##0.00_);[Red]\(&quot;$&quot;#,##0.00\)">
                  <c:v>386.625</c:v>
                </c:pt>
                <c:pt idx="97" formatCode="&quot;$&quot;#,##0.00_);[Red]\(&quot;$&quot;#,##0.00\)">
                  <c:v>375.3</c:v>
                </c:pt>
                <c:pt idx="98" formatCode="&quot;$&quot;#,##0.00_);[Red]\(&quot;$&quot;#,##0.00\)">
                  <c:v>374.8</c:v>
                </c:pt>
                <c:pt idx="99" formatCode="&quot;$&quot;#,##0.00_);[Red]\(&quot;$&quot;#,##0.00\)">
                  <c:v>367.6</c:v>
                </c:pt>
                <c:pt idx="100" formatCode="&quot;$&quot;#,##0.00_);[Red]\(&quot;$&quot;#,##0.00\)">
                  <c:v>371.11</c:v>
                </c:pt>
                <c:pt idx="101" formatCode="&quot;$&quot;#,##0.00_);[Red]\(&quot;$&quot;#,##0.00\)">
                  <c:v>384.71</c:v>
                </c:pt>
                <c:pt idx="102" formatCode="&quot;$&quot;#,##0.00_);[Red]\(&quot;$&quot;#,##0.00\)">
                  <c:v>381.15</c:v>
                </c:pt>
                <c:pt idx="103" formatCode="&quot;$&quot;#,##0.00_);[Red]\(&quot;$&quot;#,##0.00\)">
                  <c:v>389.99</c:v>
                </c:pt>
                <c:pt idx="104" formatCode="&quot;$&quot;#,##0.00_);[Red]\(&quot;$&quot;#,##0.00\)">
                  <c:v>377.94</c:v>
                </c:pt>
                <c:pt idx="105" formatCode="&quot;$&quot;#,##0.00_);[Red]\(&quot;$&quot;#,##0.00\)">
                  <c:v>383.24</c:v>
                </c:pt>
                <c:pt idx="106" formatCode="&quot;$&quot;#,##0.00_);[Red]\(&quot;$&quot;#,##0.00\)">
                  <c:v>395.01</c:v>
                </c:pt>
                <c:pt idx="107" formatCode="&quot;$&quot;#,##0.00_);[Red]\(&quot;$&quot;#,##0.00\)">
                  <c:v>417.85</c:v>
                </c:pt>
                <c:pt idx="108" formatCode="&quot;$&quot;#,##0.00_);[Red]\(&quot;$&quot;#,##0.00\)">
                  <c:v>408.61</c:v>
                </c:pt>
                <c:pt idx="109" formatCode="&quot;$&quot;#,##0.00_);[Red]\(&quot;$&quot;#,##0.00\)">
                  <c:v>386.21</c:v>
                </c:pt>
                <c:pt idx="110" formatCode="&quot;$&quot;#,##0.00_);[Red]\(&quot;$&quot;#,##0.00\)">
                  <c:v>396.43</c:v>
                </c:pt>
                <c:pt idx="111" formatCode="&quot;$&quot;#,##0.00_);[Red]\(&quot;$&quot;#,##0.00\)">
                  <c:v>489.11</c:v>
                </c:pt>
                <c:pt idx="112" formatCode="&quot;$&quot;#,##0.00_);[Red]\(&quot;$&quot;#,##0.00\)">
                  <c:v>482.56</c:v>
                </c:pt>
                <c:pt idx="113" formatCode="&quot;$&quot;#,##0.00_);[Red]\(&quot;$&quot;#,##0.00\)">
                  <c:v>482.29</c:v>
                </c:pt>
                <c:pt idx="114" formatCode="&quot;$&quot;#,##0.00_);[Red]\(&quot;$&quot;#,##0.00\)">
                  <c:v>490.51</c:v>
                </c:pt>
                <c:pt idx="115" formatCode="&quot;$&quot;#,##0.00_);[Red]\(&quot;$&quot;#,##0.00\)">
                  <c:v>485.21</c:v>
                </c:pt>
                <c:pt idx="116" formatCode="&quot;$&quot;#,##0.00_);[Red]\(&quot;$&quot;#,##0.00\)">
                  <c:v>482.42</c:v>
                </c:pt>
                <c:pt idx="117" formatCode="&quot;$&quot;#,##0.00_);[Red]\(&quot;$&quot;#,##0.00\)">
                  <c:v>483.74</c:v>
                </c:pt>
                <c:pt idx="118" formatCode="&quot;$&quot;#,##0.00_);[Red]\(&quot;$&quot;#,##0.00\)">
                  <c:v>509.42</c:v>
                </c:pt>
                <c:pt idx="119" formatCode="&quot;$&quot;#,##0.00_);[Red]\(&quot;$&quot;#,##0.00\)">
                  <c:v>480.64</c:v>
                </c:pt>
                <c:pt idx="120" formatCode="&quot;$&quot;#,##0.00_);[Red]\(&quot;$&quot;#,##0.00\)">
                  <c:v>455.02</c:v>
                </c:pt>
                <c:pt idx="121" formatCode="&quot;$&quot;#,##0.00_);[Red]\(&quot;$&quot;#,##0.00\)">
                  <c:v>450.68</c:v>
                </c:pt>
                <c:pt idx="122" formatCode="&quot;$&quot;#,##0.00_);[Red]\(&quot;$&quot;#,##0.00\)">
                  <c:v>440.47</c:v>
                </c:pt>
                <c:pt idx="123" formatCode="&quot;$&quot;#,##0.00_);[Red]\(&quot;$&quot;#,##0.00\)">
                  <c:v>438.51</c:v>
                </c:pt>
                <c:pt idx="124" formatCode="&quot;$&quot;#,##0.00_);[Red]\(&quot;$&quot;#,##0.00\)">
                  <c:v>459.6</c:v>
                </c:pt>
                <c:pt idx="125" formatCode="&quot;$&quot;#,##0.00_);[Red]\(&quot;$&quot;#,##0.00\)">
                  <c:v>464.23</c:v>
                </c:pt>
                <c:pt idx="126" formatCode="&quot;$&quot;#,##0.00_);[Red]\(&quot;$&quot;#,##0.00\)">
                  <c:v>470.22</c:v>
                </c:pt>
                <c:pt idx="127" formatCode="&quot;$&quot;#,##0.00_);[Red]\(&quot;$&quot;#,##0.00\)">
                  <c:v>466.37</c:v>
                </c:pt>
                <c:pt idx="128" formatCode="&quot;$&quot;#,##0.00_);[Red]\(&quot;$&quot;#,##0.00\)">
                  <c:v>471.47</c:v>
                </c:pt>
                <c:pt idx="129" formatCode="&quot;$&quot;#,##0.00_);[Red]\(&quot;$&quot;#,##0.00\)">
                  <c:v>474.29</c:v>
                </c:pt>
                <c:pt idx="130" formatCode="&quot;$&quot;#,##0.00_);[Red]\(&quot;$&quot;#,##0.00\)">
                  <c:v>458.7</c:v>
                </c:pt>
                <c:pt idx="131" formatCode="&quot;$&quot;#,##0.00_);[Red]\(&quot;$&quot;#,##0.00\)">
                  <c:v>464.65</c:v>
                </c:pt>
                <c:pt idx="132" formatCode="&quot;$&quot;#,##0.00_);[Red]\(&quot;$&quot;#,##0.00\)">
                  <c:v>466.94</c:v>
                </c:pt>
                <c:pt idx="133" formatCode="&quot;$&quot;#,##0.00_);[Red]\(&quot;$&quot;#,##0.00\)">
                  <c:v>467.05</c:v>
                </c:pt>
                <c:pt idx="134" formatCode="&quot;$&quot;#,##0.00_);[Red]\(&quot;$&quot;#,##0.00\)">
                  <c:v>460.61</c:v>
                </c:pt>
                <c:pt idx="135" formatCode="&quot;$&quot;#,##0.00_);[Red]\(&quot;$&quot;#,##0.00\)">
                  <c:v>460.24</c:v>
                </c:pt>
                <c:pt idx="136" formatCode="&quot;$&quot;#,##0.00_);[Red]\(&quot;$&quot;#,##0.00\)">
                  <c:v>454</c:v>
                </c:pt>
                <c:pt idx="137" formatCode="&quot;$&quot;#,##0.00_);[Red]\(&quot;$&quot;#,##0.00\)">
                  <c:v>447.34</c:v>
                </c:pt>
                <c:pt idx="138" formatCode="&quot;$&quot;#,##0.00_);[Red]\(&quot;$&quot;#,##0.00\)">
                  <c:v>452.74</c:v>
                </c:pt>
                <c:pt idx="139" formatCode="&quot;$&quot;#,##0.00_);[Red]\(&quot;$&quot;#,##0.00\)">
                  <c:v>455.9</c:v>
                </c:pt>
                <c:pt idx="140" formatCode="&quot;$&quot;#,##0.00_);[Red]\(&quot;$&quot;#,##0.00\)">
                  <c:v>462.01</c:v>
                </c:pt>
                <c:pt idx="141" formatCode="&quot;$&quot;#,##0.00_);[Red]\(&quot;$&quot;#,##0.00\)">
                  <c:v>454.11</c:v>
                </c:pt>
                <c:pt idx="142" formatCode="&quot;$&quot;#,##0.00_);[Red]\(&quot;$&quot;#,##0.00\)">
                  <c:v>449.01</c:v>
                </c:pt>
                <c:pt idx="143" formatCode="&quot;$&quot;#,##0.00_);[Red]\(&quot;$&quot;#,##0.00\)">
                  <c:v>445.7</c:v>
                </c:pt>
                <c:pt idx="144" formatCode="&quot;$&quot;#,##0.00_);[Red]\(&quot;$&quot;#,##0.00\)">
                  <c:v>452.61</c:v>
                </c:pt>
                <c:pt idx="145" formatCode="&quot;$&quot;#,##0.00_);[Red]\(&quot;$&quot;#,##0.00\)">
                  <c:v>445.4</c:v>
                </c:pt>
                <c:pt idx="146" formatCode="&quot;$&quot;#,##0.00_);[Red]\(&quot;$&quot;#,##0.00\)">
                  <c:v>429.33</c:v>
                </c:pt>
                <c:pt idx="147" formatCode="&quot;$&quot;#,##0.00_);[Red]\(&quot;$&quot;#,##0.00\)">
                  <c:v>402.5</c:v>
                </c:pt>
                <c:pt idx="148" formatCode="&quot;$&quot;#,##0.00_);[Red]\(&quot;$&quot;#,##0.00\)">
                  <c:v>409.48</c:v>
                </c:pt>
                <c:pt idx="149" formatCode="&quot;$&quot;#,##0.00_);[Red]\(&quot;$&quot;#,##0.00\)">
                  <c:v>403.74</c:v>
                </c:pt>
                <c:pt idx="150" formatCode="&quot;$&quot;#,##0.00_);[Red]\(&quot;$&quot;#,##0.00\)">
                  <c:v>396.95</c:v>
                </c:pt>
                <c:pt idx="151" formatCode="&quot;$&quot;#,##0.00_);[Red]\(&quot;$&quot;#,##0.00\)">
                  <c:v>396.29</c:v>
                </c:pt>
                <c:pt idx="152" formatCode="&quot;$&quot;#,##0.00_);[Red]\(&quot;$&quot;#,##0.00\)">
                  <c:v>400</c:v>
                </c:pt>
                <c:pt idx="153" formatCode="&quot;$&quot;#,##0.00_);[Red]\(&quot;$&quot;#,##0.00\)">
                  <c:v>380.25</c:v>
                </c:pt>
                <c:pt idx="154" formatCode="&quot;$&quot;#,##0.00_);[Red]\(&quot;$&quot;#,##0.00\)">
                  <c:v>377.26</c:v>
                </c:pt>
                <c:pt idx="155" formatCode="&quot;$&quot;#,##0.00_);[Red]\(&quot;$&quot;#,##0.00\)">
                  <c:v>379.52</c:v>
                </c:pt>
                <c:pt idx="156" formatCode="&quot;$&quot;#,##0.00_);[Red]\(&quot;$&quot;#,##0.00\)">
                  <c:v>398.28</c:v>
                </c:pt>
                <c:pt idx="157" formatCode="&quot;$&quot;#,##0.00_);[Red]\(&quot;$&quot;#,##0.00\)">
                  <c:v>399.14</c:v>
                </c:pt>
                <c:pt idx="158" formatCode="&quot;$&quot;#,##0.00_);[Red]\(&quot;$&quot;#,##0.00\)">
                  <c:v>407.81</c:v>
                </c:pt>
                <c:pt idx="159" formatCode="&quot;$&quot;#,##0.00_);[Red]\(&quot;$&quot;#,##0.00\)">
                  <c:v>409.88</c:v>
                </c:pt>
                <c:pt idx="160" formatCode="&quot;$&quot;#,##0.00_);[Red]\(&quot;$&quot;#,##0.00\)">
                  <c:v>405.21</c:v>
                </c:pt>
                <c:pt idx="161" formatCode="&quot;$&quot;#,##0.00_);[Red]\(&quot;$&quot;#,##0.00\)">
                  <c:v>403.02</c:v>
                </c:pt>
                <c:pt idx="162" formatCode="&quot;$&quot;#,##0.00_);[Red]\(&quot;$&quot;#,##0.00\)">
                  <c:v>410.65</c:v>
                </c:pt>
                <c:pt idx="163" formatCode="&quot;$&quot;#,##0.00_);[Red]\(&quot;$&quot;#,##0.00\)">
                  <c:v>410.5</c:v>
                </c:pt>
                <c:pt idx="164" formatCode="&quot;$&quot;#,##0.00_);[Red]\(&quot;$&quot;#,##0.00\)">
                  <c:v>413.31</c:v>
                </c:pt>
                <c:pt idx="165" formatCode="&quot;$&quot;#,##0.00_);[Red]\(&quot;$&quot;#,##0.00\)">
                  <c:v>406.46</c:v>
                </c:pt>
                <c:pt idx="166" formatCode="&quot;$&quot;#,##0.00_);[Red]\(&quot;$&quot;#,##0.00\)">
                  <c:v>393.26</c:v>
                </c:pt>
                <c:pt idx="167" formatCode="&quot;$&quot;#,##0.00_);[Red]\(&quot;$&quot;#,##0.00\)">
                  <c:v>400.08</c:v>
                </c:pt>
                <c:pt idx="168" formatCode="&quot;$&quot;#,##0.00_);[Red]\(&quot;$&quot;#,##0.00\)">
                  <c:v>405.95</c:v>
                </c:pt>
                <c:pt idx="169" formatCode="&quot;$&quot;#,##0.00_);[Red]\(&quot;$&quot;#,##0.00\)">
                  <c:v>396</c:v>
                </c:pt>
                <c:pt idx="170" formatCode="&quot;$&quot;#,##0.00_);[Red]\(&quot;$&quot;#,##0.00\)">
                  <c:v>396.83</c:v>
                </c:pt>
                <c:pt idx="171" formatCode="&quot;$&quot;#,##0.00_);[Red]\(&quot;$&quot;#,##0.00\)">
                  <c:v>416.1</c:v>
                </c:pt>
                <c:pt idx="172" formatCode="&quot;$&quot;#,##0.00_);[Red]\(&quot;$&quot;#,##0.00\)">
                  <c:v>428.81</c:v>
                </c:pt>
                <c:pt idx="173" formatCode="&quot;$&quot;#,##0.00_);[Red]\(&quot;$&quot;#,##0.00\)">
                  <c:v>543.02</c:v>
                </c:pt>
                <c:pt idx="174" formatCode="&quot;$&quot;#,##0.00_);[Red]\(&quot;$&quot;#,##0.00\)">
                  <c:v>527.83000000000004</c:v>
                </c:pt>
                <c:pt idx="175" formatCode="&quot;$&quot;#,##0.00_);[Red]\(&quot;$&quot;#,##0.00\)">
                  <c:v>546.28</c:v>
                </c:pt>
                <c:pt idx="176" formatCode="&quot;$&quot;#,##0.00_);[Red]\(&quot;$&quot;#,##0.00\)">
                  <c:v>522.62</c:v>
                </c:pt>
                <c:pt idx="177" formatCode="&quot;$&quot;#,##0.00_);[Red]\(&quot;$&quot;#,##0.00\)">
                  <c:v>517.51</c:v>
                </c:pt>
                <c:pt idx="178" formatCode="&quot;$&quot;#,##0.00_);[Red]\(&quot;$&quot;#,##0.00\)">
                  <c:v>522.53</c:v>
                </c:pt>
                <c:pt idx="179" formatCode="&quot;$&quot;#,##0.00_);[Red]\(&quot;$&quot;#,##0.00\)">
                  <c:v>541.29</c:v>
                </c:pt>
                <c:pt idx="180" formatCode="&quot;$&quot;#,##0.00_);[Red]\(&quot;$&quot;#,##0.00\)">
                  <c:v>556.27</c:v>
                </c:pt>
                <c:pt idx="181" formatCode="&quot;$&quot;#,##0.00_);[Red]\(&quot;$&quot;#,##0.00\)">
                  <c:v>576.97</c:v>
                </c:pt>
                <c:pt idx="182" formatCode="&quot;$&quot;#,##0.00_);[Red]\(&quot;$&quot;#,##0.00\)">
                  <c:v>577.72</c:v>
                </c:pt>
                <c:pt idx="183" formatCode="&quot;$&quot;#,##0.00_);[Red]\(&quot;$&quot;#,##0.00\)">
                  <c:v>587.91</c:v>
                </c:pt>
                <c:pt idx="184" formatCode="&quot;$&quot;#,##0.00_);[Red]\(&quot;$&quot;#,##0.00\)">
                  <c:v>581</c:v>
                </c:pt>
                <c:pt idx="185" formatCode="&quot;$&quot;#,##0.00_);[Red]\(&quot;$&quot;#,##0.00\)">
                  <c:v>591.72</c:v>
                </c:pt>
                <c:pt idx="186" formatCode="&quot;$&quot;#,##0.00_);[Red]\(&quot;$&quot;#,##0.00\)">
                  <c:v>598</c:v>
                </c:pt>
                <c:pt idx="187" formatCode="&quot;$&quot;#,##0.00_);[Red]\(&quot;$&quot;#,##0.00\)">
                  <c:v>593</c:v>
                </c:pt>
                <c:pt idx="188" formatCode="&quot;$&quot;#,##0.00_);[Red]\(&quot;$&quot;#,##0.00\)">
                  <c:v>571.66</c:v>
                </c:pt>
                <c:pt idx="189" formatCode="&quot;$&quot;#,##0.00_);[Red]\(&quot;$&quot;#,##0.00\)">
                  <c:v>578.37</c:v>
                </c:pt>
                <c:pt idx="190" formatCode="&quot;$&quot;#,##0.00_);[Red]\(&quot;$&quot;#,##0.00\)">
                  <c:v>576.86</c:v>
                </c:pt>
                <c:pt idx="191" formatCode="&quot;$&quot;#,##0.00_);[Red]\(&quot;$&quot;#,##0.00\)">
                  <c:v>585.77</c:v>
                </c:pt>
                <c:pt idx="192" formatCode="&quot;$&quot;#,##0.00_);[Red]\(&quot;$&quot;#,##0.00\)">
                  <c:v>585</c:v>
                </c:pt>
                <c:pt idx="193" formatCode="&quot;$&quot;#,##0.00_);[Red]\(&quot;$&quot;#,##0.00\)">
                  <c:v>580.46</c:v>
                </c:pt>
                <c:pt idx="194" formatCode="&quot;$&quot;#,##0.00_);[Red]\(&quot;$&quot;#,##0.00\)">
                  <c:v>587.48</c:v>
                </c:pt>
                <c:pt idx="195" formatCode="&quot;$&quot;#,##0.00_);[Red]\(&quot;$&quot;#,##0.00\)">
                  <c:v>586.45000000000005</c:v>
                </c:pt>
                <c:pt idx="196" formatCode="&quot;$&quot;#,##0.00_);[Red]\(&quot;$&quot;#,##0.00\)">
                  <c:v>585.92999999999995</c:v>
                </c:pt>
                <c:pt idx="197" formatCode="&quot;$&quot;#,##0.00_);[Red]\(&quot;$&quot;#,##0.00\)">
                  <c:v>585.52</c:v>
                </c:pt>
                <c:pt idx="198" formatCode="&quot;$&quot;#,##0.00_);[Red]\(&quot;$&quot;#,##0.00\)">
                  <c:v>568</c:v>
                </c:pt>
                <c:pt idx="199" formatCode="&quot;$&quot;#,##0.00_);[Red]\(&quot;$&quot;#,##0.00\)">
                  <c:v>560</c:v>
                </c:pt>
                <c:pt idx="200" formatCode="&quot;$&quot;#,##0.00_);[Red]\(&quot;$&quot;#,##0.00\)">
                  <c:v>560.75</c:v>
                </c:pt>
                <c:pt idx="201" formatCode="&quot;$&quot;#,##0.00_);[Red]\(&quot;$&quot;#,##0.00\)">
                  <c:v>578.08000000000004</c:v>
                </c:pt>
                <c:pt idx="202" formatCode="&quot;$&quot;#,##0.00_);[Red]\(&quot;$&quot;#,##0.00\)">
                  <c:v>588.70000000000005</c:v>
                </c:pt>
                <c:pt idx="203" formatCode="&quot;$&quot;#,##0.00_);[Red]\(&quot;$&quot;#,##0.00\)">
                  <c:v>592.80999999999995</c:v>
                </c:pt>
                <c:pt idx="204" formatCode="&quot;$&quot;#,##0.00_);[Red]\(&quot;$&quot;#,##0.00\)">
                  <c:v>596.11</c:v>
                </c:pt>
                <c:pt idx="205" formatCode="&quot;$&quot;#,##0.00_);[Red]\(&quot;$&quot;#,##0.00\)">
                  <c:v>579.19000000000005</c:v>
                </c:pt>
                <c:pt idx="206" formatCode="&quot;$&quot;#,##0.00_);[Red]\(&quot;$&quot;#,##0.00\)">
                  <c:v>583.66999999999996</c:v>
                </c:pt>
                <c:pt idx="207" formatCode="&quot;$&quot;#,##0.00_);[Red]\(&quot;$&quot;#,##0.00\)">
                  <c:v>601.36</c:v>
                </c:pt>
                <c:pt idx="208" formatCode="&quot;$&quot;#,##0.00_);[Red]\(&quot;$&quot;#,##0.00\)">
                  <c:v>605.91999999999996</c:v>
                </c:pt>
                <c:pt idx="209" formatCode="&quot;$&quot;#,##0.00_);[Red]\(&quot;$&quot;#,##0.00\)">
                  <c:v>604.77</c:v>
                </c:pt>
                <c:pt idx="210" formatCode="&quot;$&quot;#,##0.00_);[Red]\(&quot;$&quot;#,##0.00\)">
                  <c:v>584.01</c:v>
                </c:pt>
                <c:pt idx="211" formatCode="&quot;$&quot;#,##0.00_);[Red]\(&quot;$&quot;#,##0.00\)">
                  <c:v>579.55999999999995</c:v>
                </c:pt>
                <c:pt idx="212" formatCode="&quot;$&quot;#,##0.00_);[Red]\(&quot;$&quot;#,##0.00\)">
                  <c:v>575.4</c:v>
                </c:pt>
                <c:pt idx="213" formatCode="&quot;$&quot;#,##0.00_);[Red]\(&quot;$&quot;#,##0.00\)">
                  <c:v>562.59</c:v>
                </c:pt>
                <c:pt idx="214" formatCode="&quot;$&quot;#,##0.00_);[Red]\(&quot;$&quot;#,##0.00\)">
                  <c:v>570.4</c:v>
                </c:pt>
                <c:pt idx="215" formatCode="&quot;$&quot;#,##0.00_);[Red]\(&quot;$&quot;#,##0.00\)">
                  <c:v>574.36</c:v>
                </c:pt>
                <c:pt idx="216" formatCode="&quot;$&quot;#,##0.00_);[Red]\(&quot;$&quot;#,##0.00\)">
                  <c:v>563.59</c:v>
                </c:pt>
                <c:pt idx="217" formatCode="&quot;$&quot;#,##0.00_);[Red]\(&quot;$&quot;#,##0.00\)">
                  <c:v>559.14</c:v>
                </c:pt>
                <c:pt idx="218" formatCode="&quot;$&quot;#,##0.00_);[Red]\(&quot;$&quot;#,##0.00\)">
                  <c:v>547.33000000000004</c:v>
                </c:pt>
                <c:pt idx="219" formatCode="&quot;$&quot;#,##0.00_);[Red]\(&quot;$&quot;#,##0.00\)">
                  <c:v>529.41</c:v>
                </c:pt>
                <c:pt idx="220" formatCode="&quot;$&quot;#,##0.00_);[Red]\(&quot;$&quot;#,##0.00\)">
                  <c:v>540.73</c:v>
                </c:pt>
                <c:pt idx="221" formatCode="&quot;$&quot;#,##0.00_);[Red]\(&quot;$&quot;#,##0.00\)">
                  <c:v>552.53</c:v>
                </c:pt>
                <c:pt idx="222" formatCode="&quot;$&quot;#,##0.00_);[Red]\(&quot;$&quot;#,##0.00\)">
                  <c:v>562.47</c:v>
                </c:pt>
                <c:pt idx="223" formatCode="&quot;$&quot;#,##0.00_);[Red]\(&quot;$&quot;#,##0.00\)">
                  <c:v>555</c:v>
                </c:pt>
                <c:pt idx="224" formatCode="&quot;$&quot;#,##0.00_);[Red]\(&quot;$&quot;#,##0.00\)">
                  <c:v>560.4</c:v>
                </c:pt>
                <c:pt idx="225" formatCode="&quot;$&quot;#,##0.00_);[Red]\(&quot;$&quot;#,##0.00\)">
                  <c:v>565.26499999999999</c:v>
                </c:pt>
                <c:pt idx="226" formatCode="&quot;$&quot;#,##0.00_);[Red]\(&quot;$&quot;#,##0.00\)">
                  <c:v>553.1</c:v>
                </c:pt>
                <c:pt idx="227" formatCode="&quot;$&quot;#,##0.00_);[Red]\(&quot;$&quot;#,##0.00\)">
                  <c:v>536.02</c:v>
                </c:pt>
                <c:pt idx="228" formatCode="&quot;$&quot;#,##0.00_);[Red]\(&quot;$&quot;#,##0.00\)">
                  <c:v>530.76</c:v>
                </c:pt>
                <c:pt idx="229" formatCode="&quot;$&quot;#,##0.00_);[Red]\(&quot;$&quot;#,##0.00\)">
                  <c:v>531.75</c:v>
                </c:pt>
                <c:pt idx="230" formatCode="&quot;$&quot;#,##0.00_);[Red]\(&quot;$&quot;#,##0.00\)">
                  <c:v>534.51</c:v>
                </c:pt>
                <c:pt idx="231" formatCode="&quot;$&quot;#,##0.00_);[Red]\(&quot;$&quot;#,##0.00\)">
                  <c:v>467.45</c:v>
                </c:pt>
                <c:pt idx="232" formatCode="&quot;$&quot;#,##0.00_);[Red]\(&quot;$&quot;#,##0.00\)">
                  <c:v>450.58</c:v>
                </c:pt>
                <c:pt idx="233" formatCode="&quot;$&quot;#,##0.00_);[Red]\(&quot;$&quot;#,##0.00\)">
                  <c:v>453.03</c:v>
                </c:pt>
                <c:pt idx="234" formatCode="&quot;$&quot;#,##0.00_);[Red]\(&quot;$&quot;#,##0.00\)">
                  <c:v>459.18</c:v>
                </c:pt>
                <c:pt idx="235" formatCode="&quot;$&quot;#,##0.00_);[Red]\(&quot;$&quot;#,##0.00\)">
                  <c:v>450.15</c:v>
                </c:pt>
                <c:pt idx="236" formatCode="&quot;$&quot;#,##0.00_);[Red]\(&quot;$&quot;#,##0.00\)">
                  <c:v>452.52</c:v>
                </c:pt>
                <c:pt idx="237" formatCode="&quot;$&quot;#,##0.00_);[Red]\(&quot;$&quot;#,##0.00\)">
                  <c:v>452.37</c:v>
                </c:pt>
                <c:pt idx="238" formatCode="&quot;$&quot;#,##0.00_);[Red]\(&quot;$&quot;#,##0.00\)">
                  <c:v>460.76499999999999</c:v>
                </c:pt>
                <c:pt idx="239" formatCode="&quot;$&quot;#,##0.00_);[Red]\(&quot;$&quot;#,##0.00\)">
                  <c:v>468.91</c:v>
                </c:pt>
                <c:pt idx="240" formatCode="&quot;$&quot;#,##0.00_);[Red]\(&quot;$&quot;#,##0.00\)">
                  <c:v>450.82</c:v>
                </c:pt>
                <c:pt idx="241" formatCode="&quot;$&quot;#,##0.00_);[Red]\(&quot;$&quot;#,##0.00\)">
                  <c:v>441.53</c:v>
                </c:pt>
                <c:pt idx="242" formatCode="&quot;$&quot;#,##0.00_);[Red]\(&quot;$&quot;#,##0.00\)">
                  <c:v>431.74</c:v>
                </c:pt>
                <c:pt idx="243" formatCode="&quot;$&quot;#,##0.00_);[Red]\(&quot;$&quot;#,##0.00\)">
                  <c:v>437.99</c:v>
                </c:pt>
                <c:pt idx="244" formatCode="&quot;$&quot;#,##0.00_);[Red]\(&quot;$&quot;#,##0.00\)">
                  <c:v>439.86</c:v>
                </c:pt>
                <c:pt idx="245" formatCode="&quot;$&quot;#,##0.00_);[Red]\(&quot;$&quot;#,##0.00\)">
                  <c:v>433.65</c:v>
                </c:pt>
                <c:pt idx="246" formatCode="&quot;$&quot;#,##0.00_);[Red]\(&quot;$&quot;#,##0.00\)">
                  <c:v>435.98</c:v>
                </c:pt>
                <c:pt idx="247" formatCode="&quot;$&quot;#,##0.00_);[Red]\(&quot;$&quot;#,##0.00\)">
                  <c:v>430.07</c:v>
                </c:pt>
                <c:pt idx="248" formatCode="&quot;$&quot;#,##0.00_);[Red]\(&quot;$&quot;#,##0.00\)">
                  <c:v>430.82</c:v>
                </c:pt>
                <c:pt idx="249" formatCode="&quot;$&quot;#,##0.00_);[Red]\(&quot;$&quot;#,##0.00\)">
                  <c:v>419.14</c:v>
                </c:pt>
                <c:pt idx="250" formatCode="&quot;$&quot;#,##0.00_);[Red]\(&quot;$&quot;#,##0.00\)">
                  <c:v>421.22</c:v>
                </c:pt>
                <c:pt idx="251" formatCode="&quot;$&quot;#,##0.00_);[Red]\(&quot;$&quot;#,##0.00\)">
                  <c:v>418.79</c:v>
                </c:pt>
                <c:pt idx="252" formatCode="&quot;$&quot;#,##0.00_);[Red]\(&quot;$&quot;#,##0.00\)">
                  <c:v>427.5</c:v>
                </c:pt>
                <c:pt idx="253" formatCode="&quot;$&quot;#,##0.00_);[Red]\(&quot;$&quot;#,##0.00\)">
                  <c:v>438.22</c:v>
                </c:pt>
              </c:numCache>
            </c:numRef>
          </c:val>
          <c:smooth val="0"/>
          <c:extLst>
            <c:ext xmlns:c16="http://schemas.microsoft.com/office/drawing/2014/chart" uri="{C3380CC4-5D6E-409C-BE32-E72D297353CC}">
              <c16:uniqueId val="{00000006-D22B-460A-BAE6-BE7FCC06C774}"/>
            </c:ext>
          </c:extLst>
        </c:ser>
        <c:dLbls>
          <c:showLegendKey val="0"/>
          <c:showVal val="0"/>
          <c:showCatName val="0"/>
          <c:showSerName val="0"/>
          <c:showPercent val="0"/>
          <c:showBubbleSize val="0"/>
        </c:dLbls>
        <c:smooth val="0"/>
        <c:axId val="1211096511"/>
        <c:axId val="1211104191"/>
      </c:lineChart>
      <c:dateAx>
        <c:axId val="1211096511"/>
        <c:scaling>
          <c:orientation val="minMax"/>
        </c:scaling>
        <c:delete val="0"/>
        <c:axPos val="b"/>
        <c:numFmt formatCode="[$-409]mmm\,\ yyyy;@" sourceLinked="0"/>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04191"/>
        <c:crosses val="autoZero"/>
        <c:auto val="1"/>
        <c:lblOffset val="100"/>
        <c:baseTimeUnit val="days"/>
        <c:majorUnit val="1"/>
        <c:majorTimeUnit val="years"/>
        <c:minorUnit val="1"/>
        <c:minorTimeUnit val="years"/>
      </c:dateAx>
      <c:valAx>
        <c:axId val="1211104191"/>
        <c:scaling>
          <c:orientation val="minMax"/>
          <c:max val="625"/>
          <c:min val="3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096511"/>
        <c:crosses val="autoZero"/>
        <c:crossBetween val="between"/>
      </c:valAx>
      <c:spPr>
        <a:noFill/>
        <a:ln>
          <a:noFill/>
        </a:ln>
        <a:effectLst/>
      </c:spPr>
    </c:plotArea>
    <c:legend>
      <c:legendPos val="r"/>
      <c:layout>
        <c:manualLayout>
          <c:xMode val="edge"/>
          <c:yMode val="edge"/>
          <c:x val="7.5415058696628864E-3"/>
          <c:y val="9.9093275195951819E-3"/>
          <c:w val="0.3235899325888642"/>
          <c:h val="0.107772318777651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rot="-5400000" vert="horz"/>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baseline="0"/>
              <a:t>Tonnage and Shipments (In Millions)</a:t>
            </a:r>
          </a:p>
        </c:rich>
      </c:tx>
      <c:layout>
        <c:manualLayout>
          <c:xMode val="edge"/>
          <c:yMode val="edge"/>
          <c:x val="0.29132488879714702"/>
          <c:y val="1.0167267562853927E-2"/>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74023566158297"/>
          <c:y val="0.17025128738855497"/>
          <c:w val="0.80394791819325995"/>
          <c:h val="0.74003076525430356"/>
        </c:manualLayout>
      </c:layout>
      <c:barChart>
        <c:barDir val="col"/>
        <c:grouping val="clustered"/>
        <c:varyColors val="0"/>
        <c:ser>
          <c:idx val="0"/>
          <c:order val="0"/>
          <c:tx>
            <c:strRef>
              <c:f>'Revenue Build'!$C$19</c:f>
              <c:strCache>
                <c:ptCount val="1"/>
                <c:pt idx="0">
                  <c:v>LTL Tonnage (In Millions)</c:v>
                </c:pt>
              </c:strCache>
            </c:strRef>
          </c:tx>
          <c:spPr>
            <a:solidFill>
              <a:srgbClr val="7A0019"/>
            </a:solidFill>
            <a:ln>
              <a:solidFill>
                <a:srgbClr val="7A0019"/>
              </a:solidFill>
            </a:ln>
            <a:effectLst/>
          </c:spPr>
          <c:invertIfNegative val="0"/>
          <c:dPt>
            <c:idx val="0"/>
            <c:invertIfNegative val="0"/>
            <c:bubble3D val="0"/>
            <c:spPr>
              <a:solidFill>
                <a:srgbClr val="000066"/>
              </a:solidFill>
              <a:ln>
                <a:solidFill>
                  <a:srgbClr val="7A0019"/>
                </a:solidFill>
              </a:ln>
              <a:effectLst/>
            </c:spPr>
            <c:extLst>
              <c:ext xmlns:c16="http://schemas.microsoft.com/office/drawing/2014/chart" uri="{C3380CC4-5D6E-409C-BE32-E72D297353CC}">
                <c16:uniqueId val="{00000008-6CC9-472D-8B77-CC28E61A0E95}"/>
              </c:ext>
            </c:extLst>
          </c:dPt>
          <c:dPt>
            <c:idx val="1"/>
            <c:invertIfNegative val="0"/>
            <c:bubble3D val="0"/>
            <c:spPr>
              <a:solidFill>
                <a:srgbClr val="000066"/>
              </a:solidFill>
              <a:ln>
                <a:solidFill>
                  <a:srgbClr val="7A0019"/>
                </a:solidFill>
              </a:ln>
              <a:effectLst/>
            </c:spPr>
            <c:extLst>
              <c:ext xmlns:c16="http://schemas.microsoft.com/office/drawing/2014/chart" uri="{C3380CC4-5D6E-409C-BE32-E72D297353CC}">
                <c16:uniqueId val="{00000007-6CC9-472D-8B77-CC28E61A0E95}"/>
              </c:ext>
            </c:extLst>
          </c:dPt>
          <c:dPt>
            <c:idx val="2"/>
            <c:invertIfNegative val="0"/>
            <c:bubble3D val="0"/>
            <c:spPr>
              <a:solidFill>
                <a:srgbClr val="000066"/>
              </a:solidFill>
              <a:ln>
                <a:solidFill>
                  <a:srgbClr val="7A0019"/>
                </a:solidFill>
              </a:ln>
              <a:effectLst/>
            </c:spPr>
            <c:extLst>
              <c:ext xmlns:c16="http://schemas.microsoft.com/office/drawing/2014/chart" uri="{C3380CC4-5D6E-409C-BE32-E72D297353CC}">
                <c16:uniqueId val="{00000006-6CC9-472D-8B77-CC28E61A0E95}"/>
              </c:ext>
            </c:extLst>
          </c:dPt>
          <c:dPt>
            <c:idx val="3"/>
            <c:invertIfNegative val="0"/>
            <c:bubble3D val="0"/>
            <c:spPr>
              <a:solidFill>
                <a:srgbClr val="000066"/>
              </a:solidFill>
              <a:ln>
                <a:solidFill>
                  <a:srgbClr val="7A0019"/>
                </a:solidFill>
              </a:ln>
              <a:effectLst/>
            </c:spPr>
            <c:extLst>
              <c:ext xmlns:c16="http://schemas.microsoft.com/office/drawing/2014/chart" uri="{C3380CC4-5D6E-409C-BE32-E72D297353CC}">
                <c16:uniqueId val="{00000005-6CC9-472D-8B77-CC28E61A0E95}"/>
              </c:ext>
            </c:extLst>
          </c:dPt>
          <c:cat>
            <c:strRef>
              <c:f>Cover!$D$30:$L$30</c:f>
              <c:strCache>
                <c:ptCount val="9"/>
                <c:pt idx="0">
                  <c:v>2020A</c:v>
                </c:pt>
                <c:pt idx="1">
                  <c:v>2021A</c:v>
                </c:pt>
                <c:pt idx="2">
                  <c:v>2022A</c:v>
                </c:pt>
                <c:pt idx="3">
                  <c:v>2023A</c:v>
                </c:pt>
                <c:pt idx="4">
                  <c:v>2024E</c:v>
                </c:pt>
                <c:pt idx="5">
                  <c:v>2025E</c:v>
                </c:pt>
                <c:pt idx="6">
                  <c:v>2026E</c:v>
                </c:pt>
                <c:pt idx="7">
                  <c:v>2027E</c:v>
                </c:pt>
                <c:pt idx="8">
                  <c:v>2028E</c:v>
                </c:pt>
              </c:strCache>
            </c:strRef>
          </c:cat>
          <c:val>
            <c:numRef>
              <c:f>'Revenue Build'!$G$19:$O$19</c:f>
              <c:numCache>
                <c:formatCode>0.00_);\(0.00\)</c:formatCode>
                <c:ptCount val="9"/>
                <c:pt idx="0">
                  <c:v>4.8419999999999996</c:v>
                </c:pt>
                <c:pt idx="1">
                  <c:v>5.4009999999999998</c:v>
                </c:pt>
                <c:pt idx="2">
                  <c:v>5.4729999999999999</c:v>
                </c:pt>
                <c:pt idx="3">
                  <c:v>5.5430000000000001</c:v>
                </c:pt>
                <c:pt idx="4">
                  <c:v>6.0357439999999993</c:v>
                </c:pt>
                <c:pt idx="5">
                  <c:v>6.3805845919999999</c:v>
                </c:pt>
                <c:pt idx="6">
                  <c:v>6.8642150898703997</c:v>
                </c:pt>
                <c:pt idx="7">
                  <c:v>7.2971834075471538</c:v>
                </c:pt>
                <c:pt idx="8">
                  <c:v>7.7062699369505427</c:v>
                </c:pt>
              </c:numCache>
            </c:numRef>
          </c:val>
          <c:extLst>
            <c:ext xmlns:c16="http://schemas.microsoft.com/office/drawing/2014/chart" uri="{C3380CC4-5D6E-409C-BE32-E72D297353CC}">
              <c16:uniqueId val="{00000003-6CC9-472D-8B77-CC28E61A0E95}"/>
            </c:ext>
          </c:extLst>
        </c:ser>
        <c:dLbls>
          <c:showLegendKey val="0"/>
          <c:showVal val="0"/>
          <c:showCatName val="0"/>
          <c:showSerName val="0"/>
          <c:showPercent val="0"/>
          <c:showBubbleSize val="0"/>
        </c:dLbls>
        <c:gapWidth val="150"/>
        <c:axId val="446749055"/>
        <c:axId val="446748095"/>
      </c:barChart>
      <c:lineChart>
        <c:grouping val="standard"/>
        <c:varyColors val="0"/>
        <c:ser>
          <c:idx val="1"/>
          <c:order val="1"/>
          <c:tx>
            <c:strRef>
              <c:f>'Revenue Build'!$C$21</c:f>
              <c:strCache>
                <c:ptCount val="1"/>
                <c:pt idx="0">
                  <c:v>LTL Shipments (In Millions)</c:v>
                </c:pt>
              </c:strCache>
            </c:strRef>
          </c:tx>
          <c:spPr>
            <a:ln w="28575" cap="rnd">
              <a:solidFill>
                <a:schemeClr val="accent4"/>
              </a:solidFill>
              <a:round/>
            </a:ln>
            <a:effectLst/>
          </c:spPr>
          <c:marker>
            <c:symbol val="none"/>
          </c:marker>
          <c:dPt>
            <c:idx val="1"/>
            <c:marker>
              <c:symbol val="none"/>
            </c:marker>
            <c:bubble3D val="0"/>
            <c:spPr>
              <a:ln w="28575" cap="rnd">
                <a:solidFill>
                  <a:srgbClr val="00B050"/>
                </a:solidFill>
                <a:round/>
              </a:ln>
              <a:effectLst/>
            </c:spPr>
            <c:extLst>
              <c:ext xmlns:c16="http://schemas.microsoft.com/office/drawing/2014/chart" uri="{C3380CC4-5D6E-409C-BE32-E72D297353CC}">
                <c16:uniqueId val="{0000000B-6CC9-472D-8B77-CC28E61A0E95}"/>
              </c:ext>
            </c:extLst>
          </c:dPt>
          <c:dPt>
            <c:idx val="2"/>
            <c:marker>
              <c:symbol val="none"/>
            </c:marker>
            <c:bubble3D val="0"/>
            <c:spPr>
              <a:ln w="28575" cap="rnd">
                <a:solidFill>
                  <a:srgbClr val="00B050"/>
                </a:solidFill>
                <a:round/>
              </a:ln>
              <a:effectLst/>
            </c:spPr>
            <c:extLst>
              <c:ext xmlns:c16="http://schemas.microsoft.com/office/drawing/2014/chart" uri="{C3380CC4-5D6E-409C-BE32-E72D297353CC}">
                <c16:uniqueId val="{0000000A-6CC9-472D-8B77-CC28E61A0E95}"/>
              </c:ext>
            </c:extLst>
          </c:dPt>
          <c:dPt>
            <c:idx val="3"/>
            <c:marker>
              <c:symbol val="none"/>
            </c:marker>
            <c:bubble3D val="0"/>
            <c:spPr>
              <a:ln w="28575" cap="rnd">
                <a:solidFill>
                  <a:srgbClr val="00B050"/>
                </a:solidFill>
                <a:round/>
              </a:ln>
              <a:effectLst/>
            </c:spPr>
            <c:extLst>
              <c:ext xmlns:c16="http://schemas.microsoft.com/office/drawing/2014/chart" uri="{C3380CC4-5D6E-409C-BE32-E72D297353CC}">
                <c16:uniqueId val="{00000009-6CC9-472D-8B77-CC28E61A0E95}"/>
              </c:ext>
            </c:extLst>
          </c:dPt>
          <c:cat>
            <c:strRef>
              <c:f>Cover!$D$30:$L$30</c:f>
              <c:strCache>
                <c:ptCount val="9"/>
                <c:pt idx="0">
                  <c:v>2020A</c:v>
                </c:pt>
                <c:pt idx="1">
                  <c:v>2021A</c:v>
                </c:pt>
                <c:pt idx="2">
                  <c:v>2022A</c:v>
                </c:pt>
                <c:pt idx="3">
                  <c:v>2023A</c:v>
                </c:pt>
                <c:pt idx="4">
                  <c:v>2024E</c:v>
                </c:pt>
                <c:pt idx="5">
                  <c:v>2025E</c:v>
                </c:pt>
                <c:pt idx="6">
                  <c:v>2026E</c:v>
                </c:pt>
                <c:pt idx="7">
                  <c:v>2027E</c:v>
                </c:pt>
                <c:pt idx="8">
                  <c:v>2028E</c:v>
                </c:pt>
              </c:strCache>
            </c:strRef>
          </c:cat>
          <c:val>
            <c:numRef>
              <c:f>'Revenue Build'!$G$21:$O$21</c:f>
              <c:numCache>
                <c:formatCode>0.00_);\(0.00\)</c:formatCode>
                <c:ptCount val="9"/>
                <c:pt idx="0">
                  <c:v>7.3710000000000004</c:v>
                </c:pt>
                <c:pt idx="1">
                  <c:v>7.73</c:v>
                </c:pt>
                <c:pt idx="2">
                  <c:v>7.6970000000000001</c:v>
                </c:pt>
                <c:pt idx="3">
                  <c:v>7.9969999999999999</c:v>
                </c:pt>
                <c:pt idx="4">
                  <c:v>8.9900941176470592</c:v>
                </c:pt>
                <c:pt idx="5">
                  <c:v>9.3618096276997225</c:v>
                </c:pt>
                <c:pt idx="6">
                  <c:v>9.7931455200451687</c:v>
                </c:pt>
                <c:pt idx="7">
                  <c:v>10.244490332482416</c:v>
                </c:pt>
                <c:pt idx="8">
                  <c:v>10.646506064444953</c:v>
                </c:pt>
              </c:numCache>
            </c:numRef>
          </c:val>
          <c:smooth val="0"/>
          <c:extLst>
            <c:ext xmlns:c16="http://schemas.microsoft.com/office/drawing/2014/chart" uri="{C3380CC4-5D6E-409C-BE32-E72D297353CC}">
              <c16:uniqueId val="{00000004-6CC9-472D-8B77-CC28E61A0E95}"/>
            </c:ext>
          </c:extLst>
        </c:ser>
        <c:dLbls>
          <c:showLegendKey val="0"/>
          <c:showVal val="0"/>
          <c:showCatName val="0"/>
          <c:showSerName val="0"/>
          <c:showPercent val="0"/>
          <c:showBubbleSize val="0"/>
        </c:dLbls>
        <c:marker val="1"/>
        <c:smooth val="0"/>
        <c:axId val="1211110431"/>
        <c:axId val="1211109471"/>
      </c:lineChart>
      <c:catAx>
        <c:axId val="446749055"/>
        <c:scaling>
          <c:orientation val="minMax"/>
        </c:scaling>
        <c:delete val="0"/>
        <c:axPos val="b"/>
        <c:numFmt formatCode="yyyy&quot;A&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46748095"/>
        <c:crosses val="autoZero"/>
        <c:auto val="1"/>
        <c:lblAlgn val="ctr"/>
        <c:lblOffset val="100"/>
        <c:noMultiLvlLbl val="0"/>
      </c:catAx>
      <c:valAx>
        <c:axId val="446748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800" b="0" i="0" u="none" strike="noStrike" kern="1200" baseline="0">
                    <a:solidFill>
                      <a:sysClr val="windowText" lastClr="000000">
                        <a:lumMod val="65000"/>
                        <a:lumOff val="35000"/>
                      </a:sysClr>
                    </a:solidFill>
                    <a:latin typeface="+mn-lt"/>
                    <a:ea typeface="+mn-ea"/>
                    <a:cs typeface="+mn-cs"/>
                  </a:defRPr>
                </a:pPr>
                <a:r>
                  <a:rPr lang="en-US" sz="800" b="0" i="0" u="none" strike="noStrike" kern="1200" spc="0" baseline="0">
                    <a:solidFill>
                      <a:sysClr val="windowText" lastClr="000000">
                        <a:lumMod val="65000"/>
                        <a:lumOff val="35000"/>
                      </a:sysClr>
                    </a:solidFill>
                  </a:rPr>
                  <a:t>Tonnage (In Millions)</a:t>
                </a:r>
              </a:p>
              <a:p>
                <a:pPr marL="0" marR="0" lvl="0" indent="0" algn="ctr" defTabSz="914400" rtl="0" eaLnBrk="1" fontAlgn="auto" latinLnBrk="0" hangingPunct="1">
                  <a:lnSpc>
                    <a:spcPct val="100000"/>
                  </a:lnSpc>
                  <a:spcBef>
                    <a:spcPts val="0"/>
                  </a:spcBef>
                  <a:spcAft>
                    <a:spcPts val="0"/>
                  </a:spcAft>
                  <a:buClrTx/>
                  <a:buSzTx/>
                  <a:buFontTx/>
                  <a:buNone/>
                  <a:tabLst/>
                  <a:defRPr sz="800">
                    <a:solidFill>
                      <a:sysClr val="windowText" lastClr="000000">
                        <a:lumMod val="65000"/>
                        <a:lumOff val="35000"/>
                      </a:sysClr>
                    </a:solidFill>
                  </a:defRPr>
                </a:pPr>
                <a:endParaRPr lang="en-US" sz="800" baseline="0"/>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800" b="0" i="0" u="none" strike="noStrike" kern="1200" baseline="0">
                  <a:solidFill>
                    <a:sysClr val="windowText" lastClr="000000">
                      <a:lumMod val="65000"/>
                      <a:lumOff val="35000"/>
                    </a:sysClr>
                  </a:solidFill>
                  <a:latin typeface="+mn-lt"/>
                  <a:ea typeface="+mn-ea"/>
                  <a:cs typeface="+mn-cs"/>
                </a:defRPr>
              </a:pPr>
              <a:endParaRPr lang="en-US"/>
            </a:p>
          </c:txPr>
        </c:title>
        <c:numFmt formatCode="0.00_);\(0.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46749055"/>
        <c:crosses val="autoZero"/>
        <c:crossBetween val="between"/>
      </c:valAx>
      <c:valAx>
        <c:axId val="1211109471"/>
        <c:scaling>
          <c:orientation val="minMax"/>
        </c:scaling>
        <c:delete val="0"/>
        <c:axPos val="r"/>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800" b="0" i="0" u="none" strike="noStrike" kern="1200" baseline="0">
                    <a:solidFill>
                      <a:sysClr val="windowText" lastClr="000000">
                        <a:lumMod val="65000"/>
                        <a:lumOff val="35000"/>
                      </a:sysClr>
                    </a:solidFill>
                    <a:latin typeface="+mn-lt"/>
                    <a:ea typeface="+mn-ea"/>
                    <a:cs typeface="+mn-cs"/>
                  </a:defRPr>
                </a:pPr>
                <a:r>
                  <a:rPr lang="en-US" sz="800" b="0" i="0" u="none" strike="noStrike" kern="1200" spc="0" baseline="0">
                    <a:solidFill>
                      <a:sysClr val="windowText" lastClr="000000">
                        <a:lumMod val="65000"/>
                        <a:lumOff val="35000"/>
                      </a:sysClr>
                    </a:solidFill>
                  </a:rPr>
                  <a:t>Shipments (In Millions)</a:t>
                </a:r>
              </a:p>
            </c:rich>
          </c:tx>
          <c:layout>
            <c:manualLayout>
              <c:xMode val="edge"/>
              <c:yMode val="edge"/>
              <c:x val="0.95784612548293169"/>
              <c:y val="0.34014913860427431"/>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800" b="0" i="0" u="none" strike="noStrike" kern="1200" baseline="0">
                  <a:solidFill>
                    <a:sysClr val="windowText" lastClr="000000">
                      <a:lumMod val="65000"/>
                      <a:lumOff val="35000"/>
                    </a:sys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1110431"/>
        <c:crosses val="max"/>
        <c:crossBetween val="between"/>
      </c:valAx>
      <c:catAx>
        <c:axId val="1211110431"/>
        <c:scaling>
          <c:orientation val="minMax"/>
        </c:scaling>
        <c:delete val="1"/>
        <c:axPos val="b"/>
        <c:numFmt formatCode="General" sourceLinked="1"/>
        <c:majorTickMark val="out"/>
        <c:minorTickMark val="none"/>
        <c:tickLblPos val="nextTo"/>
        <c:crossAx val="1211109471"/>
        <c:crosses val="autoZero"/>
        <c:auto val="1"/>
        <c:lblAlgn val="ctr"/>
        <c:lblOffset val="100"/>
        <c:noMultiLvlLbl val="0"/>
      </c:catAx>
      <c:spPr>
        <a:noFill/>
        <a:ln>
          <a:noFill/>
        </a:ln>
        <a:effectLst/>
      </c:spPr>
    </c:plotArea>
    <c:legend>
      <c:legendPos val="b"/>
      <c:layout>
        <c:manualLayout>
          <c:xMode val="edge"/>
          <c:yMode val="edge"/>
          <c:x val="0.10477928482210928"/>
          <c:y val="8.4815114757963661E-2"/>
          <c:w val="0.76484041749162768"/>
          <c:h val="7.9646931626726786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baseline="0"/>
              <a:t>ROIC, EBIT Margin and IC Turns )</a:t>
            </a:r>
          </a:p>
        </c:rich>
      </c:tx>
      <c:layout>
        <c:manualLayout>
          <c:xMode val="edge"/>
          <c:yMode val="edge"/>
          <c:x val="0.29132488879714702"/>
          <c:y val="1.0167267562853927E-2"/>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40269940167901"/>
          <c:y val="0.17025128738855497"/>
          <c:w val="0.79528559618835248"/>
          <c:h val="0.74003076525430356"/>
        </c:manualLayout>
      </c:layout>
      <c:barChart>
        <c:barDir val="col"/>
        <c:grouping val="clustered"/>
        <c:varyColors val="0"/>
        <c:ser>
          <c:idx val="0"/>
          <c:order val="0"/>
          <c:tx>
            <c:strRef>
              <c:f>'Invested Capital'!$C$42</c:f>
              <c:strCache>
                <c:ptCount val="1"/>
                <c:pt idx="0">
                  <c:v>ROIC</c:v>
                </c:pt>
              </c:strCache>
            </c:strRef>
          </c:tx>
          <c:spPr>
            <a:solidFill>
              <a:srgbClr val="7A0019"/>
            </a:solidFill>
            <a:ln>
              <a:noFill/>
            </a:ln>
            <a:effectLst/>
          </c:spPr>
          <c:invertIfNegative val="0"/>
          <c:dPt>
            <c:idx val="0"/>
            <c:invertIfNegative val="0"/>
            <c:bubble3D val="0"/>
            <c:spPr>
              <a:solidFill>
                <a:srgbClr val="000066"/>
              </a:solidFill>
              <a:ln>
                <a:noFill/>
              </a:ln>
              <a:effectLst/>
            </c:spPr>
            <c:extLst>
              <c:ext xmlns:c16="http://schemas.microsoft.com/office/drawing/2014/chart" uri="{C3380CC4-5D6E-409C-BE32-E72D297353CC}">
                <c16:uniqueId val="{00000001-B602-4177-B489-76BF99D76C08}"/>
              </c:ext>
            </c:extLst>
          </c:dPt>
          <c:dPt>
            <c:idx val="1"/>
            <c:invertIfNegative val="0"/>
            <c:bubble3D val="0"/>
            <c:spPr>
              <a:solidFill>
                <a:srgbClr val="000066"/>
              </a:solidFill>
              <a:ln>
                <a:noFill/>
              </a:ln>
              <a:effectLst/>
            </c:spPr>
            <c:extLst>
              <c:ext xmlns:c16="http://schemas.microsoft.com/office/drawing/2014/chart" uri="{C3380CC4-5D6E-409C-BE32-E72D297353CC}">
                <c16:uniqueId val="{00000003-B602-4177-B489-76BF99D76C08}"/>
              </c:ext>
            </c:extLst>
          </c:dPt>
          <c:dPt>
            <c:idx val="2"/>
            <c:invertIfNegative val="0"/>
            <c:bubble3D val="0"/>
            <c:spPr>
              <a:solidFill>
                <a:srgbClr val="000066"/>
              </a:solidFill>
              <a:ln>
                <a:noFill/>
              </a:ln>
              <a:effectLst/>
            </c:spPr>
            <c:extLst>
              <c:ext xmlns:c16="http://schemas.microsoft.com/office/drawing/2014/chart" uri="{C3380CC4-5D6E-409C-BE32-E72D297353CC}">
                <c16:uniqueId val="{00000005-B602-4177-B489-76BF99D76C08}"/>
              </c:ext>
            </c:extLst>
          </c:dPt>
          <c:dPt>
            <c:idx val="3"/>
            <c:invertIfNegative val="0"/>
            <c:bubble3D val="0"/>
            <c:spPr>
              <a:solidFill>
                <a:srgbClr val="000066"/>
              </a:solidFill>
              <a:ln>
                <a:noFill/>
              </a:ln>
              <a:effectLst/>
            </c:spPr>
            <c:extLst>
              <c:ext xmlns:c16="http://schemas.microsoft.com/office/drawing/2014/chart" uri="{C3380CC4-5D6E-409C-BE32-E72D297353CC}">
                <c16:uniqueId val="{00000007-B602-4177-B489-76BF99D76C08}"/>
              </c:ext>
            </c:extLst>
          </c:dPt>
          <c:cat>
            <c:strRef>
              <c:f>Cover!$D$30:$L$30</c:f>
              <c:strCache>
                <c:ptCount val="9"/>
                <c:pt idx="0">
                  <c:v>2020A</c:v>
                </c:pt>
                <c:pt idx="1">
                  <c:v>2021A</c:v>
                </c:pt>
                <c:pt idx="2">
                  <c:v>2022A</c:v>
                </c:pt>
                <c:pt idx="3">
                  <c:v>2023A</c:v>
                </c:pt>
                <c:pt idx="4">
                  <c:v>2024E</c:v>
                </c:pt>
                <c:pt idx="5">
                  <c:v>2025E</c:v>
                </c:pt>
                <c:pt idx="6">
                  <c:v>2026E</c:v>
                </c:pt>
                <c:pt idx="7">
                  <c:v>2027E</c:v>
                </c:pt>
                <c:pt idx="8">
                  <c:v>2028E</c:v>
                </c:pt>
              </c:strCache>
            </c:strRef>
          </c:cat>
          <c:val>
            <c:numRef>
              <c:f>'Invested Capital'!$G$42:$O$42</c:f>
              <c:numCache>
                <c:formatCode>0.0%</c:formatCode>
                <c:ptCount val="9"/>
                <c:pt idx="0">
                  <c:v>0.13781981793792344</c:v>
                </c:pt>
                <c:pt idx="1">
                  <c:v>0.23060009123927511</c:v>
                </c:pt>
                <c:pt idx="2">
                  <c:v>0.28515120130246163</c:v>
                </c:pt>
                <c:pt idx="3">
                  <c:v>0.22982382621286879</c:v>
                </c:pt>
                <c:pt idx="4">
                  <c:v>0.21100246803585429</c:v>
                </c:pt>
                <c:pt idx="5">
                  <c:v>0.19169838275726703</c:v>
                </c:pt>
                <c:pt idx="6">
                  <c:v>0.21146794401667762</c:v>
                </c:pt>
                <c:pt idx="7">
                  <c:v>0.21843407414344992</c:v>
                </c:pt>
                <c:pt idx="8">
                  <c:v>0.22930076283814718</c:v>
                </c:pt>
              </c:numCache>
            </c:numRef>
          </c:val>
          <c:extLst>
            <c:ext xmlns:c16="http://schemas.microsoft.com/office/drawing/2014/chart" uri="{C3380CC4-5D6E-409C-BE32-E72D297353CC}">
              <c16:uniqueId val="{00000008-B602-4177-B489-76BF99D76C08}"/>
            </c:ext>
          </c:extLst>
        </c:ser>
        <c:dLbls>
          <c:showLegendKey val="0"/>
          <c:showVal val="0"/>
          <c:showCatName val="0"/>
          <c:showSerName val="0"/>
          <c:showPercent val="0"/>
          <c:showBubbleSize val="0"/>
        </c:dLbls>
        <c:gapWidth val="150"/>
        <c:axId val="446749055"/>
        <c:axId val="446748095"/>
      </c:barChart>
      <c:lineChart>
        <c:grouping val="standard"/>
        <c:varyColors val="0"/>
        <c:ser>
          <c:idx val="1"/>
          <c:order val="1"/>
          <c:tx>
            <c:strRef>
              <c:f>'Income Statement'!$C$20</c:f>
              <c:strCache>
                <c:ptCount val="1"/>
                <c:pt idx="0">
                  <c:v>EBIT Margin %</c:v>
                </c:pt>
              </c:strCache>
            </c:strRef>
          </c:tx>
          <c:spPr>
            <a:ln w="28575" cap="rnd">
              <a:solidFill>
                <a:schemeClr val="accent4"/>
              </a:solidFill>
              <a:round/>
            </a:ln>
            <a:effectLst/>
          </c:spPr>
          <c:marker>
            <c:symbol val="none"/>
          </c:marker>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00A-B602-4177-B489-76BF99D76C08}"/>
              </c:ext>
            </c:extLst>
          </c:dPt>
          <c:dPt>
            <c:idx val="2"/>
            <c:marker>
              <c:symbol val="none"/>
            </c:marker>
            <c:bubble3D val="0"/>
            <c:spPr>
              <a:ln w="28575" cap="rnd">
                <a:solidFill>
                  <a:schemeClr val="accent6"/>
                </a:solidFill>
                <a:round/>
              </a:ln>
              <a:effectLst/>
            </c:spPr>
            <c:extLst>
              <c:ext xmlns:c16="http://schemas.microsoft.com/office/drawing/2014/chart" uri="{C3380CC4-5D6E-409C-BE32-E72D297353CC}">
                <c16:uniqueId val="{0000000C-B602-4177-B489-76BF99D76C08}"/>
              </c:ext>
            </c:extLst>
          </c:dPt>
          <c:dPt>
            <c:idx val="3"/>
            <c:marker>
              <c:symbol val="none"/>
            </c:marker>
            <c:bubble3D val="0"/>
            <c:spPr>
              <a:ln w="28575" cap="rnd">
                <a:solidFill>
                  <a:schemeClr val="accent6"/>
                </a:solidFill>
                <a:round/>
              </a:ln>
              <a:effectLst/>
            </c:spPr>
            <c:extLst>
              <c:ext xmlns:c16="http://schemas.microsoft.com/office/drawing/2014/chart" uri="{C3380CC4-5D6E-409C-BE32-E72D297353CC}">
                <c16:uniqueId val="{0000000E-B602-4177-B489-76BF99D76C08}"/>
              </c:ext>
            </c:extLst>
          </c:dPt>
          <c:dPt>
            <c:idx val="4"/>
            <c:marker>
              <c:symbol val="none"/>
            </c:marker>
            <c:bubble3D val="0"/>
            <c:spPr>
              <a:ln w="28575" cap="rnd">
                <a:solidFill>
                  <a:schemeClr val="accent6"/>
                </a:solidFill>
                <a:round/>
              </a:ln>
              <a:effectLst/>
            </c:spPr>
            <c:extLst>
              <c:ext xmlns:c16="http://schemas.microsoft.com/office/drawing/2014/chart" uri="{C3380CC4-5D6E-409C-BE32-E72D297353CC}">
                <c16:uniqueId val="{00000012-B602-4177-B489-76BF99D76C08}"/>
              </c:ext>
            </c:extLst>
          </c:dPt>
          <c:cat>
            <c:strRef>
              <c:f>Cover!$D$30:$L$30</c:f>
              <c:strCache>
                <c:ptCount val="9"/>
                <c:pt idx="0">
                  <c:v>2020A</c:v>
                </c:pt>
                <c:pt idx="1">
                  <c:v>2021A</c:v>
                </c:pt>
                <c:pt idx="2">
                  <c:v>2022A</c:v>
                </c:pt>
                <c:pt idx="3">
                  <c:v>2023A</c:v>
                </c:pt>
                <c:pt idx="4">
                  <c:v>2024E</c:v>
                </c:pt>
                <c:pt idx="5">
                  <c:v>2025E</c:v>
                </c:pt>
                <c:pt idx="6">
                  <c:v>2026E</c:v>
                </c:pt>
                <c:pt idx="7">
                  <c:v>2027E</c:v>
                </c:pt>
                <c:pt idx="8">
                  <c:v>2028E</c:v>
                </c:pt>
              </c:strCache>
            </c:strRef>
          </c:cat>
          <c:val>
            <c:numRef>
              <c:f>'Income Statement'!$G$20:$O$20</c:f>
              <c:numCache>
                <c:formatCode>0.0%</c:formatCode>
                <c:ptCount val="9"/>
                <c:pt idx="0">
                  <c:v>0.1020083742782735</c:v>
                </c:pt>
                <c:pt idx="1">
                  <c:v>0.14864172693367075</c:v>
                </c:pt>
                <c:pt idx="2">
                  <c:v>0.17043151303859472</c:v>
                </c:pt>
                <c:pt idx="3">
                  <c:v>0.16205959708242404</c:v>
                </c:pt>
                <c:pt idx="4">
                  <c:v>0.15411444456347134</c:v>
                </c:pt>
                <c:pt idx="5">
                  <c:v>0.1838960578592351</c:v>
                </c:pt>
                <c:pt idx="6">
                  <c:v>0.20315120345541482</c:v>
                </c:pt>
                <c:pt idx="7">
                  <c:v>0.21586176129142348</c:v>
                </c:pt>
                <c:pt idx="8">
                  <c:v>0.22764474511979579</c:v>
                </c:pt>
              </c:numCache>
            </c:numRef>
          </c:val>
          <c:smooth val="0"/>
          <c:extLst>
            <c:ext xmlns:c16="http://schemas.microsoft.com/office/drawing/2014/chart" uri="{C3380CC4-5D6E-409C-BE32-E72D297353CC}">
              <c16:uniqueId val="{0000000F-B602-4177-B489-76BF99D76C08}"/>
            </c:ext>
          </c:extLst>
        </c:ser>
        <c:dLbls>
          <c:showLegendKey val="0"/>
          <c:showVal val="0"/>
          <c:showCatName val="0"/>
          <c:showSerName val="0"/>
          <c:showPercent val="0"/>
          <c:showBubbleSize val="0"/>
        </c:dLbls>
        <c:marker val="1"/>
        <c:smooth val="0"/>
        <c:axId val="446749055"/>
        <c:axId val="446748095"/>
      </c:lineChart>
      <c:lineChart>
        <c:grouping val="standard"/>
        <c:varyColors val="0"/>
        <c:ser>
          <c:idx val="2"/>
          <c:order val="2"/>
          <c:tx>
            <c:v>IC Turns (BOY)</c:v>
          </c:tx>
          <c:spPr>
            <a:ln w="28575" cap="rnd">
              <a:solidFill>
                <a:schemeClr val="accent3"/>
              </a:solidFill>
              <a:round/>
            </a:ln>
            <a:effectLst/>
          </c:spPr>
          <c:marker>
            <c:symbol val="none"/>
          </c:marker>
          <c:dPt>
            <c:idx val="1"/>
            <c:marker>
              <c:symbol val="none"/>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17-B602-4177-B489-76BF99D76C08}"/>
              </c:ext>
            </c:extLst>
          </c:dPt>
          <c:dPt>
            <c:idx val="2"/>
            <c:marker>
              <c:symbol val="none"/>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16-B602-4177-B489-76BF99D76C08}"/>
              </c:ext>
            </c:extLst>
          </c:dPt>
          <c:dPt>
            <c:idx val="3"/>
            <c:marker>
              <c:symbol val="none"/>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15-B602-4177-B489-76BF99D76C08}"/>
              </c:ext>
            </c:extLst>
          </c:dPt>
          <c:dPt>
            <c:idx val="4"/>
            <c:marker>
              <c:symbol val="none"/>
            </c:marker>
            <c:bubble3D val="0"/>
            <c:spPr>
              <a:ln w="28575" cap="rnd">
                <a:solidFill>
                  <a:schemeClr val="accent1">
                    <a:lumMod val="40000"/>
                    <a:lumOff val="60000"/>
                  </a:schemeClr>
                </a:solidFill>
                <a:round/>
              </a:ln>
              <a:effectLst/>
            </c:spPr>
            <c:extLst>
              <c:ext xmlns:c16="http://schemas.microsoft.com/office/drawing/2014/chart" uri="{C3380CC4-5D6E-409C-BE32-E72D297353CC}">
                <c16:uniqueId val="{00000014-B602-4177-B489-76BF99D76C08}"/>
              </c:ext>
            </c:extLst>
          </c:dPt>
          <c:dPt>
            <c:idx val="5"/>
            <c:marker>
              <c:symbol val="none"/>
            </c:marker>
            <c:bubble3D val="0"/>
            <c:spPr>
              <a:ln w="28575" cap="rnd">
                <a:solidFill>
                  <a:schemeClr val="accent1">
                    <a:lumMod val="60000"/>
                    <a:lumOff val="40000"/>
                  </a:schemeClr>
                </a:solidFill>
                <a:round/>
              </a:ln>
              <a:effectLst/>
            </c:spPr>
            <c:extLst>
              <c:ext xmlns:c16="http://schemas.microsoft.com/office/drawing/2014/chart" uri="{C3380CC4-5D6E-409C-BE32-E72D297353CC}">
                <c16:uniqueId val="{00000013-B602-4177-B489-76BF99D76C08}"/>
              </c:ext>
            </c:extLst>
          </c:dPt>
          <c:cat>
            <c:strRef>
              <c:f>Cover!$D$30:$L$30</c:f>
              <c:strCache>
                <c:ptCount val="9"/>
                <c:pt idx="0">
                  <c:v>2020A</c:v>
                </c:pt>
                <c:pt idx="1">
                  <c:v>2021A</c:v>
                </c:pt>
                <c:pt idx="2">
                  <c:v>2022A</c:v>
                </c:pt>
                <c:pt idx="3">
                  <c:v>2023A</c:v>
                </c:pt>
                <c:pt idx="4">
                  <c:v>2024E</c:v>
                </c:pt>
                <c:pt idx="5">
                  <c:v>2025E</c:v>
                </c:pt>
                <c:pt idx="6">
                  <c:v>2026E</c:v>
                </c:pt>
                <c:pt idx="7">
                  <c:v>2027E</c:v>
                </c:pt>
                <c:pt idx="8">
                  <c:v>2028E</c:v>
                </c:pt>
              </c:strCache>
            </c:strRef>
          </c:cat>
          <c:val>
            <c:numRef>
              <c:f>'Invested Capital'!$G$39:$O$39</c:f>
              <c:numCache>
                <c:formatCode>0.00</c:formatCode>
                <c:ptCount val="9"/>
                <c:pt idx="0">
                  <c:v>1.7246360490107102</c:v>
                </c:pt>
                <c:pt idx="1">
                  <c:v>2.0389599513936036</c:v>
                </c:pt>
                <c:pt idx="2">
                  <c:v>2.1913559365932493</c:v>
                </c:pt>
                <c:pt idx="3">
                  <c:v>1.8632384179402701</c:v>
                </c:pt>
                <c:pt idx="4">
                  <c:v>1.7988391216214721</c:v>
                </c:pt>
                <c:pt idx="5">
                  <c:v>1.3678042146000737</c:v>
                </c:pt>
                <c:pt idx="6">
                  <c:v>1.3658501400714618</c:v>
                </c:pt>
                <c:pt idx="7">
                  <c:v>1.3260292354067156</c:v>
                </c:pt>
                <c:pt idx="8">
                  <c:v>1.3199464103940879</c:v>
                </c:pt>
              </c:numCache>
            </c:numRef>
          </c:val>
          <c:smooth val="0"/>
          <c:extLst>
            <c:ext xmlns:c16="http://schemas.microsoft.com/office/drawing/2014/chart" uri="{C3380CC4-5D6E-409C-BE32-E72D297353CC}">
              <c16:uniqueId val="{00000011-B602-4177-B489-76BF99D76C08}"/>
            </c:ext>
          </c:extLst>
        </c:ser>
        <c:dLbls>
          <c:showLegendKey val="0"/>
          <c:showVal val="0"/>
          <c:showCatName val="0"/>
          <c:showSerName val="0"/>
          <c:showPercent val="0"/>
          <c:showBubbleSize val="0"/>
        </c:dLbls>
        <c:marker val="1"/>
        <c:smooth val="0"/>
        <c:axId val="1211110431"/>
        <c:axId val="1211109471"/>
      </c:lineChart>
      <c:catAx>
        <c:axId val="446749055"/>
        <c:scaling>
          <c:orientation val="minMax"/>
        </c:scaling>
        <c:delete val="0"/>
        <c:axPos val="b"/>
        <c:numFmt formatCode="yyyy&quot;A&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46748095"/>
        <c:crosses val="autoZero"/>
        <c:auto val="1"/>
        <c:lblAlgn val="ctr"/>
        <c:lblOffset val="100"/>
        <c:noMultiLvlLbl val="0"/>
      </c:catAx>
      <c:valAx>
        <c:axId val="446748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800" b="0" i="0" u="none" strike="noStrike" kern="1200" baseline="0">
                    <a:solidFill>
                      <a:sysClr val="windowText" lastClr="000000">
                        <a:lumMod val="65000"/>
                        <a:lumOff val="35000"/>
                      </a:sysClr>
                    </a:solidFill>
                    <a:latin typeface="+mn-lt"/>
                    <a:ea typeface="+mn-ea"/>
                    <a:cs typeface="+mn-cs"/>
                  </a:defRPr>
                </a:pPr>
                <a:r>
                  <a:rPr lang="en-US" sz="800" b="0" i="0" u="none" strike="noStrike" kern="1200" spc="0" baseline="0">
                    <a:solidFill>
                      <a:sysClr val="windowText" lastClr="000000">
                        <a:lumMod val="65000"/>
                        <a:lumOff val="35000"/>
                      </a:sysClr>
                    </a:solidFill>
                  </a:rPr>
                  <a:t>ROIC and EBIT Margin</a:t>
                </a:r>
              </a:p>
            </c:rich>
          </c:tx>
          <c:layout>
            <c:manualLayout>
              <c:xMode val="edge"/>
              <c:yMode val="edge"/>
              <c:x val="0"/>
              <c:y val="0.34489572556710829"/>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800" b="0" i="0" u="none" strike="noStrike" kern="1200" baseline="0">
                  <a:solidFill>
                    <a:sysClr val="windowText" lastClr="000000">
                      <a:lumMod val="65000"/>
                      <a:lumOff val="35000"/>
                    </a:sys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46749055"/>
        <c:crosses val="autoZero"/>
        <c:crossBetween val="between"/>
      </c:valAx>
      <c:valAx>
        <c:axId val="1211109471"/>
        <c:scaling>
          <c:orientation val="minMax"/>
        </c:scaling>
        <c:delete val="0"/>
        <c:axPos val="r"/>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800" b="0" i="0" u="none" strike="noStrike" kern="1200" baseline="0">
                    <a:solidFill>
                      <a:sysClr val="windowText" lastClr="000000">
                        <a:lumMod val="65000"/>
                        <a:lumOff val="35000"/>
                      </a:sysClr>
                    </a:solidFill>
                    <a:latin typeface="+mn-lt"/>
                    <a:ea typeface="+mn-ea"/>
                    <a:cs typeface="+mn-cs"/>
                  </a:defRPr>
                </a:pPr>
                <a:r>
                  <a:rPr lang="en-US" sz="800" b="0" i="0" u="none" strike="noStrike" kern="1200" spc="0" baseline="0">
                    <a:solidFill>
                      <a:sysClr val="windowText" lastClr="000000">
                        <a:lumMod val="65000"/>
                        <a:lumOff val="35000"/>
                      </a:sysClr>
                    </a:solidFill>
                  </a:rPr>
                  <a:t>IC Turns (BOY)</a:t>
                </a:r>
              </a:p>
            </c:rich>
          </c:tx>
          <c:layout>
            <c:manualLayout>
              <c:xMode val="edge"/>
              <c:yMode val="edge"/>
              <c:x val="0.95784612548293169"/>
              <c:y val="0.34014913860427431"/>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800" b="0" i="0" u="none" strike="noStrike" kern="1200" baseline="0">
                  <a:solidFill>
                    <a:sysClr val="windowText" lastClr="000000">
                      <a:lumMod val="65000"/>
                      <a:lumOff val="35000"/>
                    </a:sys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11110431"/>
        <c:crosses val="max"/>
        <c:crossBetween val="between"/>
      </c:valAx>
      <c:catAx>
        <c:axId val="1211110431"/>
        <c:scaling>
          <c:orientation val="minMax"/>
        </c:scaling>
        <c:delete val="1"/>
        <c:axPos val="b"/>
        <c:numFmt formatCode="General" sourceLinked="1"/>
        <c:majorTickMark val="out"/>
        <c:minorTickMark val="none"/>
        <c:tickLblPos val="nextTo"/>
        <c:crossAx val="1211109471"/>
        <c:crosses val="autoZero"/>
        <c:auto val="1"/>
        <c:lblAlgn val="ctr"/>
        <c:lblOffset val="100"/>
        <c:noMultiLvlLbl val="0"/>
      </c:catAx>
      <c:spPr>
        <a:noFill/>
        <a:ln>
          <a:noFill/>
        </a:ln>
        <a:effectLst/>
      </c:spPr>
    </c:plotArea>
    <c:legend>
      <c:legendPos val="b"/>
      <c:layout>
        <c:manualLayout>
          <c:xMode val="edge"/>
          <c:yMode val="edge"/>
          <c:x val="0.17715042868845995"/>
          <c:y val="8.4815197983614879E-2"/>
          <c:w val="0.62792373794650125"/>
          <c:h val="7.9479047250038945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453937007874015"/>
          <c:y val="5.0925925925925923E-2"/>
          <c:w val="0.81101859142607169"/>
          <c:h val="0.8416746864975212"/>
        </c:manualLayout>
      </c:layout>
      <c:barChart>
        <c:barDir val="col"/>
        <c:grouping val="clustered"/>
        <c:varyColors val="0"/>
        <c:ser>
          <c:idx val="0"/>
          <c:order val="0"/>
          <c:tx>
            <c:strRef>
              <c:f>'Invested Capital'!$C$42</c:f>
              <c:strCache>
                <c:ptCount val="1"/>
                <c:pt idx="0">
                  <c:v>ROIC</c:v>
                </c:pt>
              </c:strCache>
            </c:strRef>
          </c:tx>
          <c:spPr>
            <a:solidFill>
              <a:schemeClr val="accent1"/>
            </a:solidFill>
            <a:ln>
              <a:noFill/>
            </a:ln>
            <a:effectLst/>
          </c:spPr>
          <c:invertIfNegative val="0"/>
          <c:cat>
            <c:numRef>
              <c:f>'Invested Capital'!$E$7:$J$7</c:f>
              <c:numCache>
                <c:formatCode>yyyy"A"</c:formatCode>
                <c:ptCount val="4"/>
                <c:pt idx="0">
                  <c:v>44196</c:v>
                </c:pt>
                <c:pt idx="1">
                  <c:v>44561</c:v>
                </c:pt>
                <c:pt idx="2">
                  <c:v>44926</c:v>
                </c:pt>
                <c:pt idx="3">
                  <c:v>45291</c:v>
                </c:pt>
              </c:numCache>
            </c:numRef>
          </c:cat>
          <c:val>
            <c:numRef>
              <c:f>'Invested Capital'!$E$42:$J$42</c:f>
              <c:numCache>
                <c:formatCode>0.0%</c:formatCode>
                <c:ptCount val="4"/>
                <c:pt idx="0">
                  <c:v>0.13781981793792344</c:v>
                </c:pt>
                <c:pt idx="1">
                  <c:v>0.23060009123927511</c:v>
                </c:pt>
                <c:pt idx="2">
                  <c:v>0.28515120130246163</c:v>
                </c:pt>
                <c:pt idx="3">
                  <c:v>0.22982382621286879</c:v>
                </c:pt>
              </c:numCache>
            </c:numRef>
          </c:val>
          <c:extLst>
            <c:ext xmlns:c16="http://schemas.microsoft.com/office/drawing/2014/chart" uri="{C3380CC4-5D6E-409C-BE32-E72D297353CC}">
              <c16:uniqueId val="{00000000-F2D3-491F-9261-BAABCD8FEB62}"/>
            </c:ext>
          </c:extLst>
        </c:ser>
        <c:dLbls>
          <c:showLegendKey val="0"/>
          <c:showVal val="0"/>
          <c:showCatName val="0"/>
          <c:showSerName val="0"/>
          <c:showPercent val="0"/>
          <c:showBubbleSize val="0"/>
        </c:dLbls>
        <c:gapWidth val="150"/>
        <c:axId val="727414704"/>
        <c:axId val="727416144"/>
      </c:barChart>
      <c:lineChart>
        <c:grouping val="standard"/>
        <c:varyColors val="0"/>
        <c:ser>
          <c:idx val="2"/>
          <c:order val="2"/>
          <c:tx>
            <c:strRef>
              <c:f>'Income Statement'!$C$59</c:f>
              <c:strCache>
                <c:ptCount val="1"/>
                <c:pt idx="0">
                  <c:v>EBIT Margin %</c:v>
                </c:pt>
              </c:strCache>
            </c:strRef>
          </c:tx>
          <c:spPr>
            <a:ln w="28575" cap="rnd">
              <a:solidFill>
                <a:schemeClr val="accent3"/>
              </a:solidFill>
              <a:round/>
            </a:ln>
            <a:effectLst/>
          </c:spPr>
          <c:marker>
            <c:symbol val="none"/>
          </c:marker>
          <c:cat>
            <c:numRef>
              <c:f>'Invested Capital'!$E$7:$J$7</c:f>
              <c:numCache>
                <c:formatCode>yyyy"A"</c:formatCode>
                <c:ptCount val="4"/>
                <c:pt idx="0">
                  <c:v>44196</c:v>
                </c:pt>
                <c:pt idx="1">
                  <c:v>44561</c:v>
                </c:pt>
                <c:pt idx="2">
                  <c:v>44926</c:v>
                </c:pt>
                <c:pt idx="3">
                  <c:v>45291</c:v>
                </c:pt>
              </c:numCache>
            </c:numRef>
          </c:cat>
          <c:val>
            <c:numRef>
              <c:f>'Income Statement'!$E$59:$J$59</c:f>
              <c:numCache>
                <c:formatCode>0.0%</c:formatCode>
                <c:ptCount val="4"/>
                <c:pt idx="0">
                  <c:v>0.1020083742782735</c:v>
                </c:pt>
                <c:pt idx="1">
                  <c:v>0.14864172693367075</c:v>
                </c:pt>
                <c:pt idx="2">
                  <c:v>0.17043151303859472</c:v>
                </c:pt>
                <c:pt idx="3">
                  <c:v>0.16205959708242404</c:v>
                </c:pt>
              </c:numCache>
            </c:numRef>
          </c:val>
          <c:smooth val="0"/>
          <c:extLst>
            <c:ext xmlns:c16="http://schemas.microsoft.com/office/drawing/2014/chart" uri="{C3380CC4-5D6E-409C-BE32-E72D297353CC}">
              <c16:uniqueId val="{00000002-F2D3-491F-9261-BAABCD8FEB62}"/>
            </c:ext>
          </c:extLst>
        </c:ser>
        <c:dLbls>
          <c:showLegendKey val="0"/>
          <c:showVal val="0"/>
          <c:showCatName val="0"/>
          <c:showSerName val="0"/>
          <c:showPercent val="0"/>
          <c:showBubbleSize val="0"/>
        </c:dLbls>
        <c:marker val="1"/>
        <c:smooth val="0"/>
        <c:axId val="727414704"/>
        <c:axId val="727416144"/>
      </c:lineChart>
      <c:lineChart>
        <c:grouping val="standard"/>
        <c:varyColors val="0"/>
        <c:ser>
          <c:idx val="1"/>
          <c:order val="1"/>
          <c:tx>
            <c:v>IC Turns</c:v>
          </c:tx>
          <c:spPr>
            <a:ln w="28575" cap="rnd">
              <a:solidFill>
                <a:schemeClr val="accent2"/>
              </a:solidFill>
              <a:round/>
            </a:ln>
            <a:effectLst/>
          </c:spPr>
          <c:marker>
            <c:symbol val="none"/>
          </c:marker>
          <c:cat>
            <c:numRef>
              <c:f>'Invested Capital'!$E$7:$J$7</c:f>
              <c:numCache>
                <c:formatCode>yyyy"A"</c:formatCode>
                <c:ptCount val="4"/>
                <c:pt idx="0">
                  <c:v>44196</c:v>
                </c:pt>
                <c:pt idx="1">
                  <c:v>44561</c:v>
                </c:pt>
                <c:pt idx="2">
                  <c:v>44926</c:v>
                </c:pt>
                <c:pt idx="3">
                  <c:v>45291</c:v>
                </c:pt>
              </c:numCache>
            </c:numRef>
          </c:cat>
          <c:val>
            <c:numRef>
              <c:f>'Invested Capital'!$E$39:$J$39</c:f>
              <c:numCache>
                <c:formatCode>0.00</c:formatCode>
                <c:ptCount val="4"/>
                <c:pt idx="0">
                  <c:v>1.7246360490107102</c:v>
                </c:pt>
                <c:pt idx="1">
                  <c:v>2.0389599513936036</c:v>
                </c:pt>
                <c:pt idx="2">
                  <c:v>2.1913559365932493</c:v>
                </c:pt>
                <c:pt idx="3">
                  <c:v>1.8632384179402701</c:v>
                </c:pt>
              </c:numCache>
            </c:numRef>
          </c:val>
          <c:smooth val="0"/>
          <c:extLst>
            <c:ext xmlns:c16="http://schemas.microsoft.com/office/drawing/2014/chart" uri="{C3380CC4-5D6E-409C-BE32-E72D297353CC}">
              <c16:uniqueId val="{00000001-F2D3-491F-9261-BAABCD8FEB62}"/>
            </c:ext>
          </c:extLst>
        </c:ser>
        <c:dLbls>
          <c:showLegendKey val="0"/>
          <c:showVal val="0"/>
          <c:showCatName val="0"/>
          <c:showSerName val="0"/>
          <c:showPercent val="0"/>
          <c:showBubbleSize val="0"/>
        </c:dLbls>
        <c:marker val="1"/>
        <c:smooth val="0"/>
        <c:axId val="322008336"/>
        <c:axId val="322007376"/>
      </c:lineChart>
      <c:dateAx>
        <c:axId val="727414704"/>
        <c:scaling>
          <c:orientation val="minMax"/>
        </c:scaling>
        <c:delete val="0"/>
        <c:axPos val="b"/>
        <c:numFmt formatCode="yyyy&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416144"/>
        <c:crosses val="autoZero"/>
        <c:auto val="1"/>
        <c:lblOffset val="100"/>
        <c:baseTimeUnit val="years"/>
      </c:dateAx>
      <c:valAx>
        <c:axId val="7274161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414704"/>
        <c:crosses val="autoZero"/>
        <c:crossBetween val="between"/>
      </c:valAx>
      <c:valAx>
        <c:axId val="3220073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08336"/>
        <c:crosses val="max"/>
        <c:crossBetween val="between"/>
      </c:valAx>
      <c:dateAx>
        <c:axId val="322008336"/>
        <c:scaling>
          <c:orientation val="minMax"/>
        </c:scaling>
        <c:delete val="1"/>
        <c:axPos val="b"/>
        <c:numFmt formatCode="yyyy&quot;A&quot;" sourceLinked="1"/>
        <c:majorTickMark val="out"/>
        <c:minorTickMark val="none"/>
        <c:tickLblPos val="nextTo"/>
        <c:crossAx val="322007376"/>
        <c:crosses val="autoZero"/>
        <c:auto val="1"/>
        <c:lblOffset val="100"/>
        <c:baseTimeUnit val="year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58114610673666"/>
          <c:y val="7.407407407407407E-2"/>
          <c:w val="0.78596281714785654"/>
          <c:h val="0.8416746864975212"/>
        </c:manualLayout>
      </c:layout>
      <c:barChart>
        <c:barDir val="col"/>
        <c:grouping val="clustered"/>
        <c:varyColors val="0"/>
        <c:ser>
          <c:idx val="0"/>
          <c:order val="0"/>
          <c:tx>
            <c:strRef>
              <c:f>'Invested Capital'!$C$37</c:f>
              <c:strCache>
                <c:ptCount val="1"/>
                <c:pt idx="0">
                  <c:v>Total Capital Invested</c:v>
                </c:pt>
              </c:strCache>
            </c:strRef>
          </c:tx>
          <c:spPr>
            <a:solidFill>
              <a:schemeClr val="accent1"/>
            </a:solidFill>
            <a:ln>
              <a:noFill/>
            </a:ln>
            <a:effectLst/>
          </c:spPr>
          <c:invertIfNegative val="0"/>
          <c:cat>
            <c:numRef>
              <c:f>'Invested Capital'!$D$7:$J$7</c:f>
              <c:numCache>
                <c:formatCode>yyyy"A"</c:formatCode>
                <c:ptCount val="4"/>
                <c:pt idx="0">
                  <c:v>44196</c:v>
                </c:pt>
                <c:pt idx="1">
                  <c:v>44561</c:v>
                </c:pt>
                <c:pt idx="2">
                  <c:v>44926</c:v>
                </c:pt>
                <c:pt idx="3">
                  <c:v>45291</c:v>
                </c:pt>
              </c:numCache>
            </c:numRef>
          </c:cat>
          <c:val>
            <c:numRef>
              <c:f>'Invested Capital'!$D$37:$J$37</c:f>
              <c:numCache>
                <c:formatCode>"$"#,##0_);\("$"#,##0\)</c:formatCode>
                <c:ptCount val="4"/>
                <c:pt idx="0">
                  <c:v>1122.4859999999999</c:v>
                </c:pt>
                <c:pt idx="1">
                  <c:v>1274.1229999999996</c:v>
                </c:pt>
                <c:pt idx="2">
                  <c:v>1546.4650000000001</c:v>
                </c:pt>
                <c:pt idx="3">
                  <c:v>1783.9860000000003</c:v>
                </c:pt>
              </c:numCache>
            </c:numRef>
          </c:val>
          <c:extLst>
            <c:ext xmlns:c16="http://schemas.microsoft.com/office/drawing/2014/chart" uri="{C3380CC4-5D6E-409C-BE32-E72D297353CC}">
              <c16:uniqueId val="{00000000-DE53-4E8C-8254-43CDD35E0800}"/>
            </c:ext>
          </c:extLst>
        </c:ser>
        <c:dLbls>
          <c:showLegendKey val="0"/>
          <c:showVal val="0"/>
          <c:showCatName val="0"/>
          <c:showSerName val="0"/>
          <c:showPercent val="0"/>
          <c:showBubbleSize val="0"/>
        </c:dLbls>
        <c:gapWidth val="219"/>
        <c:axId val="332202048"/>
        <c:axId val="332199648"/>
      </c:barChart>
      <c:lineChart>
        <c:grouping val="standard"/>
        <c:varyColors val="0"/>
        <c:ser>
          <c:idx val="1"/>
          <c:order val="1"/>
          <c:tx>
            <c:strRef>
              <c:f>'Balance Sheet'!$C$157</c:f>
              <c:strCache>
                <c:ptCount val="1"/>
                <c:pt idx="0">
                  <c:v>CAPEX</c:v>
                </c:pt>
              </c:strCache>
            </c:strRef>
          </c:tx>
          <c:spPr>
            <a:ln w="28575" cap="rnd">
              <a:solidFill>
                <a:schemeClr val="accent2"/>
              </a:solidFill>
              <a:round/>
            </a:ln>
            <a:effectLst/>
          </c:spPr>
          <c:marker>
            <c:symbol val="none"/>
          </c:marker>
          <c:cat>
            <c:numRef>
              <c:f>'Invested Capital'!$D$7:$J$7</c:f>
              <c:numCache>
                <c:formatCode>yyyy"A"</c:formatCode>
                <c:ptCount val="4"/>
                <c:pt idx="0">
                  <c:v>44196</c:v>
                </c:pt>
                <c:pt idx="1">
                  <c:v>44561</c:v>
                </c:pt>
                <c:pt idx="2">
                  <c:v>44926</c:v>
                </c:pt>
                <c:pt idx="3">
                  <c:v>45291</c:v>
                </c:pt>
              </c:numCache>
            </c:numRef>
          </c:cat>
          <c:val>
            <c:numRef>
              <c:f>'Balance Sheet'!$D$145:$J$145</c:f>
              <c:numCache>
                <c:formatCode>"$"#,##0_);\("$"#,##0\)</c:formatCode>
                <c:ptCount val="4"/>
                <c:pt idx="0">
                  <c:v>231.142</c:v>
                </c:pt>
                <c:pt idx="1">
                  <c:v>285.74599999999998</c:v>
                </c:pt>
                <c:pt idx="2">
                  <c:v>367.42899999999997</c:v>
                </c:pt>
                <c:pt idx="3">
                  <c:v>439.87900000000002</c:v>
                </c:pt>
              </c:numCache>
            </c:numRef>
          </c:val>
          <c:smooth val="0"/>
          <c:extLst>
            <c:ext xmlns:c16="http://schemas.microsoft.com/office/drawing/2014/chart" uri="{C3380CC4-5D6E-409C-BE32-E72D297353CC}">
              <c16:uniqueId val="{00000001-DE53-4E8C-8254-43CDD35E0800}"/>
            </c:ext>
          </c:extLst>
        </c:ser>
        <c:dLbls>
          <c:showLegendKey val="0"/>
          <c:showVal val="0"/>
          <c:showCatName val="0"/>
          <c:showSerName val="0"/>
          <c:showPercent val="0"/>
          <c:showBubbleSize val="0"/>
        </c:dLbls>
        <c:marker val="1"/>
        <c:smooth val="0"/>
        <c:axId val="332204448"/>
        <c:axId val="332201088"/>
      </c:lineChart>
      <c:dateAx>
        <c:axId val="332202048"/>
        <c:scaling>
          <c:orientation val="minMax"/>
        </c:scaling>
        <c:delete val="0"/>
        <c:axPos val="b"/>
        <c:numFmt formatCode="yyyy&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199648"/>
        <c:crosses val="autoZero"/>
        <c:auto val="1"/>
        <c:lblOffset val="100"/>
        <c:baseTimeUnit val="years"/>
      </c:dateAx>
      <c:valAx>
        <c:axId val="3321996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202048"/>
        <c:crosses val="autoZero"/>
        <c:crossBetween val="between"/>
      </c:valAx>
      <c:valAx>
        <c:axId val="332201088"/>
        <c:scaling>
          <c:orientation val="minMax"/>
        </c:scaling>
        <c:delete val="0"/>
        <c:axPos val="r"/>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204448"/>
        <c:crosses val="max"/>
        <c:crossBetween val="between"/>
      </c:valAx>
      <c:dateAx>
        <c:axId val="332204448"/>
        <c:scaling>
          <c:orientation val="minMax"/>
        </c:scaling>
        <c:delete val="1"/>
        <c:axPos val="b"/>
        <c:numFmt formatCode="yyyy&quot;A&quot;" sourceLinked="1"/>
        <c:majorTickMark val="out"/>
        <c:minorTickMark val="none"/>
        <c:tickLblPos val="nextTo"/>
        <c:crossAx val="332201088"/>
        <c:crosses val="autoZero"/>
        <c:auto val="1"/>
        <c:lblOffset val="100"/>
        <c:baseTimeUnit val="year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dLbls>
          <c:showLegendKey val="0"/>
          <c:showVal val="0"/>
          <c:showCatName val="0"/>
          <c:showSerName val="0"/>
          <c:showPercent val="0"/>
          <c:showBubbleSize val="0"/>
        </c:dLbls>
        <c:axId val="332198688"/>
        <c:axId val="332182368"/>
      </c:scatterChart>
      <c:valAx>
        <c:axId val="3321986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182368"/>
        <c:crosses val="autoZero"/>
        <c:crossBetween val="midCat"/>
      </c:valAx>
      <c:valAx>
        <c:axId val="332182368"/>
        <c:scaling>
          <c:orientation val="minMax"/>
        </c:scaling>
        <c:delete val="0"/>
        <c:axPos val="l"/>
        <c:majorGridlines>
          <c:spPr>
            <a:ln w="9525" cap="flat" cmpd="sng" algn="ctr">
              <a:solidFill>
                <a:schemeClr val="tx1">
                  <a:lumMod val="15000"/>
                  <a:lumOff val="85000"/>
                </a:schemeClr>
              </a:solidFill>
              <a:round/>
            </a:ln>
            <a:effectLst/>
          </c:spPr>
        </c:majorGridlines>
        <c:numFmt formatCode="#\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1986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SAIA - Share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8398208698488961E-2"/>
          <c:y val="0.10477401129943503"/>
          <c:w val="0.90997151554989908"/>
          <c:h val="0.78988374867517885"/>
        </c:manualLayout>
      </c:layout>
      <c:lineChart>
        <c:grouping val="standard"/>
        <c:varyColors val="0"/>
        <c:ser>
          <c:idx val="0"/>
          <c:order val="0"/>
          <c:tx>
            <c:v>SAIA Closing Price</c:v>
          </c:tx>
          <c:spPr>
            <a:ln w="28575" cap="rnd">
              <a:solidFill>
                <a:srgbClr val="7A0019"/>
              </a:solidFill>
              <a:round/>
            </a:ln>
            <a:effectLst/>
          </c:spPr>
          <c:marker>
            <c:symbol val="none"/>
          </c:marker>
          <c:cat>
            <c:numRef>
              <c:f>Data!$B$41:$B$1045</c:f>
              <c:numCache>
                <c:formatCode>[$-409]mmm\-dd\-yyyy;@</c:formatCode>
                <c:ptCount val="1005"/>
                <c:pt idx="0">
                  <c:v>45657</c:v>
                </c:pt>
                <c:pt idx="1">
                  <c:v>45656</c:v>
                </c:pt>
                <c:pt idx="2">
                  <c:v>45653</c:v>
                </c:pt>
                <c:pt idx="3">
                  <c:v>45652</c:v>
                </c:pt>
                <c:pt idx="4">
                  <c:v>45650</c:v>
                </c:pt>
                <c:pt idx="5">
                  <c:v>45649</c:v>
                </c:pt>
                <c:pt idx="6">
                  <c:v>45646</c:v>
                </c:pt>
                <c:pt idx="7">
                  <c:v>45645</c:v>
                </c:pt>
                <c:pt idx="8">
                  <c:v>45644</c:v>
                </c:pt>
                <c:pt idx="9">
                  <c:v>45643</c:v>
                </c:pt>
                <c:pt idx="10">
                  <c:v>45642</c:v>
                </c:pt>
                <c:pt idx="11">
                  <c:v>45639</c:v>
                </c:pt>
                <c:pt idx="12">
                  <c:v>45638</c:v>
                </c:pt>
                <c:pt idx="13">
                  <c:v>45637</c:v>
                </c:pt>
                <c:pt idx="14">
                  <c:v>45636</c:v>
                </c:pt>
                <c:pt idx="15">
                  <c:v>45635</c:v>
                </c:pt>
                <c:pt idx="16">
                  <c:v>45632</c:v>
                </c:pt>
                <c:pt idx="17">
                  <c:v>45631</c:v>
                </c:pt>
                <c:pt idx="18">
                  <c:v>45630</c:v>
                </c:pt>
                <c:pt idx="19">
                  <c:v>45629</c:v>
                </c:pt>
                <c:pt idx="20">
                  <c:v>45628</c:v>
                </c:pt>
                <c:pt idx="21">
                  <c:v>45625</c:v>
                </c:pt>
                <c:pt idx="22">
                  <c:v>45623</c:v>
                </c:pt>
                <c:pt idx="23">
                  <c:v>45622</c:v>
                </c:pt>
                <c:pt idx="24">
                  <c:v>45621</c:v>
                </c:pt>
                <c:pt idx="25">
                  <c:v>45618</c:v>
                </c:pt>
                <c:pt idx="26">
                  <c:v>45617</c:v>
                </c:pt>
                <c:pt idx="27">
                  <c:v>45616</c:v>
                </c:pt>
                <c:pt idx="28">
                  <c:v>45615</c:v>
                </c:pt>
                <c:pt idx="29">
                  <c:v>45614</c:v>
                </c:pt>
                <c:pt idx="30">
                  <c:v>45611</c:v>
                </c:pt>
                <c:pt idx="31">
                  <c:v>45610</c:v>
                </c:pt>
                <c:pt idx="32">
                  <c:v>45609</c:v>
                </c:pt>
                <c:pt idx="33">
                  <c:v>45608</c:v>
                </c:pt>
                <c:pt idx="34">
                  <c:v>45607</c:v>
                </c:pt>
                <c:pt idx="35">
                  <c:v>45604</c:v>
                </c:pt>
                <c:pt idx="36">
                  <c:v>45603</c:v>
                </c:pt>
                <c:pt idx="37">
                  <c:v>45602</c:v>
                </c:pt>
                <c:pt idx="38">
                  <c:v>45601</c:v>
                </c:pt>
                <c:pt idx="39">
                  <c:v>45600</c:v>
                </c:pt>
                <c:pt idx="40">
                  <c:v>45597</c:v>
                </c:pt>
                <c:pt idx="41">
                  <c:v>45596</c:v>
                </c:pt>
                <c:pt idx="42">
                  <c:v>45595</c:v>
                </c:pt>
                <c:pt idx="43">
                  <c:v>45594</c:v>
                </c:pt>
                <c:pt idx="44">
                  <c:v>45593</c:v>
                </c:pt>
                <c:pt idx="45">
                  <c:v>45590</c:v>
                </c:pt>
                <c:pt idx="46">
                  <c:v>45589</c:v>
                </c:pt>
                <c:pt idx="47">
                  <c:v>45588</c:v>
                </c:pt>
                <c:pt idx="48">
                  <c:v>45587</c:v>
                </c:pt>
                <c:pt idx="49">
                  <c:v>45586</c:v>
                </c:pt>
                <c:pt idx="50">
                  <c:v>45583</c:v>
                </c:pt>
                <c:pt idx="51">
                  <c:v>45582</c:v>
                </c:pt>
                <c:pt idx="52">
                  <c:v>45581</c:v>
                </c:pt>
                <c:pt idx="53">
                  <c:v>45580</c:v>
                </c:pt>
                <c:pt idx="54">
                  <c:v>45579</c:v>
                </c:pt>
                <c:pt idx="55">
                  <c:v>45576</c:v>
                </c:pt>
                <c:pt idx="56">
                  <c:v>45575</c:v>
                </c:pt>
                <c:pt idx="57">
                  <c:v>45574</c:v>
                </c:pt>
                <c:pt idx="58">
                  <c:v>45573</c:v>
                </c:pt>
                <c:pt idx="59">
                  <c:v>45572</c:v>
                </c:pt>
                <c:pt idx="60">
                  <c:v>45569</c:v>
                </c:pt>
                <c:pt idx="61">
                  <c:v>45568</c:v>
                </c:pt>
                <c:pt idx="62">
                  <c:v>45567</c:v>
                </c:pt>
                <c:pt idx="63">
                  <c:v>45566</c:v>
                </c:pt>
                <c:pt idx="64">
                  <c:v>45565</c:v>
                </c:pt>
                <c:pt idx="65">
                  <c:v>45562</c:v>
                </c:pt>
                <c:pt idx="66">
                  <c:v>45561</c:v>
                </c:pt>
                <c:pt idx="67">
                  <c:v>45560</c:v>
                </c:pt>
                <c:pt idx="68">
                  <c:v>45559</c:v>
                </c:pt>
                <c:pt idx="69">
                  <c:v>45558</c:v>
                </c:pt>
                <c:pt idx="70">
                  <c:v>45555</c:v>
                </c:pt>
                <c:pt idx="71">
                  <c:v>45554</c:v>
                </c:pt>
                <c:pt idx="72">
                  <c:v>45553</c:v>
                </c:pt>
                <c:pt idx="73">
                  <c:v>45552</c:v>
                </c:pt>
                <c:pt idx="74">
                  <c:v>45551</c:v>
                </c:pt>
                <c:pt idx="75">
                  <c:v>45548</c:v>
                </c:pt>
                <c:pt idx="76">
                  <c:v>45547</c:v>
                </c:pt>
                <c:pt idx="77">
                  <c:v>45546</c:v>
                </c:pt>
                <c:pt idx="78">
                  <c:v>45545</c:v>
                </c:pt>
                <c:pt idx="79">
                  <c:v>45544</c:v>
                </c:pt>
                <c:pt idx="80">
                  <c:v>45541</c:v>
                </c:pt>
                <c:pt idx="81">
                  <c:v>45540</c:v>
                </c:pt>
                <c:pt idx="82">
                  <c:v>45539</c:v>
                </c:pt>
                <c:pt idx="83">
                  <c:v>45538</c:v>
                </c:pt>
                <c:pt idx="84">
                  <c:v>45534</c:v>
                </c:pt>
                <c:pt idx="85">
                  <c:v>45533</c:v>
                </c:pt>
                <c:pt idx="86">
                  <c:v>45532</c:v>
                </c:pt>
                <c:pt idx="87">
                  <c:v>45531</c:v>
                </c:pt>
                <c:pt idx="88">
                  <c:v>45530</c:v>
                </c:pt>
                <c:pt idx="89">
                  <c:v>45527</c:v>
                </c:pt>
                <c:pt idx="90">
                  <c:v>45526</c:v>
                </c:pt>
                <c:pt idx="91">
                  <c:v>45525</c:v>
                </c:pt>
                <c:pt idx="92">
                  <c:v>45524</c:v>
                </c:pt>
                <c:pt idx="93">
                  <c:v>45523</c:v>
                </c:pt>
                <c:pt idx="94">
                  <c:v>45520</c:v>
                </c:pt>
                <c:pt idx="95">
                  <c:v>45519</c:v>
                </c:pt>
                <c:pt idx="96">
                  <c:v>45518</c:v>
                </c:pt>
                <c:pt idx="97">
                  <c:v>45517</c:v>
                </c:pt>
                <c:pt idx="98">
                  <c:v>45516</c:v>
                </c:pt>
                <c:pt idx="99">
                  <c:v>45513</c:v>
                </c:pt>
                <c:pt idx="100">
                  <c:v>45512</c:v>
                </c:pt>
                <c:pt idx="101">
                  <c:v>45511</c:v>
                </c:pt>
                <c:pt idx="102">
                  <c:v>45510</c:v>
                </c:pt>
                <c:pt idx="103">
                  <c:v>45509</c:v>
                </c:pt>
                <c:pt idx="104">
                  <c:v>45506</c:v>
                </c:pt>
                <c:pt idx="105">
                  <c:v>45505</c:v>
                </c:pt>
                <c:pt idx="106">
                  <c:v>45504</c:v>
                </c:pt>
                <c:pt idx="107">
                  <c:v>45503</c:v>
                </c:pt>
                <c:pt idx="108">
                  <c:v>45502</c:v>
                </c:pt>
                <c:pt idx="109">
                  <c:v>45499</c:v>
                </c:pt>
                <c:pt idx="110">
                  <c:v>45498</c:v>
                </c:pt>
                <c:pt idx="111">
                  <c:v>45497</c:v>
                </c:pt>
                <c:pt idx="112">
                  <c:v>45496</c:v>
                </c:pt>
                <c:pt idx="113">
                  <c:v>45495</c:v>
                </c:pt>
                <c:pt idx="114">
                  <c:v>45492</c:v>
                </c:pt>
                <c:pt idx="115">
                  <c:v>45491</c:v>
                </c:pt>
                <c:pt idx="116">
                  <c:v>45490</c:v>
                </c:pt>
                <c:pt idx="117">
                  <c:v>45489</c:v>
                </c:pt>
                <c:pt idx="118">
                  <c:v>45488</c:v>
                </c:pt>
                <c:pt idx="119">
                  <c:v>45485</c:v>
                </c:pt>
                <c:pt idx="120">
                  <c:v>45484</c:v>
                </c:pt>
                <c:pt idx="121">
                  <c:v>45483</c:v>
                </c:pt>
                <c:pt idx="122">
                  <c:v>45482</c:v>
                </c:pt>
                <c:pt idx="123">
                  <c:v>45481</c:v>
                </c:pt>
                <c:pt idx="124">
                  <c:v>45478</c:v>
                </c:pt>
                <c:pt idx="125">
                  <c:v>45476</c:v>
                </c:pt>
                <c:pt idx="126">
                  <c:v>45475</c:v>
                </c:pt>
                <c:pt idx="127">
                  <c:v>45474</c:v>
                </c:pt>
                <c:pt idx="128">
                  <c:v>45471</c:v>
                </c:pt>
                <c:pt idx="129">
                  <c:v>45470</c:v>
                </c:pt>
                <c:pt idx="130">
                  <c:v>45469</c:v>
                </c:pt>
                <c:pt idx="131">
                  <c:v>45468</c:v>
                </c:pt>
                <c:pt idx="132">
                  <c:v>45467</c:v>
                </c:pt>
                <c:pt idx="133">
                  <c:v>45464</c:v>
                </c:pt>
                <c:pt idx="134">
                  <c:v>45463</c:v>
                </c:pt>
                <c:pt idx="135">
                  <c:v>45461</c:v>
                </c:pt>
                <c:pt idx="136">
                  <c:v>45460</c:v>
                </c:pt>
                <c:pt idx="137">
                  <c:v>45457</c:v>
                </c:pt>
                <c:pt idx="138">
                  <c:v>45456</c:v>
                </c:pt>
                <c:pt idx="139">
                  <c:v>45455</c:v>
                </c:pt>
                <c:pt idx="140">
                  <c:v>45454</c:v>
                </c:pt>
                <c:pt idx="141">
                  <c:v>45453</c:v>
                </c:pt>
                <c:pt idx="142">
                  <c:v>45450</c:v>
                </c:pt>
                <c:pt idx="143">
                  <c:v>45449</c:v>
                </c:pt>
                <c:pt idx="144">
                  <c:v>45448</c:v>
                </c:pt>
                <c:pt idx="145">
                  <c:v>45447</c:v>
                </c:pt>
                <c:pt idx="146">
                  <c:v>45446</c:v>
                </c:pt>
                <c:pt idx="147">
                  <c:v>45443</c:v>
                </c:pt>
                <c:pt idx="148">
                  <c:v>45442</c:v>
                </c:pt>
                <c:pt idx="149">
                  <c:v>45441</c:v>
                </c:pt>
                <c:pt idx="150">
                  <c:v>45440</c:v>
                </c:pt>
                <c:pt idx="151">
                  <c:v>45436</c:v>
                </c:pt>
                <c:pt idx="152">
                  <c:v>45435</c:v>
                </c:pt>
                <c:pt idx="153">
                  <c:v>45434</c:v>
                </c:pt>
                <c:pt idx="154">
                  <c:v>45433</c:v>
                </c:pt>
                <c:pt idx="155">
                  <c:v>45432</c:v>
                </c:pt>
                <c:pt idx="156">
                  <c:v>45429</c:v>
                </c:pt>
                <c:pt idx="157">
                  <c:v>45428</c:v>
                </c:pt>
                <c:pt idx="158">
                  <c:v>45427</c:v>
                </c:pt>
                <c:pt idx="159">
                  <c:v>45426</c:v>
                </c:pt>
                <c:pt idx="160">
                  <c:v>45425</c:v>
                </c:pt>
                <c:pt idx="161">
                  <c:v>45422</c:v>
                </c:pt>
                <c:pt idx="162">
                  <c:v>45421</c:v>
                </c:pt>
                <c:pt idx="163">
                  <c:v>45420</c:v>
                </c:pt>
                <c:pt idx="164">
                  <c:v>45419</c:v>
                </c:pt>
                <c:pt idx="165">
                  <c:v>45418</c:v>
                </c:pt>
                <c:pt idx="166">
                  <c:v>45415</c:v>
                </c:pt>
                <c:pt idx="167">
                  <c:v>45414</c:v>
                </c:pt>
                <c:pt idx="168">
                  <c:v>45413</c:v>
                </c:pt>
                <c:pt idx="169">
                  <c:v>45412</c:v>
                </c:pt>
                <c:pt idx="170">
                  <c:v>45411</c:v>
                </c:pt>
                <c:pt idx="171">
                  <c:v>45408</c:v>
                </c:pt>
                <c:pt idx="172">
                  <c:v>45407</c:v>
                </c:pt>
                <c:pt idx="173">
                  <c:v>45406</c:v>
                </c:pt>
                <c:pt idx="174">
                  <c:v>45405</c:v>
                </c:pt>
                <c:pt idx="175">
                  <c:v>45404</c:v>
                </c:pt>
                <c:pt idx="176">
                  <c:v>45401</c:v>
                </c:pt>
                <c:pt idx="177">
                  <c:v>45400</c:v>
                </c:pt>
                <c:pt idx="178">
                  <c:v>45399</c:v>
                </c:pt>
                <c:pt idx="179">
                  <c:v>45398</c:v>
                </c:pt>
                <c:pt idx="180">
                  <c:v>45397</c:v>
                </c:pt>
                <c:pt idx="181">
                  <c:v>45394</c:v>
                </c:pt>
                <c:pt idx="182">
                  <c:v>45393</c:v>
                </c:pt>
                <c:pt idx="183">
                  <c:v>45392</c:v>
                </c:pt>
                <c:pt idx="184">
                  <c:v>45391</c:v>
                </c:pt>
                <c:pt idx="185">
                  <c:v>45390</c:v>
                </c:pt>
                <c:pt idx="186">
                  <c:v>45387</c:v>
                </c:pt>
                <c:pt idx="187">
                  <c:v>45386</c:v>
                </c:pt>
                <c:pt idx="188">
                  <c:v>45385</c:v>
                </c:pt>
                <c:pt idx="189">
                  <c:v>45384</c:v>
                </c:pt>
                <c:pt idx="190">
                  <c:v>45383</c:v>
                </c:pt>
                <c:pt idx="191">
                  <c:v>45379</c:v>
                </c:pt>
                <c:pt idx="192">
                  <c:v>45378</c:v>
                </c:pt>
                <c:pt idx="193">
                  <c:v>45377</c:v>
                </c:pt>
                <c:pt idx="194">
                  <c:v>45376</c:v>
                </c:pt>
                <c:pt idx="195">
                  <c:v>45373</c:v>
                </c:pt>
                <c:pt idx="196">
                  <c:v>45372</c:v>
                </c:pt>
                <c:pt idx="197">
                  <c:v>45371</c:v>
                </c:pt>
                <c:pt idx="198">
                  <c:v>45370</c:v>
                </c:pt>
                <c:pt idx="199">
                  <c:v>45369</c:v>
                </c:pt>
                <c:pt idx="200">
                  <c:v>45366</c:v>
                </c:pt>
                <c:pt idx="201">
                  <c:v>45365</c:v>
                </c:pt>
                <c:pt idx="202">
                  <c:v>45364</c:v>
                </c:pt>
                <c:pt idx="203">
                  <c:v>45363</c:v>
                </c:pt>
                <c:pt idx="204">
                  <c:v>45362</c:v>
                </c:pt>
                <c:pt idx="205">
                  <c:v>45359</c:v>
                </c:pt>
                <c:pt idx="206">
                  <c:v>45358</c:v>
                </c:pt>
                <c:pt idx="207">
                  <c:v>45357</c:v>
                </c:pt>
                <c:pt idx="208">
                  <c:v>45356</c:v>
                </c:pt>
                <c:pt idx="209">
                  <c:v>45355</c:v>
                </c:pt>
                <c:pt idx="210">
                  <c:v>45352</c:v>
                </c:pt>
                <c:pt idx="211">
                  <c:v>45351</c:v>
                </c:pt>
                <c:pt idx="212">
                  <c:v>45350</c:v>
                </c:pt>
                <c:pt idx="213">
                  <c:v>45349</c:v>
                </c:pt>
                <c:pt idx="214">
                  <c:v>45348</c:v>
                </c:pt>
                <c:pt idx="215">
                  <c:v>45345</c:v>
                </c:pt>
                <c:pt idx="216">
                  <c:v>45344</c:v>
                </c:pt>
                <c:pt idx="217">
                  <c:v>45343</c:v>
                </c:pt>
                <c:pt idx="218">
                  <c:v>45342</c:v>
                </c:pt>
                <c:pt idx="219">
                  <c:v>45338</c:v>
                </c:pt>
                <c:pt idx="220">
                  <c:v>45337</c:v>
                </c:pt>
                <c:pt idx="221">
                  <c:v>45336</c:v>
                </c:pt>
                <c:pt idx="222">
                  <c:v>45335</c:v>
                </c:pt>
                <c:pt idx="223">
                  <c:v>45334</c:v>
                </c:pt>
                <c:pt idx="224">
                  <c:v>45331</c:v>
                </c:pt>
                <c:pt idx="225">
                  <c:v>45330</c:v>
                </c:pt>
                <c:pt idx="226">
                  <c:v>45329</c:v>
                </c:pt>
                <c:pt idx="227">
                  <c:v>45328</c:v>
                </c:pt>
                <c:pt idx="228">
                  <c:v>45327</c:v>
                </c:pt>
                <c:pt idx="229">
                  <c:v>45324</c:v>
                </c:pt>
                <c:pt idx="230">
                  <c:v>45323</c:v>
                </c:pt>
                <c:pt idx="231">
                  <c:v>45322</c:v>
                </c:pt>
                <c:pt idx="232">
                  <c:v>45321</c:v>
                </c:pt>
                <c:pt idx="233">
                  <c:v>45320</c:v>
                </c:pt>
                <c:pt idx="234">
                  <c:v>45317</c:v>
                </c:pt>
                <c:pt idx="235">
                  <c:v>45316</c:v>
                </c:pt>
                <c:pt idx="236">
                  <c:v>45315</c:v>
                </c:pt>
                <c:pt idx="237">
                  <c:v>45314</c:v>
                </c:pt>
                <c:pt idx="238">
                  <c:v>45313</c:v>
                </c:pt>
                <c:pt idx="239">
                  <c:v>45310</c:v>
                </c:pt>
                <c:pt idx="240">
                  <c:v>45309</c:v>
                </c:pt>
                <c:pt idx="241">
                  <c:v>45308</c:v>
                </c:pt>
                <c:pt idx="242">
                  <c:v>45307</c:v>
                </c:pt>
                <c:pt idx="243">
                  <c:v>45303</c:v>
                </c:pt>
                <c:pt idx="244">
                  <c:v>45302</c:v>
                </c:pt>
                <c:pt idx="245">
                  <c:v>45301</c:v>
                </c:pt>
                <c:pt idx="246">
                  <c:v>45300</c:v>
                </c:pt>
                <c:pt idx="247">
                  <c:v>45299</c:v>
                </c:pt>
                <c:pt idx="248">
                  <c:v>45296</c:v>
                </c:pt>
                <c:pt idx="249">
                  <c:v>45295</c:v>
                </c:pt>
                <c:pt idx="250">
                  <c:v>45294</c:v>
                </c:pt>
                <c:pt idx="251">
                  <c:v>45293</c:v>
                </c:pt>
                <c:pt idx="252">
                  <c:v>45289</c:v>
                </c:pt>
                <c:pt idx="253">
                  <c:v>45288</c:v>
                </c:pt>
                <c:pt idx="254">
                  <c:v>45287</c:v>
                </c:pt>
                <c:pt idx="255">
                  <c:v>45286</c:v>
                </c:pt>
                <c:pt idx="256">
                  <c:v>45282</c:v>
                </c:pt>
                <c:pt idx="257">
                  <c:v>45281</c:v>
                </c:pt>
                <c:pt idx="258">
                  <c:v>45280</c:v>
                </c:pt>
                <c:pt idx="259">
                  <c:v>45279</c:v>
                </c:pt>
                <c:pt idx="260">
                  <c:v>45278</c:v>
                </c:pt>
                <c:pt idx="261">
                  <c:v>45275</c:v>
                </c:pt>
                <c:pt idx="262">
                  <c:v>45274</c:v>
                </c:pt>
                <c:pt idx="263">
                  <c:v>45273</c:v>
                </c:pt>
                <c:pt idx="264">
                  <c:v>45272</c:v>
                </c:pt>
                <c:pt idx="265">
                  <c:v>45271</c:v>
                </c:pt>
                <c:pt idx="266">
                  <c:v>45268</c:v>
                </c:pt>
                <c:pt idx="267">
                  <c:v>45267</c:v>
                </c:pt>
                <c:pt idx="268">
                  <c:v>45266</c:v>
                </c:pt>
                <c:pt idx="269">
                  <c:v>45265</c:v>
                </c:pt>
                <c:pt idx="270">
                  <c:v>45264</c:v>
                </c:pt>
                <c:pt idx="271">
                  <c:v>45261</c:v>
                </c:pt>
                <c:pt idx="272">
                  <c:v>45260</c:v>
                </c:pt>
                <c:pt idx="273">
                  <c:v>45259</c:v>
                </c:pt>
                <c:pt idx="274">
                  <c:v>45258</c:v>
                </c:pt>
                <c:pt idx="275">
                  <c:v>45257</c:v>
                </c:pt>
                <c:pt idx="276">
                  <c:v>45254</c:v>
                </c:pt>
                <c:pt idx="277">
                  <c:v>45252</c:v>
                </c:pt>
                <c:pt idx="278">
                  <c:v>45251</c:v>
                </c:pt>
                <c:pt idx="279">
                  <c:v>45250</c:v>
                </c:pt>
                <c:pt idx="280">
                  <c:v>45247</c:v>
                </c:pt>
                <c:pt idx="281">
                  <c:v>45246</c:v>
                </c:pt>
                <c:pt idx="282">
                  <c:v>45245</c:v>
                </c:pt>
                <c:pt idx="283">
                  <c:v>45244</c:v>
                </c:pt>
                <c:pt idx="284">
                  <c:v>45243</c:v>
                </c:pt>
                <c:pt idx="285">
                  <c:v>45240</c:v>
                </c:pt>
                <c:pt idx="286">
                  <c:v>45239</c:v>
                </c:pt>
                <c:pt idx="287">
                  <c:v>45238</c:v>
                </c:pt>
                <c:pt idx="288">
                  <c:v>45237</c:v>
                </c:pt>
                <c:pt idx="289">
                  <c:v>45236</c:v>
                </c:pt>
                <c:pt idx="290">
                  <c:v>45233</c:v>
                </c:pt>
                <c:pt idx="291">
                  <c:v>45232</c:v>
                </c:pt>
                <c:pt idx="292">
                  <c:v>45231</c:v>
                </c:pt>
                <c:pt idx="293">
                  <c:v>45230</c:v>
                </c:pt>
                <c:pt idx="294">
                  <c:v>45229</c:v>
                </c:pt>
                <c:pt idx="295">
                  <c:v>45226</c:v>
                </c:pt>
                <c:pt idx="296">
                  <c:v>45225</c:v>
                </c:pt>
                <c:pt idx="297">
                  <c:v>45224</c:v>
                </c:pt>
                <c:pt idx="298">
                  <c:v>45223</c:v>
                </c:pt>
                <c:pt idx="299">
                  <c:v>45222</c:v>
                </c:pt>
                <c:pt idx="300">
                  <c:v>45219</c:v>
                </c:pt>
                <c:pt idx="301">
                  <c:v>45218</c:v>
                </c:pt>
                <c:pt idx="302">
                  <c:v>45217</c:v>
                </c:pt>
                <c:pt idx="303">
                  <c:v>45216</c:v>
                </c:pt>
                <c:pt idx="304">
                  <c:v>45215</c:v>
                </c:pt>
                <c:pt idx="305">
                  <c:v>45212</c:v>
                </c:pt>
                <c:pt idx="306">
                  <c:v>45211</c:v>
                </c:pt>
                <c:pt idx="307">
                  <c:v>45210</c:v>
                </c:pt>
                <c:pt idx="308">
                  <c:v>45209</c:v>
                </c:pt>
                <c:pt idx="309">
                  <c:v>45208</c:v>
                </c:pt>
                <c:pt idx="310">
                  <c:v>45205</c:v>
                </c:pt>
                <c:pt idx="311">
                  <c:v>45204</c:v>
                </c:pt>
                <c:pt idx="312">
                  <c:v>45203</c:v>
                </c:pt>
                <c:pt idx="313">
                  <c:v>45202</c:v>
                </c:pt>
                <c:pt idx="314">
                  <c:v>45201</c:v>
                </c:pt>
                <c:pt idx="315">
                  <c:v>45198</c:v>
                </c:pt>
                <c:pt idx="316">
                  <c:v>45197</c:v>
                </c:pt>
                <c:pt idx="317">
                  <c:v>45196</c:v>
                </c:pt>
                <c:pt idx="318">
                  <c:v>45195</c:v>
                </c:pt>
                <c:pt idx="319">
                  <c:v>45194</c:v>
                </c:pt>
                <c:pt idx="320">
                  <c:v>45191</c:v>
                </c:pt>
                <c:pt idx="321">
                  <c:v>45190</c:v>
                </c:pt>
                <c:pt idx="322">
                  <c:v>45189</c:v>
                </c:pt>
                <c:pt idx="323">
                  <c:v>45188</c:v>
                </c:pt>
                <c:pt idx="324">
                  <c:v>45187</c:v>
                </c:pt>
                <c:pt idx="325">
                  <c:v>45184</c:v>
                </c:pt>
                <c:pt idx="326">
                  <c:v>45183</c:v>
                </c:pt>
                <c:pt idx="327">
                  <c:v>45182</c:v>
                </c:pt>
                <c:pt idx="328">
                  <c:v>45181</c:v>
                </c:pt>
                <c:pt idx="329">
                  <c:v>45180</c:v>
                </c:pt>
                <c:pt idx="330">
                  <c:v>45177</c:v>
                </c:pt>
                <c:pt idx="331">
                  <c:v>45176</c:v>
                </c:pt>
                <c:pt idx="332">
                  <c:v>45175</c:v>
                </c:pt>
                <c:pt idx="333">
                  <c:v>45174</c:v>
                </c:pt>
                <c:pt idx="334">
                  <c:v>45170</c:v>
                </c:pt>
                <c:pt idx="335">
                  <c:v>45169</c:v>
                </c:pt>
                <c:pt idx="336">
                  <c:v>45168</c:v>
                </c:pt>
                <c:pt idx="337">
                  <c:v>45167</c:v>
                </c:pt>
                <c:pt idx="338">
                  <c:v>45166</c:v>
                </c:pt>
                <c:pt idx="339">
                  <c:v>45163</c:v>
                </c:pt>
                <c:pt idx="340">
                  <c:v>45162</c:v>
                </c:pt>
                <c:pt idx="341">
                  <c:v>45161</c:v>
                </c:pt>
                <c:pt idx="342">
                  <c:v>45160</c:v>
                </c:pt>
                <c:pt idx="343">
                  <c:v>45159</c:v>
                </c:pt>
                <c:pt idx="344">
                  <c:v>45156</c:v>
                </c:pt>
                <c:pt idx="345">
                  <c:v>45155</c:v>
                </c:pt>
                <c:pt idx="346">
                  <c:v>45154</c:v>
                </c:pt>
                <c:pt idx="347">
                  <c:v>45153</c:v>
                </c:pt>
                <c:pt idx="348">
                  <c:v>45152</c:v>
                </c:pt>
                <c:pt idx="349">
                  <c:v>45149</c:v>
                </c:pt>
                <c:pt idx="350">
                  <c:v>45148</c:v>
                </c:pt>
                <c:pt idx="351">
                  <c:v>45147</c:v>
                </c:pt>
                <c:pt idx="352">
                  <c:v>45146</c:v>
                </c:pt>
                <c:pt idx="353">
                  <c:v>45145</c:v>
                </c:pt>
                <c:pt idx="354">
                  <c:v>45142</c:v>
                </c:pt>
                <c:pt idx="355">
                  <c:v>45141</c:v>
                </c:pt>
                <c:pt idx="356">
                  <c:v>45140</c:v>
                </c:pt>
                <c:pt idx="357">
                  <c:v>45139</c:v>
                </c:pt>
                <c:pt idx="358">
                  <c:v>45138</c:v>
                </c:pt>
                <c:pt idx="359">
                  <c:v>45135</c:v>
                </c:pt>
                <c:pt idx="360">
                  <c:v>45134</c:v>
                </c:pt>
                <c:pt idx="361">
                  <c:v>45133</c:v>
                </c:pt>
                <c:pt idx="362">
                  <c:v>45132</c:v>
                </c:pt>
                <c:pt idx="363">
                  <c:v>45131</c:v>
                </c:pt>
                <c:pt idx="364">
                  <c:v>45128</c:v>
                </c:pt>
                <c:pt idx="365">
                  <c:v>45127</c:v>
                </c:pt>
                <c:pt idx="366">
                  <c:v>45126</c:v>
                </c:pt>
                <c:pt idx="367">
                  <c:v>45125</c:v>
                </c:pt>
                <c:pt idx="368">
                  <c:v>45124</c:v>
                </c:pt>
                <c:pt idx="369">
                  <c:v>45121</c:v>
                </c:pt>
                <c:pt idx="370">
                  <c:v>45120</c:v>
                </c:pt>
                <c:pt idx="371">
                  <c:v>45119</c:v>
                </c:pt>
                <c:pt idx="372">
                  <c:v>45118</c:v>
                </c:pt>
                <c:pt idx="373">
                  <c:v>45117</c:v>
                </c:pt>
                <c:pt idx="374">
                  <c:v>45114</c:v>
                </c:pt>
                <c:pt idx="375">
                  <c:v>45113</c:v>
                </c:pt>
                <c:pt idx="376">
                  <c:v>45112</c:v>
                </c:pt>
                <c:pt idx="377">
                  <c:v>45110</c:v>
                </c:pt>
                <c:pt idx="378">
                  <c:v>45107</c:v>
                </c:pt>
                <c:pt idx="379">
                  <c:v>45106</c:v>
                </c:pt>
                <c:pt idx="380">
                  <c:v>45105</c:v>
                </c:pt>
                <c:pt idx="381">
                  <c:v>45104</c:v>
                </c:pt>
                <c:pt idx="382">
                  <c:v>45103</c:v>
                </c:pt>
                <c:pt idx="383">
                  <c:v>45100</c:v>
                </c:pt>
                <c:pt idx="384">
                  <c:v>45099</c:v>
                </c:pt>
                <c:pt idx="385">
                  <c:v>45098</c:v>
                </c:pt>
                <c:pt idx="386">
                  <c:v>45097</c:v>
                </c:pt>
                <c:pt idx="387">
                  <c:v>45093</c:v>
                </c:pt>
                <c:pt idx="388">
                  <c:v>45092</c:v>
                </c:pt>
                <c:pt idx="389">
                  <c:v>45091</c:v>
                </c:pt>
                <c:pt idx="390">
                  <c:v>45090</c:v>
                </c:pt>
                <c:pt idx="391">
                  <c:v>45089</c:v>
                </c:pt>
                <c:pt idx="392">
                  <c:v>45086</c:v>
                </c:pt>
                <c:pt idx="393">
                  <c:v>45085</c:v>
                </c:pt>
                <c:pt idx="394">
                  <c:v>45084</c:v>
                </c:pt>
                <c:pt idx="395">
                  <c:v>45083</c:v>
                </c:pt>
                <c:pt idx="396">
                  <c:v>45082</c:v>
                </c:pt>
                <c:pt idx="397">
                  <c:v>45079</c:v>
                </c:pt>
                <c:pt idx="398">
                  <c:v>45078</c:v>
                </c:pt>
                <c:pt idx="399">
                  <c:v>45077</c:v>
                </c:pt>
                <c:pt idx="400">
                  <c:v>45076</c:v>
                </c:pt>
                <c:pt idx="401">
                  <c:v>45072</c:v>
                </c:pt>
                <c:pt idx="402">
                  <c:v>45071</c:v>
                </c:pt>
                <c:pt idx="403">
                  <c:v>45070</c:v>
                </c:pt>
                <c:pt idx="404">
                  <c:v>45069</c:v>
                </c:pt>
                <c:pt idx="405">
                  <c:v>45068</c:v>
                </c:pt>
                <c:pt idx="406">
                  <c:v>45065</c:v>
                </c:pt>
                <c:pt idx="407">
                  <c:v>45064</c:v>
                </c:pt>
                <c:pt idx="408">
                  <c:v>45063</c:v>
                </c:pt>
                <c:pt idx="409">
                  <c:v>45062</c:v>
                </c:pt>
                <c:pt idx="410">
                  <c:v>45061</c:v>
                </c:pt>
                <c:pt idx="411">
                  <c:v>45058</c:v>
                </c:pt>
                <c:pt idx="412">
                  <c:v>45057</c:v>
                </c:pt>
                <c:pt idx="413">
                  <c:v>45056</c:v>
                </c:pt>
                <c:pt idx="414">
                  <c:v>45055</c:v>
                </c:pt>
                <c:pt idx="415">
                  <c:v>45054</c:v>
                </c:pt>
                <c:pt idx="416">
                  <c:v>45051</c:v>
                </c:pt>
                <c:pt idx="417">
                  <c:v>45050</c:v>
                </c:pt>
                <c:pt idx="418">
                  <c:v>45049</c:v>
                </c:pt>
                <c:pt idx="419">
                  <c:v>45048</c:v>
                </c:pt>
                <c:pt idx="420">
                  <c:v>45047</c:v>
                </c:pt>
                <c:pt idx="421">
                  <c:v>45044</c:v>
                </c:pt>
                <c:pt idx="422">
                  <c:v>45043</c:v>
                </c:pt>
                <c:pt idx="423">
                  <c:v>45042</c:v>
                </c:pt>
                <c:pt idx="424">
                  <c:v>45041</c:v>
                </c:pt>
                <c:pt idx="425">
                  <c:v>45040</c:v>
                </c:pt>
                <c:pt idx="426">
                  <c:v>45037</c:v>
                </c:pt>
                <c:pt idx="427">
                  <c:v>45036</c:v>
                </c:pt>
                <c:pt idx="428">
                  <c:v>45035</c:v>
                </c:pt>
                <c:pt idx="429">
                  <c:v>45034</c:v>
                </c:pt>
                <c:pt idx="430">
                  <c:v>45033</c:v>
                </c:pt>
                <c:pt idx="431">
                  <c:v>45030</c:v>
                </c:pt>
                <c:pt idx="432">
                  <c:v>45029</c:v>
                </c:pt>
                <c:pt idx="433">
                  <c:v>45028</c:v>
                </c:pt>
                <c:pt idx="434">
                  <c:v>45027</c:v>
                </c:pt>
                <c:pt idx="435">
                  <c:v>45026</c:v>
                </c:pt>
                <c:pt idx="436">
                  <c:v>45022</c:v>
                </c:pt>
                <c:pt idx="437">
                  <c:v>45021</c:v>
                </c:pt>
                <c:pt idx="438">
                  <c:v>45020</c:v>
                </c:pt>
                <c:pt idx="439">
                  <c:v>45019</c:v>
                </c:pt>
                <c:pt idx="440">
                  <c:v>45016</c:v>
                </c:pt>
                <c:pt idx="441">
                  <c:v>45015</c:v>
                </c:pt>
                <c:pt idx="442">
                  <c:v>45014</c:v>
                </c:pt>
                <c:pt idx="443">
                  <c:v>45013</c:v>
                </c:pt>
                <c:pt idx="444">
                  <c:v>45012</c:v>
                </c:pt>
                <c:pt idx="445">
                  <c:v>45009</c:v>
                </c:pt>
                <c:pt idx="446">
                  <c:v>45008</c:v>
                </c:pt>
                <c:pt idx="447">
                  <c:v>45007</c:v>
                </c:pt>
                <c:pt idx="448">
                  <c:v>45006</c:v>
                </c:pt>
                <c:pt idx="449">
                  <c:v>45005</c:v>
                </c:pt>
                <c:pt idx="450">
                  <c:v>45002</c:v>
                </c:pt>
                <c:pt idx="451">
                  <c:v>45001</c:v>
                </c:pt>
                <c:pt idx="452">
                  <c:v>45000</c:v>
                </c:pt>
                <c:pt idx="453">
                  <c:v>44999</c:v>
                </c:pt>
                <c:pt idx="454">
                  <c:v>44998</c:v>
                </c:pt>
                <c:pt idx="455">
                  <c:v>44995</c:v>
                </c:pt>
                <c:pt idx="456">
                  <c:v>44994</c:v>
                </c:pt>
                <c:pt idx="457">
                  <c:v>44993</c:v>
                </c:pt>
                <c:pt idx="458">
                  <c:v>44992</c:v>
                </c:pt>
                <c:pt idx="459">
                  <c:v>44991</c:v>
                </c:pt>
                <c:pt idx="460">
                  <c:v>44988</c:v>
                </c:pt>
                <c:pt idx="461">
                  <c:v>44987</c:v>
                </c:pt>
                <c:pt idx="462">
                  <c:v>44986</c:v>
                </c:pt>
                <c:pt idx="463">
                  <c:v>44985</c:v>
                </c:pt>
                <c:pt idx="464">
                  <c:v>44984</c:v>
                </c:pt>
                <c:pt idx="465">
                  <c:v>44981</c:v>
                </c:pt>
                <c:pt idx="466">
                  <c:v>44980</c:v>
                </c:pt>
                <c:pt idx="467">
                  <c:v>44979</c:v>
                </c:pt>
                <c:pt idx="468">
                  <c:v>44978</c:v>
                </c:pt>
                <c:pt idx="469">
                  <c:v>44974</c:v>
                </c:pt>
                <c:pt idx="470">
                  <c:v>44973</c:v>
                </c:pt>
                <c:pt idx="471">
                  <c:v>44972</c:v>
                </c:pt>
                <c:pt idx="472">
                  <c:v>44971</c:v>
                </c:pt>
                <c:pt idx="473">
                  <c:v>44970</c:v>
                </c:pt>
                <c:pt idx="474">
                  <c:v>44967</c:v>
                </c:pt>
                <c:pt idx="475">
                  <c:v>44966</c:v>
                </c:pt>
                <c:pt idx="476">
                  <c:v>44965</c:v>
                </c:pt>
                <c:pt idx="477">
                  <c:v>44964</c:v>
                </c:pt>
                <c:pt idx="478">
                  <c:v>44963</c:v>
                </c:pt>
                <c:pt idx="479">
                  <c:v>44960</c:v>
                </c:pt>
                <c:pt idx="480">
                  <c:v>44959</c:v>
                </c:pt>
                <c:pt idx="481">
                  <c:v>44958</c:v>
                </c:pt>
                <c:pt idx="482">
                  <c:v>44957</c:v>
                </c:pt>
                <c:pt idx="483">
                  <c:v>44956</c:v>
                </c:pt>
                <c:pt idx="484">
                  <c:v>44953</c:v>
                </c:pt>
                <c:pt idx="485">
                  <c:v>44952</c:v>
                </c:pt>
                <c:pt idx="486">
                  <c:v>44951</c:v>
                </c:pt>
                <c:pt idx="487">
                  <c:v>44950</c:v>
                </c:pt>
                <c:pt idx="488">
                  <c:v>44949</c:v>
                </c:pt>
                <c:pt idx="489">
                  <c:v>44946</c:v>
                </c:pt>
                <c:pt idx="490">
                  <c:v>44945</c:v>
                </c:pt>
                <c:pt idx="491">
                  <c:v>44944</c:v>
                </c:pt>
                <c:pt idx="492">
                  <c:v>44943</c:v>
                </c:pt>
                <c:pt idx="493">
                  <c:v>44939</c:v>
                </c:pt>
                <c:pt idx="494">
                  <c:v>44938</c:v>
                </c:pt>
                <c:pt idx="495">
                  <c:v>44937</c:v>
                </c:pt>
                <c:pt idx="496">
                  <c:v>44936</c:v>
                </c:pt>
                <c:pt idx="497">
                  <c:v>44935</c:v>
                </c:pt>
                <c:pt idx="498">
                  <c:v>44932</c:v>
                </c:pt>
                <c:pt idx="499">
                  <c:v>44931</c:v>
                </c:pt>
                <c:pt idx="500">
                  <c:v>44930</c:v>
                </c:pt>
                <c:pt idx="501">
                  <c:v>44929</c:v>
                </c:pt>
                <c:pt idx="502">
                  <c:v>44925</c:v>
                </c:pt>
                <c:pt idx="503">
                  <c:v>44924</c:v>
                </c:pt>
                <c:pt idx="504">
                  <c:v>44923</c:v>
                </c:pt>
                <c:pt idx="505">
                  <c:v>44922</c:v>
                </c:pt>
                <c:pt idx="506">
                  <c:v>44918</c:v>
                </c:pt>
                <c:pt idx="507">
                  <c:v>44917</c:v>
                </c:pt>
                <c:pt idx="508">
                  <c:v>44916</c:v>
                </c:pt>
                <c:pt idx="509">
                  <c:v>44915</c:v>
                </c:pt>
                <c:pt idx="510">
                  <c:v>44914</c:v>
                </c:pt>
                <c:pt idx="511">
                  <c:v>44911</c:v>
                </c:pt>
                <c:pt idx="512">
                  <c:v>44910</c:v>
                </c:pt>
                <c:pt idx="513">
                  <c:v>44909</c:v>
                </c:pt>
                <c:pt idx="514">
                  <c:v>44908</c:v>
                </c:pt>
                <c:pt idx="515">
                  <c:v>44907</c:v>
                </c:pt>
                <c:pt idx="516">
                  <c:v>44904</c:v>
                </c:pt>
                <c:pt idx="517">
                  <c:v>44903</c:v>
                </c:pt>
                <c:pt idx="518">
                  <c:v>44902</c:v>
                </c:pt>
                <c:pt idx="519">
                  <c:v>44901</c:v>
                </c:pt>
                <c:pt idx="520">
                  <c:v>44900</c:v>
                </c:pt>
                <c:pt idx="521">
                  <c:v>44897</c:v>
                </c:pt>
                <c:pt idx="522">
                  <c:v>44896</c:v>
                </c:pt>
                <c:pt idx="523">
                  <c:v>44895</c:v>
                </c:pt>
                <c:pt idx="524">
                  <c:v>44894</c:v>
                </c:pt>
                <c:pt idx="525">
                  <c:v>44893</c:v>
                </c:pt>
                <c:pt idx="526">
                  <c:v>44890</c:v>
                </c:pt>
                <c:pt idx="527">
                  <c:v>44888</c:v>
                </c:pt>
                <c:pt idx="528">
                  <c:v>44887</c:v>
                </c:pt>
                <c:pt idx="529">
                  <c:v>44886</c:v>
                </c:pt>
                <c:pt idx="530">
                  <c:v>44883</c:v>
                </c:pt>
                <c:pt idx="531">
                  <c:v>44882</c:v>
                </c:pt>
                <c:pt idx="532">
                  <c:v>44881</c:v>
                </c:pt>
                <c:pt idx="533">
                  <c:v>44880</c:v>
                </c:pt>
                <c:pt idx="534">
                  <c:v>44879</c:v>
                </c:pt>
                <c:pt idx="535">
                  <c:v>44876</c:v>
                </c:pt>
                <c:pt idx="536">
                  <c:v>44875</c:v>
                </c:pt>
                <c:pt idx="537">
                  <c:v>44874</c:v>
                </c:pt>
                <c:pt idx="538">
                  <c:v>44873</c:v>
                </c:pt>
                <c:pt idx="539">
                  <c:v>44872</c:v>
                </c:pt>
                <c:pt idx="540">
                  <c:v>44869</c:v>
                </c:pt>
                <c:pt idx="541">
                  <c:v>44868</c:v>
                </c:pt>
                <c:pt idx="542">
                  <c:v>44867</c:v>
                </c:pt>
                <c:pt idx="543">
                  <c:v>44866</c:v>
                </c:pt>
                <c:pt idx="544">
                  <c:v>44865</c:v>
                </c:pt>
                <c:pt idx="545">
                  <c:v>44862</c:v>
                </c:pt>
                <c:pt idx="546">
                  <c:v>44861</c:v>
                </c:pt>
                <c:pt idx="547">
                  <c:v>44860</c:v>
                </c:pt>
                <c:pt idx="548">
                  <c:v>44859</c:v>
                </c:pt>
                <c:pt idx="549">
                  <c:v>44858</c:v>
                </c:pt>
                <c:pt idx="550">
                  <c:v>44855</c:v>
                </c:pt>
                <c:pt idx="551">
                  <c:v>44854</c:v>
                </c:pt>
                <c:pt idx="552">
                  <c:v>44853</c:v>
                </c:pt>
                <c:pt idx="553">
                  <c:v>44852</c:v>
                </c:pt>
                <c:pt idx="554">
                  <c:v>44851</c:v>
                </c:pt>
                <c:pt idx="555">
                  <c:v>44848</c:v>
                </c:pt>
                <c:pt idx="556">
                  <c:v>44847</c:v>
                </c:pt>
                <c:pt idx="557">
                  <c:v>44846</c:v>
                </c:pt>
                <c:pt idx="558">
                  <c:v>44845</c:v>
                </c:pt>
                <c:pt idx="559">
                  <c:v>44844</c:v>
                </c:pt>
                <c:pt idx="560">
                  <c:v>44841</c:v>
                </c:pt>
                <c:pt idx="561">
                  <c:v>44840</c:v>
                </c:pt>
                <c:pt idx="562">
                  <c:v>44839</c:v>
                </c:pt>
                <c:pt idx="563">
                  <c:v>44838</c:v>
                </c:pt>
                <c:pt idx="564">
                  <c:v>44837</c:v>
                </c:pt>
                <c:pt idx="565">
                  <c:v>44834</c:v>
                </c:pt>
                <c:pt idx="566">
                  <c:v>44833</c:v>
                </c:pt>
                <c:pt idx="567">
                  <c:v>44832</c:v>
                </c:pt>
                <c:pt idx="568">
                  <c:v>44831</c:v>
                </c:pt>
                <c:pt idx="569">
                  <c:v>44830</c:v>
                </c:pt>
                <c:pt idx="570">
                  <c:v>44827</c:v>
                </c:pt>
                <c:pt idx="571">
                  <c:v>44826</c:v>
                </c:pt>
                <c:pt idx="572">
                  <c:v>44825</c:v>
                </c:pt>
                <c:pt idx="573">
                  <c:v>44824</c:v>
                </c:pt>
                <c:pt idx="574">
                  <c:v>44823</c:v>
                </c:pt>
                <c:pt idx="575">
                  <c:v>44820</c:v>
                </c:pt>
                <c:pt idx="576">
                  <c:v>44819</c:v>
                </c:pt>
                <c:pt idx="577">
                  <c:v>44818</c:v>
                </c:pt>
                <c:pt idx="578">
                  <c:v>44817</c:v>
                </c:pt>
                <c:pt idx="579">
                  <c:v>44816</c:v>
                </c:pt>
                <c:pt idx="580">
                  <c:v>44813</c:v>
                </c:pt>
                <c:pt idx="581">
                  <c:v>44812</c:v>
                </c:pt>
                <c:pt idx="582">
                  <c:v>44811</c:v>
                </c:pt>
                <c:pt idx="583">
                  <c:v>44810</c:v>
                </c:pt>
                <c:pt idx="584">
                  <c:v>44806</c:v>
                </c:pt>
                <c:pt idx="585">
                  <c:v>44805</c:v>
                </c:pt>
                <c:pt idx="586">
                  <c:v>44804</c:v>
                </c:pt>
                <c:pt idx="587">
                  <c:v>44803</c:v>
                </c:pt>
                <c:pt idx="588">
                  <c:v>44802</c:v>
                </c:pt>
                <c:pt idx="589">
                  <c:v>44799</c:v>
                </c:pt>
                <c:pt idx="590">
                  <c:v>44798</c:v>
                </c:pt>
                <c:pt idx="591">
                  <c:v>44797</c:v>
                </c:pt>
                <c:pt idx="592">
                  <c:v>44796</c:v>
                </c:pt>
                <c:pt idx="593">
                  <c:v>44795</c:v>
                </c:pt>
                <c:pt idx="594">
                  <c:v>44792</c:v>
                </c:pt>
                <c:pt idx="595">
                  <c:v>44791</c:v>
                </c:pt>
                <c:pt idx="596">
                  <c:v>44790</c:v>
                </c:pt>
                <c:pt idx="597">
                  <c:v>44789</c:v>
                </c:pt>
                <c:pt idx="598">
                  <c:v>44788</c:v>
                </c:pt>
                <c:pt idx="599">
                  <c:v>44785</c:v>
                </c:pt>
                <c:pt idx="600">
                  <c:v>44784</c:v>
                </c:pt>
                <c:pt idx="601">
                  <c:v>44783</c:v>
                </c:pt>
                <c:pt idx="602">
                  <c:v>44782</c:v>
                </c:pt>
                <c:pt idx="603">
                  <c:v>44781</c:v>
                </c:pt>
                <c:pt idx="604">
                  <c:v>44778</c:v>
                </c:pt>
                <c:pt idx="605">
                  <c:v>44777</c:v>
                </c:pt>
                <c:pt idx="606">
                  <c:v>44776</c:v>
                </c:pt>
                <c:pt idx="607">
                  <c:v>44775</c:v>
                </c:pt>
                <c:pt idx="608">
                  <c:v>44774</c:v>
                </c:pt>
                <c:pt idx="609">
                  <c:v>44771</c:v>
                </c:pt>
                <c:pt idx="610">
                  <c:v>44770</c:v>
                </c:pt>
                <c:pt idx="611">
                  <c:v>44769</c:v>
                </c:pt>
                <c:pt idx="612">
                  <c:v>44768</c:v>
                </c:pt>
                <c:pt idx="613">
                  <c:v>44767</c:v>
                </c:pt>
                <c:pt idx="614">
                  <c:v>44764</c:v>
                </c:pt>
                <c:pt idx="615">
                  <c:v>44763</c:v>
                </c:pt>
                <c:pt idx="616">
                  <c:v>44762</c:v>
                </c:pt>
                <c:pt idx="617">
                  <c:v>44761</c:v>
                </c:pt>
                <c:pt idx="618">
                  <c:v>44760</c:v>
                </c:pt>
                <c:pt idx="619">
                  <c:v>44757</c:v>
                </c:pt>
                <c:pt idx="620">
                  <c:v>44756</c:v>
                </c:pt>
                <c:pt idx="621">
                  <c:v>44755</c:v>
                </c:pt>
                <c:pt idx="622">
                  <c:v>44754</c:v>
                </c:pt>
                <c:pt idx="623">
                  <c:v>44753</c:v>
                </c:pt>
                <c:pt idx="624">
                  <c:v>44750</c:v>
                </c:pt>
                <c:pt idx="625">
                  <c:v>44749</c:v>
                </c:pt>
                <c:pt idx="626">
                  <c:v>44748</c:v>
                </c:pt>
                <c:pt idx="627">
                  <c:v>44747</c:v>
                </c:pt>
                <c:pt idx="628">
                  <c:v>44743</c:v>
                </c:pt>
                <c:pt idx="629">
                  <c:v>44742</c:v>
                </c:pt>
                <c:pt idx="630">
                  <c:v>44741</c:v>
                </c:pt>
                <c:pt idx="631">
                  <c:v>44740</c:v>
                </c:pt>
                <c:pt idx="632">
                  <c:v>44739</c:v>
                </c:pt>
                <c:pt idx="633">
                  <c:v>44736</c:v>
                </c:pt>
                <c:pt idx="634">
                  <c:v>44735</c:v>
                </c:pt>
                <c:pt idx="635">
                  <c:v>44734</c:v>
                </c:pt>
                <c:pt idx="636">
                  <c:v>44733</c:v>
                </c:pt>
                <c:pt idx="637">
                  <c:v>44729</c:v>
                </c:pt>
                <c:pt idx="638">
                  <c:v>44728</c:v>
                </c:pt>
                <c:pt idx="639">
                  <c:v>44727</c:v>
                </c:pt>
                <c:pt idx="640">
                  <c:v>44726</c:v>
                </c:pt>
                <c:pt idx="641">
                  <c:v>44725</c:v>
                </c:pt>
                <c:pt idx="642">
                  <c:v>44722</c:v>
                </c:pt>
                <c:pt idx="643">
                  <c:v>44721</c:v>
                </c:pt>
                <c:pt idx="644">
                  <c:v>44720</c:v>
                </c:pt>
                <c:pt idx="645">
                  <c:v>44719</c:v>
                </c:pt>
                <c:pt idx="646">
                  <c:v>44718</c:v>
                </c:pt>
                <c:pt idx="647">
                  <c:v>44715</c:v>
                </c:pt>
                <c:pt idx="648">
                  <c:v>44714</c:v>
                </c:pt>
                <c:pt idx="649">
                  <c:v>44713</c:v>
                </c:pt>
                <c:pt idx="650">
                  <c:v>44712</c:v>
                </c:pt>
                <c:pt idx="651">
                  <c:v>44708</c:v>
                </c:pt>
                <c:pt idx="652">
                  <c:v>44707</c:v>
                </c:pt>
                <c:pt idx="653">
                  <c:v>44706</c:v>
                </c:pt>
                <c:pt idx="654">
                  <c:v>44705</c:v>
                </c:pt>
                <c:pt idx="655">
                  <c:v>44704</c:v>
                </c:pt>
                <c:pt idx="656">
                  <c:v>44701</c:v>
                </c:pt>
                <c:pt idx="657">
                  <c:v>44700</c:v>
                </c:pt>
                <c:pt idx="658">
                  <c:v>44699</c:v>
                </c:pt>
                <c:pt idx="659">
                  <c:v>44698</c:v>
                </c:pt>
                <c:pt idx="660">
                  <c:v>44697</c:v>
                </c:pt>
                <c:pt idx="661">
                  <c:v>44694</c:v>
                </c:pt>
                <c:pt idx="662">
                  <c:v>44693</c:v>
                </c:pt>
                <c:pt idx="663">
                  <c:v>44692</c:v>
                </c:pt>
                <c:pt idx="664">
                  <c:v>44691</c:v>
                </c:pt>
                <c:pt idx="665">
                  <c:v>44690</c:v>
                </c:pt>
                <c:pt idx="666">
                  <c:v>44687</c:v>
                </c:pt>
                <c:pt idx="667">
                  <c:v>44686</c:v>
                </c:pt>
                <c:pt idx="668">
                  <c:v>44685</c:v>
                </c:pt>
                <c:pt idx="669">
                  <c:v>44684</c:v>
                </c:pt>
                <c:pt idx="670">
                  <c:v>44683</c:v>
                </c:pt>
                <c:pt idx="671">
                  <c:v>44680</c:v>
                </c:pt>
                <c:pt idx="672">
                  <c:v>44679</c:v>
                </c:pt>
                <c:pt idx="673">
                  <c:v>44678</c:v>
                </c:pt>
                <c:pt idx="674">
                  <c:v>44677</c:v>
                </c:pt>
                <c:pt idx="675">
                  <c:v>44676</c:v>
                </c:pt>
                <c:pt idx="676">
                  <c:v>44673</c:v>
                </c:pt>
                <c:pt idx="677">
                  <c:v>44672</c:v>
                </c:pt>
                <c:pt idx="678">
                  <c:v>44671</c:v>
                </c:pt>
                <c:pt idx="679">
                  <c:v>44670</c:v>
                </c:pt>
                <c:pt idx="680">
                  <c:v>44669</c:v>
                </c:pt>
                <c:pt idx="681">
                  <c:v>44665</c:v>
                </c:pt>
                <c:pt idx="682">
                  <c:v>44664</c:v>
                </c:pt>
                <c:pt idx="683">
                  <c:v>44663</c:v>
                </c:pt>
                <c:pt idx="684">
                  <c:v>44662</c:v>
                </c:pt>
                <c:pt idx="685">
                  <c:v>44659</c:v>
                </c:pt>
                <c:pt idx="686">
                  <c:v>44658</c:v>
                </c:pt>
                <c:pt idx="687">
                  <c:v>44657</c:v>
                </c:pt>
                <c:pt idx="688">
                  <c:v>44656</c:v>
                </c:pt>
                <c:pt idx="689">
                  <c:v>44655</c:v>
                </c:pt>
                <c:pt idx="690">
                  <c:v>44652</c:v>
                </c:pt>
                <c:pt idx="691">
                  <c:v>44651</c:v>
                </c:pt>
                <c:pt idx="692">
                  <c:v>44650</c:v>
                </c:pt>
                <c:pt idx="693">
                  <c:v>44649</c:v>
                </c:pt>
                <c:pt idx="694">
                  <c:v>44648</c:v>
                </c:pt>
                <c:pt idx="695">
                  <c:v>44645</c:v>
                </c:pt>
                <c:pt idx="696">
                  <c:v>44644</c:v>
                </c:pt>
                <c:pt idx="697">
                  <c:v>44643</c:v>
                </c:pt>
                <c:pt idx="698">
                  <c:v>44642</c:v>
                </c:pt>
                <c:pt idx="699">
                  <c:v>44641</c:v>
                </c:pt>
                <c:pt idx="700">
                  <c:v>44638</c:v>
                </c:pt>
                <c:pt idx="701">
                  <c:v>44637</c:v>
                </c:pt>
                <c:pt idx="702">
                  <c:v>44636</c:v>
                </c:pt>
                <c:pt idx="703">
                  <c:v>44635</c:v>
                </c:pt>
                <c:pt idx="704">
                  <c:v>44634</c:v>
                </c:pt>
                <c:pt idx="705">
                  <c:v>44631</c:v>
                </c:pt>
                <c:pt idx="706">
                  <c:v>44630</c:v>
                </c:pt>
                <c:pt idx="707">
                  <c:v>44629</c:v>
                </c:pt>
                <c:pt idx="708">
                  <c:v>44628</c:v>
                </c:pt>
                <c:pt idx="709">
                  <c:v>44627</c:v>
                </c:pt>
                <c:pt idx="710">
                  <c:v>44624</c:v>
                </c:pt>
                <c:pt idx="711">
                  <c:v>44623</c:v>
                </c:pt>
                <c:pt idx="712">
                  <c:v>44622</c:v>
                </c:pt>
                <c:pt idx="713">
                  <c:v>44621</c:v>
                </c:pt>
                <c:pt idx="714">
                  <c:v>44620</c:v>
                </c:pt>
                <c:pt idx="715">
                  <c:v>44617</c:v>
                </c:pt>
                <c:pt idx="716">
                  <c:v>44616</c:v>
                </c:pt>
                <c:pt idx="717">
                  <c:v>44615</c:v>
                </c:pt>
                <c:pt idx="718">
                  <c:v>44614</c:v>
                </c:pt>
                <c:pt idx="719">
                  <c:v>44610</c:v>
                </c:pt>
                <c:pt idx="720">
                  <c:v>44609</c:v>
                </c:pt>
                <c:pt idx="721">
                  <c:v>44608</c:v>
                </c:pt>
                <c:pt idx="722">
                  <c:v>44607</c:v>
                </c:pt>
                <c:pt idx="723">
                  <c:v>44606</c:v>
                </c:pt>
                <c:pt idx="724">
                  <c:v>44603</c:v>
                </c:pt>
                <c:pt idx="725">
                  <c:v>44602</c:v>
                </c:pt>
                <c:pt idx="726">
                  <c:v>44601</c:v>
                </c:pt>
                <c:pt idx="727">
                  <c:v>44600</c:v>
                </c:pt>
                <c:pt idx="728">
                  <c:v>44599</c:v>
                </c:pt>
                <c:pt idx="729">
                  <c:v>44596</c:v>
                </c:pt>
                <c:pt idx="730">
                  <c:v>44595</c:v>
                </c:pt>
                <c:pt idx="731">
                  <c:v>44594</c:v>
                </c:pt>
                <c:pt idx="732">
                  <c:v>44593</c:v>
                </c:pt>
                <c:pt idx="733">
                  <c:v>44592</c:v>
                </c:pt>
                <c:pt idx="734">
                  <c:v>44589</c:v>
                </c:pt>
                <c:pt idx="735">
                  <c:v>44588</c:v>
                </c:pt>
                <c:pt idx="736">
                  <c:v>44587</c:v>
                </c:pt>
                <c:pt idx="737">
                  <c:v>44586</c:v>
                </c:pt>
                <c:pt idx="738">
                  <c:v>44585</c:v>
                </c:pt>
                <c:pt idx="739">
                  <c:v>44582</c:v>
                </c:pt>
                <c:pt idx="740">
                  <c:v>44581</c:v>
                </c:pt>
                <c:pt idx="741">
                  <c:v>44580</c:v>
                </c:pt>
                <c:pt idx="742">
                  <c:v>44579</c:v>
                </c:pt>
                <c:pt idx="743">
                  <c:v>44575</c:v>
                </c:pt>
                <c:pt idx="744">
                  <c:v>44574</c:v>
                </c:pt>
                <c:pt idx="745">
                  <c:v>44573</c:v>
                </c:pt>
                <c:pt idx="746">
                  <c:v>44572</c:v>
                </c:pt>
                <c:pt idx="747">
                  <c:v>44571</c:v>
                </c:pt>
                <c:pt idx="748">
                  <c:v>44568</c:v>
                </c:pt>
                <c:pt idx="749">
                  <c:v>44567</c:v>
                </c:pt>
                <c:pt idx="750">
                  <c:v>44566</c:v>
                </c:pt>
                <c:pt idx="751">
                  <c:v>44565</c:v>
                </c:pt>
                <c:pt idx="752">
                  <c:v>44564</c:v>
                </c:pt>
                <c:pt idx="753">
                  <c:v>44561</c:v>
                </c:pt>
                <c:pt idx="754">
                  <c:v>44560</c:v>
                </c:pt>
                <c:pt idx="755">
                  <c:v>44559</c:v>
                </c:pt>
                <c:pt idx="756">
                  <c:v>44558</c:v>
                </c:pt>
                <c:pt idx="757">
                  <c:v>44557</c:v>
                </c:pt>
                <c:pt idx="758">
                  <c:v>44553</c:v>
                </c:pt>
                <c:pt idx="759">
                  <c:v>44552</c:v>
                </c:pt>
                <c:pt idx="760">
                  <c:v>44551</c:v>
                </c:pt>
                <c:pt idx="761">
                  <c:v>44550</c:v>
                </c:pt>
                <c:pt idx="762">
                  <c:v>44547</c:v>
                </c:pt>
                <c:pt idx="763">
                  <c:v>44546</c:v>
                </c:pt>
                <c:pt idx="764">
                  <c:v>44545</c:v>
                </c:pt>
                <c:pt idx="765">
                  <c:v>44544</c:v>
                </c:pt>
                <c:pt idx="766">
                  <c:v>44543</c:v>
                </c:pt>
                <c:pt idx="767">
                  <c:v>44540</c:v>
                </c:pt>
                <c:pt idx="768">
                  <c:v>44539</c:v>
                </c:pt>
                <c:pt idx="769">
                  <c:v>44538</c:v>
                </c:pt>
                <c:pt idx="770">
                  <c:v>44537</c:v>
                </c:pt>
                <c:pt idx="771">
                  <c:v>44536</c:v>
                </c:pt>
                <c:pt idx="772">
                  <c:v>44533</c:v>
                </c:pt>
                <c:pt idx="773">
                  <c:v>44532</c:v>
                </c:pt>
                <c:pt idx="774">
                  <c:v>44531</c:v>
                </c:pt>
                <c:pt idx="775">
                  <c:v>44530</c:v>
                </c:pt>
                <c:pt idx="776">
                  <c:v>44529</c:v>
                </c:pt>
                <c:pt idx="777">
                  <c:v>44526</c:v>
                </c:pt>
                <c:pt idx="778">
                  <c:v>44524</c:v>
                </c:pt>
                <c:pt idx="779">
                  <c:v>44523</c:v>
                </c:pt>
                <c:pt idx="780">
                  <c:v>44522</c:v>
                </c:pt>
                <c:pt idx="781">
                  <c:v>44519</c:v>
                </c:pt>
                <c:pt idx="782">
                  <c:v>44518</c:v>
                </c:pt>
                <c:pt idx="783">
                  <c:v>44517</c:v>
                </c:pt>
                <c:pt idx="784">
                  <c:v>44516</c:v>
                </c:pt>
                <c:pt idx="785">
                  <c:v>44515</c:v>
                </c:pt>
                <c:pt idx="786">
                  <c:v>44512</c:v>
                </c:pt>
                <c:pt idx="787">
                  <c:v>44511</c:v>
                </c:pt>
                <c:pt idx="788">
                  <c:v>44510</c:v>
                </c:pt>
                <c:pt idx="789">
                  <c:v>44509</c:v>
                </c:pt>
                <c:pt idx="790">
                  <c:v>44508</c:v>
                </c:pt>
                <c:pt idx="791">
                  <c:v>44505</c:v>
                </c:pt>
                <c:pt idx="792">
                  <c:v>44504</c:v>
                </c:pt>
                <c:pt idx="793">
                  <c:v>44503</c:v>
                </c:pt>
                <c:pt idx="794">
                  <c:v>44502</c:v>
                </c:pt>
                <c:pt idx="795">
                  <c:v>44501</c:v>
                </c:pt>
                <c:pt idx="796">
                  <c:v>44498</c:v>
                </c:pt>
                <c:pt idx="797">
                  <c:v>44497</c:v>
                </c:pt>
                <c:pt idx="798">
                  <c:v>44496</c:v>
                </c:pt>
                <c:pt idx="799">
                  <c:v>44495</c:v>
                </c:pt>
                <c:pt idx="800">
                  <c:v>44494</c:v>
                </c:pt>
                <c:pt idx="801">
                  <c:v>44491</c:v>
                </c:pt>
                <c:pt idx="802">
                  <c:v>44490</c:v>
                </c:pt>
                <c:pt idx="803">
                  <c:v>44489</c:v>
                </c:pt>
                <c:pt idx="804">
                  <c:v>44488</c:v>
                </c:pt>
                <c:pt idx="805">
                  <c:v>44487</c:v>
                </c:pt>
                <c:pt idx="806">
                  <c:v>44484</c:v>
                </c:pt>
                <c:pt idx="807">
                  <c:v>44483</c:v>
                </c:pt>
                <c:pt idx="808">
                  <c:v>44482</c:v>
                </c:pt>
                <c:pt idx="809">
                  <c:v>44481</c:v>
                </c:pt>
                <c:pt idx="810">
                  <c:v>44480</c:v>
                </c:pt>
                <c:pt idx="811">
                  <c:v>44477</c:v>
                </c:pt>
                <c:pt idx="812">
                  <c:v>44476</c:v>
                </c:pt>
                <c:pt idx="813">
                  <c:v>44475</c:v>
                </c:pt>
                <c:pt idx="814">
                  <c:v>44474</c:v>
                </c:pt>
                <c:pt idx="815">
                  <c:v>44473</c:v>
                </c:pt>
                <c:pt idx="816">
                  <c:v>44470</c:v>
                </c:pt>
                <c:pt idx="817">
                  <c:v>44469</c:v>
                </c:pt>
                <c:pt idx="818">
                  <c:v>44468</c:v>
                </c:pt>
                <c:pt idx="819">
                  <c:v>44467</c:v>
                </c:pt>
                <c:pt idx="820">
                  <c:v>44466</c:v>
                </c:pt>
                <c:pt idx="821">
                  <c:v>44463</c:v>
                </c:pt>
                <c:pt idx="822">
                  <c:v>44462</c:v>
                </c:pt>
                <c:pt idx="823">
                  <c:v>44461</c:v>
                </c:pt>
                <c:pt idx="824">
                  <c:v>44460</c:v>
                </c:pt>
                <c:pt idx="825">
                  <c:v>44459</c:v>
                </c:pt>
                <c:pt idx="826">
                  <c:v>44456</c:v>
                </c:pt>
                <c:pt idx="827">
                  <c:v>44455</c:v>
                </c:pt>
                <c:pt idx="828">
                  <c:v>44454</c:v>
                </c:pt>
                <c:pt idx="829">
                  <c:v>44453</c:v>
                </c:pt>
                <c:pt idx="830">
                  <c:v>44452</c:v>
                </c:pt>
                <c:pt idx="831">
                  <c:v>44449</c:v>
                </c:pt>
                <c:pt idx="832">
                  <c:v>44448</c:v>
                </c:pt>
                <c:pt idx="833">
                  <c:v>44447</c:v>
                </c:pt>
                <c:pt idx="834">
                  <c:v>44446</c:v>
                </c:pt>
                <c:pt idx="835">
                  <c:v>44442</c:v>
                </c:pt>
                <c:pt idx="836">
                  <c:v>44441</c:v>
                </c:pt>
                <c:pt idx="837">
                  <c:v>44440</c:v>
                </c:pt>
                <c:pt idx="838">
                  <c:v>44439</c:v>
                </c:pt>
                <c:pt idx="839">
                  <c:v>44438</c:v>
                </c:pt>
                <c:pt idx="840">
                  <c:v>44435</c:v>
                </c:pt>
                <c:pt idx="841">
                  <c:v>44434</c:v>
                </c:pt>
                <c:pt idx="842">
                  <c:v>44433</c:v>
                </c:pt>
                <c:pt idx="843">
                  <c:v>44432</c:v>
                </c:pt>
                <c:pt idx="844">
                  <c:v>44431</c:v>
                </c:pt>
                <c:pt idx="845">
                  <c:v>44428</c:v>
                </c:pt>
                <c:pt idx="846">
                  <c:v>44427</c:v>
                </c:pt>
                <c:pt idx="847">
                  <c:v>44426</c:v>
                </c:pt>
                <c:pt idx="848">
                  <c:v>44425</c:v>
                </c:pt>
                <c:pt idx="849">
                  <c:v>44424</c:v>
                </c:pt>
                <c:pt idx="850">
                  <c:v>44421</c:v>
                </c:pt>
                <c:pt idx="851">
                  <c:v>44420</c:v>
                </c:pt>
                <c:pt idx="852">
                  <c:v>44419</c:v>
                </c:pt>
                <c:pt idx="853">
                  <c:v>44418</c:v>
                </c:pt>
                <c:pt idx="854">
                  <c:v>44417</c:v>
                </c:pt>
                <c:pt idx="855">
                  <c:v>44414</c:v>
                </c:pt>
                <c:pt idx="856">
                  <c:v>44413</c:v>
                </c:pt>
                <c:pt idx="857">
                  <c:v>44412</c:v>
                </c:pt>
                <c:pt idx="858">
                  <c:v>44411</c:v>
                </c:pt>
                <c:pt idx="859">
                  <c:v>44410</c:v>
                </c:pt>
                <c:pt idx="860">
                  <c:v>44407</c:v>
                </c:pt>
                <c:pt idx="861">
                  <c:v>44406</c:v>
                </c:pt>
                <c:pt idx="862">
                  <c:v>44405</c:v>
                </c:pt>
                <c:pt idx="863">
                  <c:v>44404</c:v>
                </c:pt>
                <c:pt idx="864">
                  <c:v>44403</c:v>
                </c:pt>
                <c:pt idx="865">
                  <c:v>44400</c:v>
                </c:pt>
                <c:pt idx="866">
                  <c:v>44399</c:v>
                </c:pt>
                <c:pt idx="867">
                  <c:v>44398</c:v>
                </c:pt>
                <c:pt idx="868">
                  <c:v>44397</c:v>
                </c:pt>
                <c:pt idx="869">
                  <c:v>44396</c:v>
                </c:pt>
                <c:pt idx="870">
                  <c:v>44393</c:v>
                </c:pt>
                <c:pt idx="871">
                  <c:v>44392</c:v>
                </c:pt>
                <c:pt idx="872">
                  <c:v>44391</c:v>
                </c:pt>
                <c:pt idx="873">
                  <c:v>44390</c:v>
                </c:pt>
                <c:pt idx="874">
                  <c:v>44389</c:v>
                </c:pt>
                <c:pt idx="875">
                  <c:v>44386</c:v>
                </c:pt>
                <c:pt idx="876">
                  <c:v>44385</c:v>
                </c:pt>
                <c:pt idx="877">
                  <c:v>44384</c:v>
                </c:pt>
                <c:pt idx="878">
                  <c:v>44383</c:v>
                </c:pt>
                <c:pt idx="879">
                  <c:v>44379</c:v>
                </c:pt>
                <c:pt idx="880">
                  <c:v>44378</c:v>
                </c:pt>
                <c:pt idx="881">
                  <c:v>44377</c:v>
                </c:pt>
                <c:pt idx="882">
                  <c:v>44376</c:v>
                </c:pt>
                <c:pt idx="883">
                  <c:v>44375</c:v>
                </c:pt>
                <c:pt idx="884">
                  <c:v>44372</c:v>
                </c:pt>
                <c:pt idx="885">
                  <c:v>44371</c:v>
                </c:pt>
                <c:pt idx="886">
                  <c:v>44370</c:v>
                </c:pt>
                <c:pt idx="887">
                  <c:v>44369</c:v>
                </c:pt>
                <c:pt idx="888">
                  <c:v>44368</c:v>
                </c:pt>
                <c:pt idx="889">
                  <c:v>44365</c:v>
                </c:pt>
                <c:pt idx="890">
                  <c:v>44364</c:v>
                </c:pt>
                <c:pt idx="891">
                  <c:v>44363</c:v>
                </c:pt>
                <c:pt idx="892">
                  <c:v>44362</c:v>
                </c:pt>
                <c:pt idx="893">
                  <c:v>44361</c:v>
                </c:pt>
                <c:pt idx="894">
                  <c:v>44358</c:v>
                </c:pt>
                <c:pt idx="895">
                  <c:v>44357</c:v>
                </c:pt>
                <c:pt idx="896">
                  <c:v>44356</c:v>
                </c:pt>
                <c:pt idx="897">
                  <c:v>44355</c:v>
                </c:pt>
                <c:pt idx="898">
                  <c:v>44354</c:v>
                </c:pt>
                <c:pt idx="899">
                  <c:v>44351</c:v>
                </c:pt>
                <c:pt idx="900">
                  <c:v>44350</c:v>
                </c:pt>
                <c:pt idx="901">
                  <c:v>44349</c:v>
                </c:pt>
                <c:pt idx="902">
                  <c:v>44348</c:v>
                </c:pt>
                <c:pt idx="903">
                  <c:v>44344</c:v>
                </c:pt>
                <c:pt idx="904">
                  <c:v>44343</c:v>
                </c:pt>
                <c:pt idx="905">
                  <c:v>44342</c:v>
                </c:pt>
                <c:pt idx="906">
                  <c:v>44341</c:v>
                </c:pt>
                <c:pt idx="907">
                  <c:v>44340</c:v>
                </c:pt>
                <c:pt idx="908">
                  <c:v>44337</c:v>
                </c:pt>
                <c:pt idx="909">
                  <c:v>44336</c:v>
                </c:pt>
                <c:pt idx="910">
                  <c:v>44335</c:v>
                </c:pt>
                <c:pt idx="911">
                  <c:v>44334</c:v>
                </c:pt>
                <c:pt idx="912">
                  <c:v>44333</c:v>
                </c:pt>
                <c:pt idx="913">
                  <c:v>44330</c:v>
                </c:pt>
                <c:pt idx="914">
                  <c:v>44329</c:v>
                </c:pt>
                <c:pt idx="915">
                  <c:v>44328</c:v>
                </c:pt>
                <c:pt idx="916">
                  <c:v>44327</c:v>
                </c:pt>
                <c:pt idx="917">
                  <c:v>44326</c:v>
                </c:pt>
                <c:pt idx="918">
                  <c:v>44323</c:v>
                </c:pt>
                <c:pt idx="919">
                  <c:v>44322</c:v>
                </c:pt>
                <c:pt idx="920">
                  <c:v>44321</c:v>
                </c:pt>
                <c:pt idx="921">
                  <c:v>44320</c:v>
                </c:pt>
                <c:pt idx="922">
                  <c:v>44319</c:v>
                </c:pt>
                <c:pt idx="923">
                  <c:v>44316</c:v>
                </c:pt>
                <c:pt idx="924">
                  <c:v>44315</c:v>
                </c:pt>
                <c:pt idx="925">
                  <c:v>44314</c:v>
                </c:pt>
                <c:pt idx="926">
                  <c:v>44313</c:v>
                </c:pt>
                <c:pt idx="927">
                  <c:v>44312</c:v>
                </c:pt>
                <c:pt idx="928">
                  <c:v>44309</c:v>
                </c:pt>
                <c:pt idx="929">
                  <c:v>44308</c:v>
                </c:pt>
                <c:pt idx="930">
                  <c:v>44307</c:v>
                </c:pt>
                <c:pt idx="931">
                  <c:v>44306</c:v>
                </c:pt>
                <c:pt idx="932">
                  <c:v>44305</c:v>
                </c:pt>
                <c:pt idx="933">
                  <c:v>44302</c:v>
                </c:pt>
                <c:pt idx="934">
                  <c:v>44301</c:v>
                </c:pt>
                <c:pt idx="935">
                  <c:v>44300</c:v>
                </c:pt>
                <c:pt idx="936">
                  <c:v>44299</c:v>
                </c:pt>
                <c:pt idx="937">
                  <c:v>44298</c:v>
                </c:pt>
                <c:pt idx="938">
                  <c:v>44295</c:v>
                </c:pt>
                <c:pt idx="939">
                  <c:v>44294</c:v>
                </c:pt>
                <c:pt idx="940">
                  <c:v>44293</c:v>
                </c:pt>
                <c:pt idx="941">
                  <c:v>44292</c:v>
                </c:pt>
                <c:pt idx="942">
                  <c:v>44291</c:v>
                </c:pt>
                <c:pt idx="943">
                  <c:v>44287</c:v>
                </c:pt>
                <c:pt idx="944">
                  <c:v>44286</c:v>
                </c:pt>
                <c:pt idx="945">
                  <c:v>44285</c:v>
                </c:pt>
                <c:pt idx="946">
                  <c:v>44284</c:v>
                </c:pt>
                <c:pt idx="947">
                  <c:v>44281</c:v>
                </c:pt>
                <c:pt idx="948">
                  <c:v>44280</c:v>
                </c:pt>
                <c:pt idx="949">
                  <c:v>44279</c:v>
                </c:pt>
                <c:pt idx="950">
                  <c:v>44278</c:v>
                </c:pt>
                <c:pt idx="951">
                  <c:v>44277</c:v>
                </c:pt>
                <c:pt idx="952">
                  <c:v>44274</c:v>
                </c:pt>
                <c:pt idx="953">
                  <c:v>44273</c:v>
                </c:pt>
                <c:pt idx="954">
                  <c:v>44272</c:v>
                </c:pt>
                <c:pt idx="955">
                  <c:v>44271</c:v>
                </c:pt>
                <c:pt idx="956">
                  <c:v>44270</c:v>
                </c:pt>
                <c:pt idx="957">
                  <c:v>44267</c:v>
                </c:pt>
                <c:pt idx="958">
                  <c:v>44266</c:v>
                </c:pt>
                <c:pt idx="959">
                  <c:v>44265</c:v>
                </c:pt>
                <c:pt idx="960">
                  <c:v>44264</c:v>
                </c:pt>
                <c:pt idx="961">
                  <c:v>44263</c:v>
                </c:pt>
                <c:pt idx="962">
                  <c:v>44260</c:v>
                </c:pt>
                <c:pt idx="963">
                  <c:v>44259</c:v>
                </c:pt>
                <c:pt idx="964">
                  <c:v>44258</c:v>
                </c:pt>
                <c:pt idx="965">
                  <c:v>44257</c:v>
                </c:pt>
                <c:pt idx="966">
                  <c:v>44256</c:v>
                </c:pt>
                <c:pt idx="967">
                  <c:v>44253</c:v>
                </c:pt>
                <c:pt idx="968">
                  <c:v>44252</c:v>
                </c:pt>
                <c:pt idx="969">
                  <c:v>44251</c:v>
                </c:pt>
                <c:pt idx="970">
                  <c:v>44250</c:v>
                </c:pt>
                <c:pt idx="971">
                  <c:v>44249</c:v>
                </c:pt>
                <c:pt idx="972">
                  <c:v>44246</c:v>
                </c:pt>
                <c:pt idx="973">
                  <c:v>44245</c:v>
                </c:pt>
                <c:pt idx="974">
                  <c:v>44244</c:v>
                </c:pt>
                <c:pt idx="975">
                  <c:v>44243</c:v>
                </c:pt>
                <c:pt idx="976">
                  <c:v>44239</c:v>
                </c:pt>
                <c:pt idx="977">
                  <c:v>44238</c:v>
                </c:pt>
                <c:pt idx="978">
                  <c:v>44237</c:v>
                </c:pt>
                <c:pt idx="979">
                  <c:v>44236</c:v>
                </c:pt>
                <c:pt idx="980">
                  <c:v>44235</c:v>
                </c:pt>
                <c:pt idx="981">
                  <c:v>44232</c:v>
                </c:pt>
                <c:pt idx="982">
                  <c:v>44231</c:v>
                </c:pt>
                <c:pt idx="983">
                  <c:v>44230</c:v>
                </c:pt>
                <c:pt idx="984">
                  <c:v>44229</c:v>
                </c:pt>
                <c:pt idx="985">
                  <c:v>44228</c:v>
                </c:pt>
                <c:pt idx="986">
                  <c:v>44225</c:v>
                </c:pt>
                <c:pt idx="987">
                  <c:v>44224</c:v>
                </c:pt>
                <c:pt idx="988">
                  <c:v>44223</c:v>
                </c:pt>
                <c:pt idx="989">
                  <c:v>44222</c:v>
                </c:pt>
                <c:pt idx="990">
                  <c:v>44221</c:v>
                </c:pt>
                <c:pt idx="991">
                  <c:v>44218</c:v>
                </c:pt>
                <c:pt idx="992">
                  <c:v>44217</c:v>
                </c:pt>
                <c:pt idx="993">
                  <c:v>44216</c:v>
                </c:pt>
                <c:pt idx="994">
                  <c:v>44215</c:v>
                </c:pt>
                <c:pt idx="995">
                  <c:v>44211</c:v>
                </c:pt>
                <c:pt idx="996">
                  <c:v>44210</c:v>
                </c:pt>
                <c:pt idx="997">
                  <c:v>44209</c:v>
                </c:pt>
                <c:pt idx="998">
                  <c:v>44208</c:v>
                </c:pt>
                <c:pt idx="999">
                  <c:v>44207</c:v>
                </c:pt>
                <c:pt idx="1000">
                  <c:v>44204</c:v>
                </c:pt>
                <c:pt idx="1001">
                  <c:v>44203</c:v>
                </c:pt>
                <c:pt idx="1002">
                  <c:v>44202</c:v>
                </c:pt>
                <c:pt idx="1003">
                  <c:v>44201</c:v>
                </c:pt>
                <c:pt idx="1004">
                  <c:v>44200</c:v>
                </c:pt>
              </c:numCache>
            </c:numRef>
          </c:cat>
          <c:val>
            <c:numRef>
              <c:f>Data!$C$41:$C$1045</c:f>
              <c:numCache>
                <c:formatCode>"$"#,##0.00_);[Red]\("$"#,##0.00\)</c:formatCode>
                <c:ptCount val="1005"/>
                <c:pt idx="0">
                  <c:v>455.73</c:v>
                </c:pt>
                <c:pt idx="1">
                  <c:v>459.4</c:v>
                </c:pt>
                <c:pt idx="2">
                  <c:v>475.31</c:v>
                </c:pt>
                <c:pt idx="3">
                  <c:v>476.17</c:v>
                </c:pt>
                <c:pt idx="4">
                  <c:v>476.03</c:v>
                </c:pt>
                <c:pt idx="5">
                  <c:v>464.85</c:v>
                </c:pt>
                <c:pt idx="6">
                  <c:v>473.4</c:v>
                </c:pt>
                <c:pt idx="7">
                  <c:v>494.93</c:v>
                </c:pt>
                <c:pt idx="8">
                  <c:v>510.69</c:v>
                </c:pt>
                <c:pt idx="9">
                  <c:v>532.83000000000004</c:v>
                </c:pt>
                <c:pt idx="10">
                  <c:v>536.30999999999995</c:v>
                </c:pt>
                <c:pt idx="11">
                  <c:v>528.65</c:v>
                </c:pt>
                <c:pt idx="12">
                  <c:v>524.08000000000004</c:v>
                </c:pt>
                <c:pt idx="13">
                  <c:v>521.47</c:v>
                </c:pt>
                <c:pt idx="14">
                  <c:v>522.97</c:v>
                </c:pt>
                <c:pt idx="15">
                  <c:v>516.17999999999995</c:v>
                </c:pt>
                <c:pt idx="16">
                  <c:v>515.92999999999995</c:v>
                </c:pt>
                <c:pt idx="17">
                  <c:v>516.83000000000004</c:v>
                </c:pt>
                <c:pt idx="18">
                  <c:v>542.36</c:v>
                </c:pt>
                <c:pt idx="19">
                  <c:v>547.97</c:v>
                </c:pt>
                <c:pt idx="20">
                  <c:v>557.74</c:v>
                </c:pt>
                <c:pt idx="21">
                  <c:v>569.08000000000004</c:v>
                </c:pt>
                <c:pt idx="22">
                  <c:v>564.38</c:v>
                </c:pt>
                <c:pt idx="23">
                  <c:v>565.96</c:v>
                </c:pt>
                <c:pt idx="24">
                  <c:v>557.27</c:v>
                </c:pt>
                <c:pt idx="25">
                  <c:v>541.69000000000005</c:v>
                </c:pt>
                <c:pt idx="26">
                  <c:v>549.19000000000005</c:v>
                </c:pt>
                <c:pt idx="27">
                  <c:v>530</c:v>
                </c:pt>
                <c:pt idx="28">
                  <c:v>515.88</c:v>
                </c:pt>
                <c:pt idx="29">
                  <c:v>518.16999999999996</c:v>
                </c:pt>
                <c:pt idx="30">
                  <c:v>522.37</c:v>
                </c:pt>
                <c:pt idx="31">
                  <c:v>542.32000000000005</c:v>
                </c:pt>
                <c:pt idx="32">
                  <c:v>537.20000000000005</c:v>
                </c:pt>
                <c:pt idx="33">
                  <c:v>545.73</c:v>
                </c:pt>
                <c:pt idx="34">
                  <c:v>558.1</c:v>
                </c:pt>
                <c:pt idx="35">
                  <c:v>544.89</c:v>
                </c:pt>
                <c:pt idx="36">
                  <c:v>545.09</c:v>
                </c:pt>
                <c:pt idx="37">
                  <c:v>568.02</c:v>
                </c:pt>
                <c:pt idx="38">
                  <c:v>500.83</c:v>
                </c:pt>
                <c:pt idx="39">
                  <c:v>486.14</c:v>
                </c:pt>
                <c:pt idx="40">
                  <c:v>480.69</c:v>
                </c:pt>
                <c:pt idx="41">
                  <c:v>488.61</c:v>
                </c:pt>
                <c:pt idx="42">
                  <c:v>491.33</c:v>
                </c:pt>
                <c:pt idx="43">
                  <c:v>476.99</c:v>
                </c:pt>
                <c:pt idx="44">
                  <c:v>479.38</c:v>
                </c:pt>
                <c:pt idx="45">
                  <c:v>461.65</c:v>
                </c:pt>
                <c:pt idx="46">
                  <c:v>414.43</c:v>
                </c:pt>
                <c:pt idx="47">
                  <c:v>412.89</c:v>
                </c:pt>
                <c:pt idx="48">
                  <c:v>429.89</c:v>
                </c:pt>
                <c:pt idx="49">
                  <c:v>422.58</c:v>
                </c:pt>
                <c:pt idx="50">
                  <c:v>436.69</c:v>
                </c:pt>
                <c:pt idx="51">
                  <c:v>446.68</c:v>
                </c:pt>
                <c:pt idx="52">
                  <c:v>459.66</c:v>
                </c:pt>
                <c:pt idx="53">
                  <c:v>452.66</c:v>
                </c:pt>
                <c:pt idx="54">
                  <c:v>461.97</c:v>
                </c:pt>
                <c:pt idx="55">
                  <c:v>463.37</c:v>
                </c:pt>
                <c:pt idx="56">
                  <c:v>440.85</c:v>
                </c:pt>
                <c:pt idx="57">
                  <c:v>447.83</c:v>
                </c:pt>
                <c:pt idx="58">
                  <c:v>436.81</c:v>
                </c:pt>
                <c:pt idx="59">
                  <c:v>424.84</c:v>
                </c:pt>
                <c:pt idx="60">
                  <c:v>428.14</c:v>
                </c:pt>
                <c:pt idx="61">
                  <c:v>426.36</c:v>
                </c:pt>
                <c:pt idx="62">
                  <c:v>430.14</c:v>
                </c:pt>
                <c:pt idx="63">
                  <c:v>433.68</c:v>
                </c:pt>
                <c:pt idx="64">
                  <c:v>437.26</c:v>
                </c:pt>
                <c:pt idx="65">
                  <c:v>434.62</c:v>
                </c:pt>
                <c:pt idx="66">
                  <c:v>431.28</c:v>
                </c:pt>
                <c:pt idx="67">
                  <c:v>450.27</c:v>
                </c:pt>
                <c:pt idx="68">
                  <c:v>455.73</c:v>
                </c:pt>
                <c:pt idx="69">
                  <c:v>441.54</c:v>
                </c:pt>
                <c:pt idx="70">
                  <c:v>436.78</c:v>
                </c:pt>
                <c:pt idx="71">
                  <c:v>453.83</c:v>
                </c:pt>
                <c:pt idx="72">
                  <c:v>444.29</c:v>
                </c:pt>
                <c:pt idx="73">
                  <c:v>438.37</c:v>
                </c:pt>
                <c:pt idx="74">
                  <c:v>434.81</c:v>
                </c:pt>
                <c:pt idx="75">
                  <c:v>432.49</c:v>
                </c:pt>
                <c:pt idx="76">
                  <c:v>420.18</c:v>
                </c:pt>
                <c:pt idx="77">
                  <c:v>421.14</c:v>
                </c:pt>
                <c:pt idx="78">
                  <c:v>415.64</c:v>
                </c:pt>
                <c:pt idx="79">
                  <c:v>410.82</c:v>
                </c:pt>
                <c:pt idx="80">
                  <c:v>402.39</c:v>
                </c:pt>
                <c:pt idx="81">
                  <c:v>398.37</c:v>
                </c:pt>
                <c:pt idx="82">
                  <c:v>417.31</c:v>
                </c:pt>
                <c:pt idx="83">
                  <c:v>380.58</c:v>
                </c:pt>
                <c:pt idx="84">
                  <c:v>375.83</c:v>
                </c:pt>
                <c:pt idx="85">
                  <c:v>374.27</c:v>
                </c:pt>
                <c:pt idx="86">
                  <c:v>371.34</c:v>
                </c:pt>
                <c:pt idx="87">
                  <c:v>374.7</c:v>
                </c:pt>
                <c:pt idx="88">
                  <c:v>392.49</c:v>
                </c:pt>
                <c:pt idx="89">
                  <c:v>402.33</c:v>
                </c:pt>
                <c:pt idx="90">
                  <c:v>394.27</c:v>
                </c:pt>
                <c:pt idx="91">
                  <c:v>397.52</c:v>
                </c:pt>
                <c:pt idx="92">
                  <c:v>384.19</c:v>
                </c:pt>
                <c:pt idx="93">
                  <c:v>389.75</c:v>
                </c:pt>
                <c:pt idx="94">
                  <c:v>392.49</c:v>
                </c:pt>
                <c:pt idx="95">
                  <c:v>386.625</c:v>
                </c:pt>
                <c:pt idx="96">
                  <c:v>375.3</c:v>
                </c:pt>
                <c:pt idx="97">
                  <c:v>374.8</c:v>
                </c:pt>
                <c:pt idx="98">
                  <c:v>367.6</c:v>
                </c:pt>
                <c:pt idx="99">
                  <c:v>371.11</c:v>
                </c:pt>
                <c:pt idx="100">
                  <c:v>384.71</c:v>
                </c:pt>
                <c:pt idx="101">
                  <c:v>381.15</c:v>
                </c:pt>
                <c:pt idx="102">
                  <c:v>389.99</c:v>
                </c:pt>
                <c:pt idx="103">
                  <c:v>377.94</c:v>
                </c:pt>
                <c:pt idx="104">
                  <c:v>383.24</c:v>
                </c:pt>
                <c:pt idx="105">
                  <c:v>395.01</c:v>
                </c:pt>
                <c:pt idx="106">
                  <c:v>417.85</c:v>
                </c:pt>
                <c:pt idx="107">
                  <c:v>408.61</c:v>
                </c:pt>
                <c:pt idx="108">
                  <c:v>386.21</c:v>
                </c:pt>
                <c:pt idx="109">
                  <c:v>396.43</c:v>
                </c:pt>
                <c:pt idx="110">
                  <c:v>489.11</c:v>
                </c:pt>
                <c:pt idx="111">
                  <c:v>482.56</c:v>
                </c:pt>
                <c:pt idx="112">
                  <c:v>482.29</c:v>
                </c:pt>
                <c:pt idx="113">
                  <c:v>490.51</c:v>
                </c:pt>
                <c:pt idx="114">
                  <c:v>485.21</c:v>
                </c:pt>
                <c:pt idx="115">
                  <c:v>482.42</c:v>
                </c:pt>
                <c:pt idx="116">
                  <c:v>483.74</c:v>
                </c:pt>
                <c:pt idx="117">
                  <c:v>509.42</c:v>
                </c:pt>
                <c:pt idx="118">
                  <c:v>480.64</c:v>
                </c:pt>
                <c:pt idx="119">
                  <c:v>455.02</c:v>
                </c:pt>
                <c:pt idx="120">
                  <c:v>450.68</c:v>
                </c:pt>
                <c:pt idx="121">
                  <c:v>440.47</c:v>
                </c:pt>
                <c:pt idx="122">
                  <c:v>438.51</c:v>
                </c:pt>
                <c:pt idx="123">
                  <c:v>459.6</c:v>
                </c:pt>
                <c:pt idx="124">
                  <c:v>464.23</c:v>
                </c:pt>
                <c:pt idx="125">
                  <c:v>470.22</c:v>
                </c:pt>
                <c:pt idx="126">
                  <c:v>466.37</c:v>
                </c:pt>
                <c:pt idx="127">
                  <c:v>471.47</c:v>
                </c:pt>
                <c:pt idx="128">
                  <c:v>474.29</c:v>
                </c:pt>
                <c:pt idx="129">
                  <c:v>458.7</c:v>
                </c:pt>
                <c:pt idx="130">
                  <c:v>464.65</c:v>
                </c:pt>
                <c:pt idx="131">
                  <c:v>466.94</c:v>
                </c:pt>
                <c:pt idx="132">
                  <c:v>467.05</c:v>
                </c:pt>
                <c:pt idx="133">
                  <c:v>460.61</c:v>
                </c:pt>
                <c:pt idx="134">
                  <c:v>460.24</c:v>
                </c:pt>
                <c:pt idx="135">
                  <c:v>454</c:v>
                </c:pt>
                <c:pt idx="136">
                  <c:v>447.34</c:v>
                </c:pt>
                <c:pt idx="137">
                  <c:v>452.74</c:v>
                </c:pt>
                <c:pt idx="138">
                  <c:v>455.9</c:v>
                </c:pt>
                <c:pt idx="139">
                  <c:v>462.01</c:v>
                </c:pt>
                <c:pt idx="140">
                  <c:v>454.11</c:v>
                </c:pt>
                <c:pt idx="141">
                  <c:v>449.01</c:v>
                </c:pt>
                <c:pt idx="142">
                  <c:v>445.7</c:v>
                </c:pt>
                <c:pt idx="143">
                  <c:v>452.61</c:v>
                </c:pt>
                <c:pt idx="144">
                  <c:v>445.4</c:v>
                </c:pt>
                <c:pt idx="145">
                  <c:v>429.33</c:v>
                </c:pt>
                <c:pt idx="146">
                  <c:v>402.5</c:v>
                </c:pt>
                <c:pt idx="147">
                  <c:v>409.48</c:v>
                </c:pt>
                <c:pt idx="148">
                  <c:v>403.74</c:v>
                </c:pt>
                <c:pt idx="149">
                  <c:v>396.95</c:v>
                </c:pt>
                <c:pt idx="150">
                  <c:v>396.29</c:v>
                </c:pt>
                <c:pt idx="151">
                  <c:v>400</c:v>
                </c:pt>
                <c:pt idx="152">
                  <c:v>380.25</c:v>
                </c:pt>
                <c:pt idx="153">
                  <c:v>377.26</c:v>
                </c:pt>
                <c:pt idx="154">
                  <c:v>379.52</c:v>
                </c:pt>
                <c:pt idx="155">
                  <c:v>398.28</c:v>
                </c:pt>
                <c:pt idx="156">
                  <c:v>399.14</c:v>
                </c:pt>
                <c:pt idx="157">
                  <c:v>407.81</c:v>
                </c:pt>
                <c:pt idx="158">
                  <c:v>409.88</c:v>
                </c:pt>
                <c:pt idx="159">
                  <c:v>405.21</c:v>
                </c:pt>
                <c:pt idx="160">
                  <c:v>403.02</c:v>
                </c:pt>
                <c:pt idx="161">
                  <c:v>410.65</c:v>
                </c:pt>
                <c:pt idx="162">
                  <c:v>410.5</c:v>
                </c:pt>
                <c:pt idx="163">
                  <c:v>413.31</c:v>
                </c:pt>
                <c:pt idx="164">
                  <c:v>406.46</c:v>
                </c:pt>
                <c:pt idx="165">
                  <c:v>393.26</c:v>
                </c:pt>
                <c:pt idx="166">
                  <c:v>400.08</c:v>
                </c:pt>
                <c:pt idx="167">
                  <c:v>405.95</c:v>
                </c:pt>
                <c:pt idx="168">
                  <c:v>396</c:v>
                </c:pt>
                <c:pt idx="169">
                  <c:v>396.83</c:v>
                </c:pt>
                <c:pt idx="170">
                  <c:v>416.1</c:v>
                </c:pt>
                <c:pt idx="171">
                  <c:v>428.81</c:v>
                </c:pt>
                <c:pt idx="172">
                  <c:v>543.02</c:v>
                </c:pt>
                <c:pt idx="173">
                  <c:v>527.83000000000004</c:v>
                </c:pt>
                <c:pt idx="174">
                  <c:v>546.28</c:v>
                </c:pt>
                <c:pt idx="175">
                  <c:v>522.62</c:v>
                </c:pt>
                <c:pt idx="176">
                  <c:v>517.51</c:v>
                </c:pt>
                <c:pt idx="177">
                  <c:v>522.53</c:v>
                </c:pt>
                <c:pt idx="178">
                  <c:v>541.29</c:v>
                </c:pt>
                <c:pt idx="179">
                  <c:v>556.27</c:v>
                </c:pt>
                <c:pt idx="180">
                  <c:v>576.97</c:v>
                </c:pt>
                <c:pt idx="181">
                  <c:v>577.72</c:v>
                </c:pt>
                <c:pt idx="182">
                  <c:v>587.91</c:v>
                </c:pt>
                <c:pt idx="183">
                  <c:v>581</c:v>
                </c:pt>
                <c:pt idx="184">
                  <c:v>591.72</c:v>
                </c:pt>
                <c:pt idx="185">
                  <c:v>598</c:v>
                </c:pt>
                <c:pt idx="186">
                  <c:v>593</c:v>
                </c:pt>
                <c:pt idx="187">
                  <c:v>571.66</c:v>
                </c:pt>
                <c:pt idx="188">
                  <c:v>578.37</c:v>
                </c:pt>
                <c:pt idx="189">
                  <c:v>576.86</c:v>
                </c:pt>
                <c:pt idx="190">
                  <c:v>585.77</c:v>
                </c:pt>
                <c:pt idx="191">
                  <c:v>585</c:v>
                </c:pt>
                <c:pt idx="192">
                  <c:v>580.46</c:v>
                </c:pt>
                <c:pt idx="193">
                  <c:v>587.48</c:v>
                </c:pt>
                <c:pt idx="194">
                  <c:v>586.45000000000005</c:v>
                </c:pt>
                <c:pt idx="195">
                  <c:v>585.92999999999995</c:v>
                </c:pt>
                <c:pt idx="196">
                  <c:v>585.52</c:v>
                </c:pt>
                <c:pt idx="197">
                  <c:v>568</c:v>
                </c:pt>
                <c:pt idx="198">
                  <c:v>560</c:v>
                </c:pt>
                <c:pt idx="199">
                  <c:v>560.75</c:v>
                </c:pt>
                <c:pt idx="200">
                  <c:v>578.08000000000004</c:v>
                </c:pt>
                <c:pt idx="201">
                  <c:v>588.70000000000005</c:v>
                </c:pt>
                <c:pt idx="202">
                  <c:v>592.80999999999995</c:v>
                </c:pt>
                <c:pt idx="203">
                  <c:v>596.11</c:v>
                </c:pt>
                <c:pt idx="204">
                  <c:v>579.19000000000005</c:v>
                </c:pt>
                <c:pt idx="205">
                  <c:v>583.66999999999996</c:v>
                </c:pt>
                <c:pt idx="206">
                  <c:v>601.36</c:v>
                </c:pt>
                <c:pt idx="207">
                  <c:v>605.91999999999996</c:v>
                </c:pt>
                <c:pt idx="208">
                  <c:v>604.77</c:v>
                </c:pt>
                <c:pt idx="209">
                  <c:v>584.01</c:v>
                </c:pt>
                <c:pt idx="210">
                  <c:v>579.55999999999995</c:v>
                </c:pt>
                <c:pt idx="211">
                  <c:v>575.4</c:v>
                </c:pt>
                <c:pt idx="212">
                  <c:v>562.59</c:v>
                </c:pt>
                <c:pt idx="213">
                  <c:v>570.4</c:v>
                </c:pt>
                <c:pt idx="214">
                  <c:v>574.36</c:v>
                </c:pt>
                <c:pt idx="215">
                  <c:v>563.59</c:v>
                </c:pt>
                <c:pt idx="216">
                  <c:v>559.14</c:v>
                </c:pt>
                <c:pt idx="217">
                  <c:v>547.33000000000004</c:v>
                </c:pt>
                <c:pt idx="218">
                  <c:v>529.41</c:v>
                </c:pt>
                <c:pt idx="219">
                  <c:v>540.73</c:v>
                </c:pt>
                <c:pt idx="220">
                  <c:v>552.53</c:v>
                </c:pt>
                <c:pt idx="221">
                  <c:v>562.47</c:v>
                </c:pt>
                <c:pt idx="222">
                  <c:v>555</c:v>
                </c:pt>
                <c:pt idx="223">
                  <c:v>560.4</c:v>
                </c:pt>
                <c:pt idx="224">
                  <c:v>565.26499999999999</c:v>
                </c:pt>
                <c:pt idx="225">
                  <c:v>553.1</c:v>
                </c:pt>
                <c:pt idx="226">
                  <c:v>536.02</c:v>
                </c:pt>
                <c:pt idx="227">
                  <c:v>530.76</c:v>
                </c:pt>
                <c:pt idx="228">
                  <c:v>531.75</c:v>
                </c:pt>
                <c:pt idx="229">
                  <c:v>534.51</c:v>
                </c:pt>
                <c:pt idx="230">
                  <c:v>467.45</c:v>
                </c:pt>
                <c:pt idx="231">
                  <c:v>450.58</c:v>
                </c:pt>
                <c:pt idx="232">
                  <c:v>453.03</c:v>
                </c:pt>
                <c:pt idx="233">
                  <c:v>459.18</c:v>
                </c:pt>
                <c:pt idx="234">
                  <c:v>450.15</c:v>
                </c:pt>
                <c:pt idx="235">
                  <c:v>452.52</c:v>
                </c:pt>
                <c:pt idx="236">
                  <c:v>452.37</c:v>
                </c:pt>
                <c:pt idx="237">
                  <c:v>460.76499999999999</c:v>
                </c:pt>
                <c:pt idx="238">
                  <c:v>468.91</c:v>
                </c:pt>
                <c:pt idx="239">
                  <c:v>450.82</c:v>
                </c:pt>
                <c:pt idx="240">
                  <c:v>441.53</c:v>
                </c:pt>
                <c:pt idx="241">
                  <c:v>431.74</c:v>
                </c:pt>
                <c:pt idx="242">
                  <c:v>437.99</c:v>
                </c:pt>
                <c:pt idx="243">
                  <c:v>439.86</c:v>
                </c:pt>
                <c:pt idx="244">
                  <c:v>433.65</c:v>
                </c:pt>
                <c:pt idx="245">
                  <c:v>435.98</c:v>
                </c:pt>
                <c:pt idx="246">
                  <c:v>430.07</c:v>
                </c:pt>
                <c:pt idx="247">
                  <c:v>430.82</c:v>
                </c:pt>
                <c:pt idx="248">
                  <c:v>419.14</c:v>
                </c:pt>
                <c:pt idx="249">
                  <c:v>421.22</c:v>
                </c:pt>
                <c:pt idx="250">
                  <c:v>418.79</c:v>
                </c:pt>
                <c:pt idx="251">
                  <c:v>427.5</c:v>
                </c:pt>
                <c:pt idx="252">
                  <c:v>438.22</c:v>
                </c:pt>
                <c:pt idx="253">
                  <c:v>448.43</c:v>
                </c:pt>
                <c:pt idx="254">
                  <c:v>451.64</c:v>
                </c:pt>
                <c:pt idx="255">
                  <c:v>457.86</c:v>
                </c:pt>
                <c:pt idx="256">
                  <c:v>451.85</c:v>
                </c:pt>
                <c:pt idx="257">
                  <c:v>450.67</c:v>
                </c:pt>
                <c:pt idx="258">
                  <c:v>436.54</c:v>
                </c:pt>
                <c:pt idx="259">
                  <c:v>428.04</c:v>
                </c:pt>
                <c:pt idx="260">
                  <c:v>417.58</c:v>
                </c:pt>
                <c:pt idx="261">
                  <c:v>414.85</c:v>
                </c:pt>
                <c:pt idx="262">
                  <c:v>406.51</c:v>
                </c:pt>
                <c:pt idx="263">
                  <c:v>398.78</c:v>
                </c:pt>
                <c:pt idx="264">
                  <c:v>403.85</c:v>
                </c:pt>
                <c:pt idx="265">
                  <c:v>397.45</c:v>
                </c:pt>
                <c:pt idx="266">
                  <c:v>391.5</c:v>
                </c:pt>
                <c:pt idx="267">
                  <c:v>390.37</c:v>
                </c:pt>
                <c:pt idx="268">
                  <c:v>390.06</c:v>
                </c:pt>
                <c:pt idx="269">
                  <c:v>418.88</c:v>
                </c:pt>
                <c:pt idx="270">
                  <c:v>425.32</c:v>
                </c:pt>
                <c:pt idx="271">
                  <c:v>416.67</c:v>
                </c:pt>
                <c:pt idx="272">
                  <c:v>390.39</c:v>
                </c:pt>
                <c:pt idx="273">
                  <c:v>383.93</c:v>
                </c:pt>
                <c:pt idx="274">
                  <c:v>403.94</c:v>
                </c:pt>
                <c:pt idx="275">
                  <c:v>418.46</c:v>
                </c:pt>
                <c:pt idx="276">
                  <c:v>424.11</c:v>
                </c:pt>
                <c:pt idx="277">
                  <c:v>423.22</c:v>
                </c:pt>
                <c:pt idx="278">
                  <c:v>422.57</c:v>
                </c:pt>
                <c:pt idx="279">
                  <c:v>419.57</c:v>
                </c:pt>
                <c:pt idx="280">
                  <c:v>416.37</c:v>
                </c:pt>
                <c:pt idx="281">
                  <c:v>411.7</c:v>
                </c:pt>
                <c:pt idx="282">
                  <c:v>417.63</c:v>
                </c:pt>
                <c:pt idx="283">
                  <c:v>412.28</c:v>
                </c:pt>
                <c:pt idx="284">
                  <c:v>401.14</c:v>
                </c:pt>
                <c:pt idx="285">
                  <c:v>395.92</c:v>
                </c:pt>
                <c:pt idx="286">
                  <c:v>383.08</c:v>
                </c:pt>
                <c:pt idx="287">
                  <c:v>388.99</c:v>
                </c:pt>
                <c:pt idx="288">
                  <c:v>387.81</c:v>
                </c:pt>
                <c:pt idx="289">
                  <c:v>383.06</c:v>
                </c:pt>
                <c:pt idx="290">
                  <c:v>388.03</c:v>
                </c:pt>
                <c:pt idx="291">
                  <c:v>377.62</c:v>
                </c:pt>
                <c:pt idx="292">
                  <c:v>379.93</c:v>
                </c:pt>
                <c:pt idx="293">
                  <c:v>358.49</c:v>
                </c:pt>
                <c:pt idx="294">
                  <c:v>357.25</c:v>
                </c:pt>
                <c:pt idx="295">
                  <c:v>344.26</c:v>
                </c:pt>
                <c:pt idx="296">
                  <c:v>377.09</c:v>
                </c:pt>
                <c:pt idx="297">
                  <c:v>370.43</c:v>
                </c:pt>
                <c:pt idx="298">
                  <c:v>381.31</c:v>
                </c:pt>
                <c:pt idx="299">
                  <c:v>378.56</c:v>
                </c:pt>
                <c:pt idx="300">
                  <c:v>383.09</c:v>
                </c:pt>
                <c:pt idx="301">
                  <c:v>380.94</c:v>
                </c:pt>
                <c:pt idx="302">
                  <c:v>394.19</c:v>
                </c:pt>
                <c:pt idx="303">
                  <c:v>406.64</c:v>
                </c:pt>
                <c:pt idx="304">
                  <c:v>399.2</c:v>
                </c:pt>
                <c:pt idx="305">
                  <c:v>391.07</c:v>
                </c:pt>
                <c:pt idx="306">
                  <c:v>415</c:v>
                </c:pt>
                <c:pt idx="307">
                  <c:v>418.55</c:v>
                </c:pt>
                <c:pt idx="308">
                  <c:v>416.33</c:v>
                </c:pt>
                <c:pt idx="309">
                  <c:v>409.84500000000003</c:v>
                </c:pt>
                <c:pt idx="310">
                  <c:v>403.99</c:v>
                </c:pt>
                <c:pt idx="311">
                  <c:v>397.92</c:v>
                </c:pt>
                <c:pt idx="312">
                  <c:v>404.73</c:v>
                </c:pt>
                <c:pt idx="313">
                  <c:v>402.91</c:v>
                </c:pt>
                <c:pt idx="314">
                  <c:v>399.77</c:v>
                </c:pt>
                <c:pt idx="315">
                  <c:v>398.65</c:v>
                </c:pt>
                <c:pt idx="316">
                  <c:v>402.23</c:v>
                </c:pt>
                <c:pt idx="317">
                  <c:v>391.64</c:v>
                </c:pt>
                <c:pt idx="318">
                  <c:v>386.76</c:v>
                </c:pt>
                <c:pt idx="319">
                  <c:v>396.42</c:v>
                </c:pt>
                <c:pt idx="320">
                  <c:v>386.61</c:v>
                </c:pt>
                <c:pt idx="321">
                  <c:v>390.08</c:v>
                </c:pt>
                <c:pt idx="322">
                  <c:v>391.2</c:v>
                </c:pt>
                <c:pt idx="323">
                  <c:v>393.84</c:v>
                </c:pt>
                <c:pt idx="324">
                  <c:v>399.81</c:v>
                </c:pt>
                <c:pt idx="325">
                  <c:v>406.81</c:v>
                </c:pt>
                <c:pt idx="326">
                  <c:v>413.39</c:v>
                </c:pt>
                <c:pt idx="327">
                  <c:v>417.97</c:v>
                </c:pt>
                <c:pt idx="328">
                  <c:v>424.49</c:v>
                </c:pt>
                <c:pt idx="329">
                  <c:v>428.52</c:v>
                </c:pt>
                <c:pt idx="330">
                  <c:v>427.62</c:v>
                </c:pt>
                <c:pt idx="331">
                  <c:v>438.04</c:v>
                </c:pt>
                <c:pt idx="332">
                  <c:v>435.39</c:v>
                </c:pt>
                <c:pt idx="333">
                  <c:v>425.05</c:v>
                </c:pt>
                <c:pt idx="334">
                  <c:v>438.58</c:v>
                </c:pt>
                <c:pt idx="335">
                  <c:v>426.2</c:v>
                </c:pt>
                <c:pt idx="336">
                  <c:v>423.42</c:v>
                </c:pt>
                <c:pt idx="337">
                  <c:v>419.66</c:v>
                </c:pt>
                <c:pt idx="338">
                  <c:v>412.88</c:v>
                </c:pt>
                <c:pt idx="339">
                  <c:v>407</c:v>
                </c:pt>
                <c:pt idx="340">
                  <c:v>412.95</c:v>
                </c:pt>
                <c:pt idx="341">
                  <c:v>419.87</c:v>
                </c:pt>
                <c:pt idx="342">
                  <c:v>409.41</c:v>
                </c:pt>
                <c:pt idx="343">
                  <c:v>407.84</c:v>
                </c:pt>
                <c:pt idx="344">
                  <c:v>405.19</c:v>
                </c:pt>
                <c:pt idx="345">
                  <c:v>403.72</c:v>
                </c:pt>
                <c:pt idx="346">
                  <c:v>421.62</c:v>
                </c:pt>
                <c:pt idx="347">
                  <c:v>420.49</c:v>
                </c:pt>
                <c:pt idx="348">
                  <c:v>426.07</c:v>
                </c:pt>
                <c:pt idx="349">
                  <c:v>424.46</c:v>
                </c:pt>
                <c:pt idx="350">
                  <c:v>423.08</c:v>
                </c:pt>
                <c:pt idx="351">
                  <c:v>416.8</c:v>
                </c:pt>
                <c:pt idx="352">
                  <c:v>425.33</c:v>
                </c:pt>
                <c:pt idx="353">
                  <c:v>429.06</c:v>
                </c:pt>
                <c:pt idx="354">
                  <c:v>424.27</c:v>
                </c:pt>
                <c:pt idx="355">
                  <c:v>425.7</c:v>
                </c:pt>
                <c:pt idx="356">
                  <c:v>425.13</c:v>
                </c:pt>
                <c:pt idx="357">
                  <c:v>425.5</c:v>
                </c:pt>
                <c:pt idx="358">
                  <c:v>423.14</c:v>
                </c:pt>
                <c:pt idx="359">
                  <c:v>425.89</c:v>
                </c:pt>
                <c:pt idx="360">
                  <c:v>410.81</c:v>
                </c:pt>
                <c:pt idx="361">
                  <c:v>418.19</c:v>
                </c:pt>
                <c:pt idx="362">
                  <c:v>396.62</c:v>
                </c:pt>
                <c:pt idx="363">
                  <c:v>396.58</c:v>
                </c:pt>
                <c:pt idx="364">
                  <c:v>402.72</c:v>
                </c:pt>
                <c:pt idx="365">
                  <c:v>410.05</c:v>
                </c:pt>
                <c:pt idx="366">
                  <c:v>397.25</c:v>
                </c:pt>
                <c:pt idx="367">
                  <c:v>382.22</c:v>
                </c:pt>
                <c:pt idx="368">
                  <c:v>370.72</c:v>
                </c:pt>
                <c:pt idx="369">
                  <c:v>364.1</c:v>
                </c:pt>
                <c:pt idx="370">
                  <c:v>363.12</c:v>
                </c:pt>
                <c:pt idx="371">
                  <c:v>357.49</c:v>
                </c:pt>
                <c:pt idx="372">
                  <c:v>358.87</c:v>
                </c:pt>
                <c:pt idx="373">
                  <c:v>349.95</c:v>
                </c:pt>
                <c:pt idx="374">
                  <c:v>346.91</c:v>
                </c:pt>
                <c:pt idx="375">
                  <c:v>335.26</c:v>
                </c:pt>
                <c:pt idx="376">
                  <c:v>336.23</c:v>
                </c:pt>
                <c:pt idx="377">
                  <c:v>340.33</c:v>
                </c:pt>
                <c:pt idx="378">
                  <c:v>342.41</c:v>
                </c:pt>
                <c:pt idx="379">
                  <c:v>346.81</c:v>
                </c:pt>
                <c:pt idx="380">
                  <c:v>344.36</c:v>
                </c:pt>
                <c:pt idx="381">
                  <c:v>342.95</c:v>
                </c:pt>
                <c:pt idx="382">
                  <c:v>322.52999999999997</c:v>
                </c:pt>
                <c:pt idx="383">
                  <c:v>312.77</c:v>
                </c:pt>
                <c:pt idx="384">
                  <c:v>314.83</c:v>
                </c:pt>
                <c:pt idx="385">
                  <c:v>312</c:v>
                </c:pt>
                <c:pt idx="386">
                  <c:v>306.70999999999998</c:v>
                </c:pt>
                <c:pt idx="387">
                  <c:v>315.87</c:v>
                </c:pt>
                <c:pt idx="388">
                  <c:v>319.8</c:v>
                </c:pt>
                <c:pt idx="389">
                  <c:v>313.35000000000002</c:v>
                </c:pt>
                <c:pt idx="390">
                  <c:v>310.63</c:v>
                </c:pt>
                <c:pt idx="391">
                  <c:v>305.24</c:v>
                </c:pt>
                <c:pt idx="392">
                  <c:v>294.79000000000002</c:v>
                </c:pt>
                <c:pt idx="393">
                  <c:v>304.97000000000003</c:v>
                </c:pt>
                <c:pt idx="394">
                  <c:v>302.32</c:v>
                </c:pt>
                <c:pt idx="395">
                  <c:v>301.81</c:v>
                </c:pt>
                <c:pt idx="396">
                  <c:v>295.58999999999997</c:v>
                </c:pt>
                <c:pt idx="397">
                  <c:v>302.87</c:v>
                </c:pt>
                <c:pt idx="398">
                  <c:v>290.95</c:v>
                </c:pt>
                <c:pt idx="399">
                  <c:v>284.16000000000003</c:v>
                </c:pt>
                <c:pt idx="400">
                  <c:v>288.32</c:v>
                </c:pt>
                <c:pt idx="401">
                  <c:v>284.3</c:v>
                </c:pt>
                <c:pt idx="402">
                  <c:v>280.92</c:v>
                </c:pt>
                <c:pt idx="403">
                  <c:v>273.42</c:v>
                </c:pt>
                <c:pt idx="404">
                  <c:v>274.43</c:v>
                </c:pt>
                <c:pt idx="405">
                  <c:v>274.08</c:v>
                </c:pt>
                <c:pt idx="406">
                  <c:v>277.72000000000003</c:v>
                </c:pt>
                <c:pt idx="407">
                  <c:v>282.04000000000002</c:v>
                </c:pt>
                <c:pt idx="408">
                  <c:v>277.31</c:v>
                </c:pt>
                <c:pt idx="409">
                  <c:v>270.82</c:v>
                </c:pt>
                <c:pt idx="410">
                  <c:v>276.42</c:v>
                </c:pt>
                <c:pt idx="411">
                  <c:v>280.47000000000003</c:v>
                </c:pt>
                <c:pt idx="412">
                  <c:v>281.99</c:v>
                </c:pt>
                <c:pt idx="413">
                  <c:v>284.08999999999997</c:v>
                </c:pt>
                <c:pt idx="414">
                  <c:v>284.06</c:v>
                </c:pt>
                <c:pt idx="415">
                  <c:v>287.72000000000003</c:v>
                </c:pt>
                <c:pt idx="416">
                  <c:v>293.07</c:v>
                </c:pt>
                <c:pt idx="417">
                  <c:v>291.36</c:v>
                </c:pt>
                <c:pt idx="418">
                  <c:v>295.81</c:v>
                </c:pt>
                <c:pt idx="419">
                  <c:v>294.24</c:v>
                </c:pt>
                <c:pt idx="420">
                  <c:v>290.82</c:v>
                </c:pt>
                <c:pt idx="421">
                  <c:v>297.77</c:v>
                </c:pt>
                <c:pt idx="422">
                  <c:v>259.92</c:v>
                </c:pt>
                <c:pt idx="423">
                  <c:v>248.06</c:v>
                </c:pt>
                <c:pt idx="424">
                  <c:v>280.92</c:v>
                </c:pt>
                <c:pt idx="425">
                  <c:v>286.88</c:v>
                </c:pt>
                <c:pt idx="426">
                  <c:v>279.98</c:v>
                </c:pt>
                <c:pt idx="427">
                  <c:v>278.64</c:v>
                </c:pt>
                <c:pt idx="428">
                  <c:v>274.25</c:v>
                </c:pt>
                <c:pt idx="429">
                  <c:v>273.26</c:v>
                </c:pt>
                <c:pt idx="430">
                  <c:v>268.86</c:v>
                </c:pt>
                <c:pt idx="431">
                  <c:v>261.45999999999998</c:v>
                </c:pt>
                <c:pt idx="432">
                  <c:v>258.02</c:v>
                </c:pt>
                <c:pt idx="433">
                  <c:v>272.39</c:v>
                </c:pt>
                <c:pt idx="434">
                  <c:v>271.52</c:v>
                </c:pt>
                <c:pt idx="435">
                  <c:v>266.94</c:v>
                </c:pt>
                <c:pt idx="436">
                  <c:v>254.09</c:v>
                </c:pt>
                <c:pt idx="437">
                  <c:v>256.06</c:v>
                </c:pt>
                <c:pt idx="438">
                  <c:v>256.29000000000002</c:v>
                </c:pt>
                <c:pt idx="439">
                  <c:v>264.66000000000003</c:v>
                </c:pt>
                <c:pt idx="440">
                  <c:v>272.08</c:v>
                </c:pt>
                <c:pt idx="441">
                  <c:v>271.11</c:v>
                </c:pt>
                <c:pt idx="442">
                  <c:v>268.43</c:v>
                </c:pt>
                <c:pt idx="443">
                  <c:v>272.14999999999998</c:v>
                </c:pt>
                <c:pt idx="444">
                  <c:v>275.8</c:v>
                </c:pt>
                <c:pt idx="445">
                  <c:v>271.45</c:v>
                </c:pt>
                <c:pt idx="446">
                  <c:v>269.36</c:v>
                </c:pt>
                <c:pt idx="447">
                  <c:v>274.29500000000002</c:v>
                </c:pt>
                <c:pt idx="448">
                  <c:v>281.51</c:v>
                </c:pt>
                <c:pt idx="449">
                  <c:v>270.64999999999998</c:v>
                </c:pt>
                <c:pt idx="450">
                  <c:v>267.82</c:v>
                </c:pt>
                <c:pt idx="451">
                  <c:v>278.41000000000003</c:v>
                </c:pt>
                <c:pt idx="452">
                  <c:v>272.14</c:v>
                </c:pt>
                <c:pt idx="453">
                  <c:v>276.43</c:v>
                </c:pt>
                <c:pt idx="454">
                  <c:v>270.43</c:v>
                </c:pt>
                <c:pt idx="455">
                  <c:v>276.31</c:v>
                </c:pt>
                <c:pt idx="456">
                  <c:v>280.66000000000003</c:v>
                </c:pt>
                <c:pt idx="457">
                  <c:v>289.56</c:v>
                </c:pt>
                <c:pt idx="458">
                  <c:v>288.42</c:v>
                </c:pt>
                <c:pt idx="459">
                  <c:v>292.81</c:v>
                </c:pt>
                <c:pt idx="460">
                  <c:v>295.64999999999998</c:v>
                </c:pt>
                <c:pt idx="461">
                  <c:v>285.52999999999997</c:v>
                </c:pt>
                <c:pt idx="462">
                  <c:v>272.42</c:v>
                </c:pt>
                <c:pt idx="463">
                  <c:v>270.87</c:v>
                </c:pt>
                <c:pt idx="464">
                  <c:v>270.63</c:v>
                </c:pt>
                <c:pt idx="465">
                  <c:v>270.37</c:v>
                </c:pt>
                <c:pt idx="466">
                  <c:v>276.91000000000003</c:v>
                </c:pt>
                <c:pt idx="467">
                  <c:v>274.58999999999997</c:v>
                </c:pt>
                <c:pt idx="468">
                  <c:v>272.7</c:v>
                </c:pt>
                <c:pt idx="469">
                  <c:v>282.86</c:v>
                </c:pt>
                <c:pt idx="470">
                  <c:v>277.32</c:v>
                </c:pt>
                <c:pt idx="471">
                  <c:v>281.44</c:v>
                </c:pt>
                <c:pt idx="472">
                  <c:v>277.88</c:v>
                </c:pt>
                <c:pt idx="473">
                  <c:v>275</c:v>
                </c:pt>
                <c:pt idx="474">
                  <c:v>272</c:v>
                </c:pt>
                <c:pt idx="475">
                  <c:v>277.23</c:v>
                </c:pt>
                <c:pt idx="476">
                  <c:v>290.52</c:v>
                </c:pt>
                <c:pt idx="477">
                  <c:v>296.02999999999997</c:v>
                </c:pt>
                <c:pt idx="478">
                  <c:v>293.67</c:v>
                </c:pt>
                <c:pt idx="479">
                  <c:v>286.36</c:v>
                </c:pt>
                <c:pt idx="480">
                  <c:v>287.61</c:v>
                </c:pt>
                <c:pt idx="481">
                  <c:v>295.64</c:v>
                </c:pt>
                <c:pt idx="482">
                  <c:v>272.77999999999997</c:v>
                </c:pt>
                <c:pt idx="483">
                  <c:v>264.41000000000003</c:v>
                </c:pt>
                <c:pt idx="484">
                  <c:v>272.75</c:v>
                </c:pt>
                <c:pt idx="485">
                  <c:v>255.82</c:v>
                </c:pt>
                <c:pt idx="486">
                  <c:v>257.58</c:v>
                </c:pt>
                <c:pt idx="487">
                  <c:v>258.67</c:v>
                </c:pt>
                <c:pt idx="488">
                  <c:v>261.02</c:v>
                </c:pt>
                <c:pt idx="489">
                  <c:v>248.92</c:v>
                </c:pt>
                <c:pt idx="490">
                  <c:v>240.46</c:v>
                </c:pt>
                <c:pt idx="491">
                  <c:v>242.94</c:v>
                </c:pt>
                <c:pt idx="492">
                  <c:v>238.26</c:v>
                </c:pt>
                <c:pt idx="493">
                  <c:v>242.09</c:v>
                </c:pt>
                <c:pt idx="494">
                  <c:v>240</c:v>
                </c:pt>
                <c:pt idx="495">
                  <c:v>236.64</c:v>
                </c:pt>
                <c:pt idx="496">
                  <c:v>232.13</c:v>
                </c:pt>
                <c:pt idx="497">
                  <c:v>227.41</c:v>
                </c:pt>
                <c:pt idx="498">
                  <c:v>222.75</c:v>
                </c:pt>
                <c:pt idx="499">
                  <c:v>210.56</c:v>
                </c:pt>
                <c:pt idx="500">
                  <c:v>210.86</c:v>
                </c:pt>
                <c:pt idx="501">
                  <c:v>208.61</c:v>
                </c:pt>
                <c:pt idx="502">
                  <c:v>209.68</c:v>
                </c:pt>
                <c:pt idx="503">
                  <c:v>213.92</c:v>
                </c:pt>
                <c:pt idx="504">
                  <c:v>208.19</c:v>
                </c:pt>
                <c:pt idx="505">
                  <c:v>211.44</c:v>
                </c:pt>
                <c:pt idx="506">
                  <c:v>214.35</c:v>
                </c:pt>
                <c:pt idx="507">
                  <c:v>213.31</c:v>
                </c:pt>
                <c:pt idx="508">
                  <c:v>219.66</c:v>
                </c:pt>
                <c:pt idx="509">
                  <c:v>217.69</c:v>
                </c:pt>
                <c:pt idx="510">
                  <c:v>222.33</c:v>
                </c:pt>
                <c:pt idx="511">
                  <c:v>229.15</c:v>
                </c:pt>
                <c:pt idx="512">
                  <c:v>230.61</c:v>
                </c:pt>
                <c:pt idx="513">
                  <c:v>238.89</c:v>
                </c:pt>
                <c:pt idx="514">
                  <c:v>235.48</c:v>
                </c:pt>
                <c:pt idx="515">
                  <c:v>237.52</c:v>
                </c:pt>
                <c:pt idx="516">
                  <c:v>228.32</c:v>
                </c:pt>
                <c:pt idx="517">
                  <c:v>227.49</c:v>
                </c:pt>
                <c:pt idx="518">
                  <c:v>227.36</c:v>
                </c:pt>
                <c:pt idx="519">
                  <c:v>229.16</c:v>
                </c:pt>
                <c:pt idx="520">
                  <c:v>229.08</c:v>
                </c:pt>
                <c:pt idx="521">
                  <c:v>237.72</c:v>
                </c:pt>
                <c:pt idx="522">
                  <c:v>237.76</c:v>
                </c:pt>
                <c:pt idx="523">
                  <c:v>243.59</c:v>
                </c:pt>
                <c:pt idx="524">
                  <c:v>234.42</c:v>
                </c:pt>
                <c:pt idx="525">
                  <c:v>227.45</c:v>
                </c:pt>
                <c:pt idx="526">
                  <c:v>236.77</c:v>
                </c:pt>
                <c:pt idx="527">
                  <c:v>236.45</c:v>
                </c:pt>
                <c:pt idx="528">
                  <c:v>230.83</c:v>
                </c:pt>
                <c:pt idx="529">
                  <c:v>234.82</c:v>
                </c:pt>
                <c:pt idx="530">
                  <c:v>236.43</c:v>
                </c:pt>
                <c:pt idx="531">
                  <c:v>237.01</c:v>
                </c:pt>
                <c:pt idx="532">
                  <c:v>248.06</c:v>
                </c:pt>
                <c:pt idx="533">
                  <c:v>261.58999999999997</c:v>
                </c:pt>
                <c:pt idx="534">
                  <c:v>254.4</c:v>
                </c:pt>
                <c:pt idx="535">
                  <c:v>247.5</c:v>
                </c:pt>
                <c:pt idx="536">
                  <c:v>245.01</c:v>
                </c:pt>
                <c:pt idx="537">
                  <c:v>214.64</c:v>
                </c:pt>
                <c:pt idx="538">
                  <c:v>223</c:v>
                </c:pt>
                <c:pt idx="539">
                  <c:v>218.82</c:v>
                </c:pt>
                <c:pt idx="540">
                  <c:v>209.9</c:v>
                </c:pt>
                <c:pt idx="541">
                  <c:v>195</c:v>
                </c:pt>
                <c:pt idx="542">
                  <c:v>199.43</c:v>
                </c:pt>
                <c:pt idx="543">
                  <c:v>207.32</c:v>
                </c:pt>
                <c:pt idx="544">
                  <c:v>198.86</c:v>
                </c:pt>
                <c:pt idx="545">
                  <c:v>192.21</c:v>
                </c:pt>
                <c:pt idx="546">
                  <c:v>189.86</c:v>
                </c:pt>
                <c:pt idx="547">
                  <c:v>198.9</c:v>
                </c:pt>
                <c:pt idx="548">
                  <c:v>198.18</c:v>
                </c:pt>
                <c:pt idx="549">
                  <c:v>194.58</c:v>
                </c:pt>
                <c:pt idx="550">
                  <c:v>189.25</c:v>
                </c:pt>
                <c:pt idx="551">
                  <c:v>186.37</c:v>
                </c:pt>
                <c:pt idx="552">
                  <c:v>196.87</c:v>
                </c:pt>
                <c:pt idx="553">
                  <c:v>205.84</c:v>
                </c:pt>
                <c:pt idx="554">
                  <c:v>202.74</c:v>
                </c:pt>
                <c:pt idx="555">
                  <c:v>196.22</c:v>
                </c:pt>
                <c:pt idx="556">
                  <c:v>201.84</c:v>
                </c:pt>
                <c:pt idx="557">
                  <c:v>203.54</c:v>
                </c:pt>
                <c:pt idx="558">
                  <c:v>198.3</c:v>
                </c:pt>
                <c:pt idx="559">
                  <c:v>202.25</c:v>
                </c:pt>
                <c:pt idx="560">
                  <c:v>197.52</c:v>
                </c:pt>
                <c:pt idx="561">
                  <c:v>201.63</c:v>
                </c:pt>
                <c:pt idx="562">
                  <c:v>202.96</c:v>
                </c:pt>
                <c:pt idx="563">
                  <c:v>205.9</c:v>
                </c:pt>
                <c:pt idx="564">
                  <c:v>198.25</c:v>
                </c:pt>
                <c:pt idx="565">
                  <c:v>190</c:v>
                </c:pt>
                <c:pt idx="566">
                  <c:v>194.65</c:v>
                </c:pt>
                <c:pt idx="567">
                  <c:v>199.23</c:v>
                </c:pt>
                <c:pt idx="568">
                  <c:v>192.26</c:v>
                </c:pt>
                <c:pt idx="569">
                  <c:v>185.48</c:v>
                </c:pt>
                <c:pt idx="570">
                  <c:v>183.54</c:v>
                </c:pt>
                <c:pt idx="571">
                  <c:v>185.36</c:v>
                </c:pt>
                <c:pt idx="572">
                  <c:v>189.37</c:v>
                </c:pt>
                <c:pt idx="573">
                  <c:v>186.48</c:v>
                </c:pt>
                <c:pt idx="574">
                  <c:v>189.25</c:v>
                </c:pt>
                <c:pt idx="575">
                  <c:v>185.17</c:v>
                </c:pt>
                <c:pt idx="576">
                  <c:v>189.5</c:v>
                </c:pt>
                <c:pt idx="577">
                  <c:v>194.07</c:v>
                </c:pt>
                <c:pt idx="578">
                  <c:v>196.71</c:v>
                </c:pt>
                <c:pt idx="579">
                  <c:v>208.05</c:v>
                </c:pt>
                <c:pt idx="580">
                  <c:v>202.28</c:v>
                </c:pt>
                <c:pt idx="581">
                  <c:v>195.67</c:v>
                </c:pt>
                <c:pt idx="582">
                  <c:v>201.97</c:v>
                </c:pt>
                <c:pt idx="583">
                  <c:v>209.58</c:v>
                </c:pt>
                <c:pt idx="584">
                  <c:v>206.21</c:v>
                </c:pt>
                <c:pt idx="585">
                  <c:v>209.98</c:v>
                </c:pt>
                <c:pt idx="586">
                  <c:v>206.83</c:v>
                </c:pt>
                <c:pt idx="587">
                  <c:v>215.43</c:v>
                </c:pt>
                <c:pt idx="588">
                  <c:v>215.78</c:v>
                </c:pt>
                <c:pt idx="589">
                  <c:v>222.43</c:v>
                </c:pt>
                <c:pt idx="590">
                  <c:v>232.75</c:v>
                </c:pt>
                <c:pt idx="591">
                  <c:v>221.7</c:v>
                </c:pt>
                <c:pt idx="592">
                  <c:v>219.96</c:v>
                </c:pt>
                <c:pt idx="593">
                  <c:v>222.97</c:v>
                </c:pt>
                <c:pt idx="594">
                  <c:v>229.46</c:v>
                </c:pt>
                <c:pt idx="595">
                  <c:v>234.26</c:v>
                </c:pt>
                <c:pt idx="596">
                  <c:v>232.67</c:v>
                </c:pt>
                <c:pt idx="597">
                  <c:v>239.08</c:v>
                </c:pt>
                <c:pt idx="598">
                  <c:v>240.25</c:v>
                </c:pt>
                <c:pt idx="599">
                  <c:v>246.49</c:v>
                </c:pt>
                <c:pt idx="600">
                  <c:v>253</c:v>
                </c:pt>
                <c:pt idx="601">
                  <c:v>249.72</c:v>
                </c:pt>
                <c:pt idx="602">
                  <c:v>235.68</c:v>
                </c:pt>
                <c:pt idx="603">
                  <c:v>241.73</c:v>
                </c:pt>
                <c:pt idx="604">
                  <c:v>241.41</c:v>
                </c:pt>
                <c:pt idx="605">
                  <c:v>240.4</c:v>
                </c:pt>
                <c:pt idx="606">
                  <c:v>236.63</c:v>
                </c:pt>
                <c:pt idx="607">
                  <c:v>233.09</c:v>
                </c:pt>
                <c:pt idx="608">
                  <c:v>239.87</c:v>
                </c:pt>
                <c:pt idx="609">
                  <c:v>237.85</c:v>
                </c:pt>
                <c:pt idx="610">
                  <c:v>234.03</c:v>
                </c:pt>
                <c:pt idx="611">
                  <c:v>211.05</c:v>
                </c:pt>
                <c:pt idx="612">
                  <c:v>206.11</c:v>
                </c:pt>
                <c:pt idx="613">
                  <c:v>211.35</c:v>
                </c:pt>
                <c:pt idx="614">
                  <c:v>210.03</c:v>
                </c:pt>
                <c:pt idx="615">
                  <c:v>214.7</c:v>
                </c:pt>
                <c:pt idx="616">
                  <c:v>212.52</c:v>
                </c:pt>
                <c:pt idx="617">
                  <c:v>209.4</c:v>
                </c:pt>
                <c:pt idx="618">
                  <c:v>198.76</c:v>
                </c:pt>
                <c:pt idx="619">
                  <c:v>195.67</c:v>
                </c:pt>
                <c:pt idx="620">
                  <c:v>194.69</c:v>
                </c:pt>
                <c:pt idx="621">
                  <c:v>192.95</c:v>
                </c:pt>
                <c:pt idx="622">
                  <c:v>206.97</c:v>
                </c:pt>
                <c:pt idx="623">
                  <c:v>204.74</c:v>
                </c:pt>
                <c:pt idx="624">
                  <c:v>204.98</c:v>
                </c:pt>
                <c:pt idx="625">
                  <c:v>202.62</c:v>
                </c:pt>
                <c:pt idx="626">
                  <c:v>195.11</c:v>
                </c:pt>
                <c:pt idx="627">
                  <c:v>191.44</c:v>
                </c:pt>
                <c:pt idx="628">
                  <c:v>186.83</c:v>
                </c:pt>
                <c:pt idx="629">
                  <c:v>188</c:v>
                </c:pt>
                <c:pt idx="630">
                  <c:v>183.75</c:v>
                </c:pt>
                <c:pt idx="631">
                  <c:v>180.79</c:v>
                </c:pt>
                <c:pt idx="632">
                  <c:v>190.93</c:v>
                </c:pt>
                <c:pt idx="633">
                  <c:v>190.69</c:v>
                </c:pt>
                <c:pt idx="634">
                  <c:v>181.57</c:v>
                </c:pt>
                <c:pt idx="635">
                  <c:v>170.76</c:v>
                </c:pt>
                <c:pt idx="636">
                  <c:v>174.66</c:v>
                </c:pt>
                <c:pt idx="637">
                  <c:v>171.86</c:v>
                </c:pt>
                <c:pt idx="638">
                  <c:v>175.41</c:v>
                </c:pt>
                <c:pt idx="639">
                  <c:v>185.61</c:v>
                </c:pt>
                <c:pt idx="640">
                  <c:v>182.04</c:v>
                </c:pt>
                <c:pt idx="641">
                  <c:v>181.3</c:v>
                </c:pt>
                <c:pt idx="642">
                  <c:v>191.24</c:v>
                </c:pt>
                <c:pt idx="643">
                  <c:v>203.15</c:v>
                </c:pt>
                <c:pt idx="644">
                  <c:v>207.72</c:v>
                </c:pt>
                <c:pt idx="645">
                  <c:v>220.01</c:v>
                </c:pt>
                <c:pt idx="646">
                  <c:v>221.22</c:v>
                </c:pt>
                <c:pt idx="647">
                  <c:v>210.52</c:v>
                </c:pt>
                <c:pt idx="648">
                  <c:v>207.38</c:v>
                </c:pt>
                <c:pt idx="649">
                  <c:v>195.9</c:v>
                </c:pt>
                <c:pt idx="650">
                  <c:v>197.59</c:v>
                </c:pt>
                <c:pt idx="651">
                  <c:v>199.14</c:v>
                </c:pt>
                <c:pt idx="652">
                  <c:v>196.28</c:v>
                </c:pt>
                <c:pt idx="653">
                  <c:v>186</c:v>
                </c:pt>
                <c:pt idx="654">
                  <c:v>184.73</c:v>
                </c:pt>
                <c:pt idx="655">
                  <c:v>190.56</c:v>
                </c:pt>
                <c:pt idx="656">
                  <c:v>187.55</c:v>
                </c:pt>
                <c:pt idx="657">
                  <c:v>184.39</c:v>
                </c:pt>
                <c:pt idx="658">
                  <c:v>181.35</c:v>
                </c:pt>
                <c:pt idx="659">
                  <c:v>207.44</c:v>
                </c:pt>
                <c:pt idx="660">
                  <c:v>199.47</c:v>
                </c:pt>
                <c:pt idx="661">
                  <c:v>215.05</c:v>
                </c:pt>
                <c:pt idx="662">
                  <c:v>205.2</c:v>
                </c:pt>
                <c:pt idx="663">
                  <c:v>206.61</c:v>
                </c:pt>
                <c:pt idx="664">
                  <c:v>214.49</c:v>
                </c:pt>
                <c:pt idx="665">
                  <c:v>210.78</c:v>
                </c:pt>
                <c:pt idx="666">
                  <c:v>216.93</c:v>
                </c:pt>
                <c:pt idx="667">
                  <c:v>218.2</c:v>
                </c:pt>
                <c:pt idx="668">
                  <c:v>225.89</c:v>
                </c:pt>
                <c:pt idx="669">
                  <c:v>210.91</c:v>
                </c:pt>
                <c:pt idx="670">
                  <c:v>208.89</c:v>
                </c:pt>
                <c:pt idx="671">
                  <c:v>205.96</c:v>
                </c:pt>
                <c:pt idx="672">
                  <c:v>212.72</c:v>
                </c:pt>
                <c:pt idx="673">
                  <c:v>196.76</c:v>
                </c:pt>
                <c:pt idx="674">
                  <c:v>204.63</c:v>
                </c:pt>
                <c:pt idx="675">
                  <c:v>215.06</c:v>
                </c:pt>
                <c:pt idx="676">
                  <c:v>207.12</c:v>
                </c:pt>
                <c:pt idx="677">
                  <c:v>209.32</c:v>
                </c:pt>
                <c:pt idx="678">
                  <c:v>212.3</c:v>
                </c:pt>
                <c:pt idx="679">
                  <c:v>206.94</c:v>
                </c:pt>
                <c:pt idx="680">
                  <c:v>197.26</c:v>
                </c:pt>
                <c:pt idx="681">
                  <c:v>199.73</c:v>
                </c:pt>
                <c:pt idx="682">
                  <c:v>208.94</c:v>
                </c:pt>
                <c:pt idx="683">
                  <c:v>203.83</c:v>
                </c:pt>
                <c:pt idx="684">
                  <c:v>203.41</c:v>
                </c:pt>
                <c:pt idx="685">
                  <c:v>202.68</c:v>
                </c:pt>
                <c:pt idx="686">
                  <c:v>206.06</c:v>
                </c:pt>
                <c:pt idx="687">
                  <c:v>211.5</c:v>
                </c:pt>
                <c:pt idx="688">
                  <c:v>221.77</c:v>
                </c:pt>
                <c:pt idx="689">
                  <c:v>235.55</c:v>
                </c:pt>
                <c:pt idx="690">
                  <c:v>233.72</c:v>
                </c:pt>
                <c:pt idx="691">
                  <c:v>243.82</c:v>
                </c:pt>
                <c:pt idx="692">
                  <c:v>261.31</c:v>
                </c:pt>
                <c:pt idx="693">
                  <c:v>274.8</c:v>
                </c:pt>
                <c:pt idx="694">
                  <c:v>270.24</c:v>
                </c:pt>
                <c:pt idx="695">
                  <c:v>263.91000000000003</c:v>
                </c:pt>
                <c:pt idx="696">
                  <c:v>277.69</c:v>
                </c:pt>
                <c:pt idx="697">
                  <c:v>271.25</c:v>
                </c:pt>
                <c:pt idx="698">
                  <c:v>286.79000000000002</c:v>
                </c:pt>
                <c:pt idx="699">
                  <c:v>281.14</c:v>
                </c:pt>
                <c:pt idx="700">
                  <c:v>292.02</c:v>
                </c:pt>
                <c:pt idx="701">
                  <c:v>282.31</c:v>
                </c:pt>
                <c:pt idx="702">
                  <c:v>280.58</c:v>
                </c:pt>
                <c:pt idx="703">
                  <c:v>258.79000000000002</c:v>
                </c:pt>
                <c:pt idx="704">
                  <c:v>251.03</c:v>
                </c:pt>
                <c:pt idx="705">
                  <c:v>261.35000000000002</c:v>
                </c:pt>
                <c:pt idx="706">
                  <c:v>267.79000000000002</c:v>
                </c:pt>
                <c:pt idx="707">
                  <c:v>269.74</c:v>
                </c:pt>
                <c:pt idx="708">
                  <c:v>252.24</c:v>
                </c:pt>
                <c:pt idx="709">
                  <c:v>245.48</c:v>
                </c:pt>
                <c:pt idx="710">
                  <c:v>264.7</c:v>
                </c:pt>
                <c:pt idx="711">
                  <c:v>280.26</c:v>
                </c:pt>
                <c:pt idx="712">
                  <c:v>287.79000000000002</c:v>
                </c:pt>
                <c:pt idx="713">
                  <c:v>283.27</c:v>
                </c:pt>
                <c:pt idx="714">
                  <c:v>287.23</c:v>
                </c:pt>
                <c:pt idx="715">
                  <c:v>274.48</c:v>
                </c:pt>
                <c:pt idx="716">
                  <c:v>264.49</c:v>
                </c:pt>
                <c:pt idx="717">
                  <c:v>256.26</c:v>
                </c:pt>
                <c:pt idx="718">
                  <c:v>257.07</c:v>
                </c:pt>
                <c:pt idx="719">
                  <c:v>267.94</c:v>
                </c:pt>
                <c:pt idx="720">
                  <c:v>267.97000000000003</c:v>
                </c:pt>
                <c:pt idx="721">
                  <c:v>274.75</c:v>
                </c:pt>
                <c:pt idx="722">
                  <c:v>277.02999999999997</c:v>
                </c:pt>
                <c:pt idx="723">
                  <c:v>268.82</c:v>
                </c:pt>
                <c:pt idx="724">
                  <c:v>264.70999999999998</c:v>
                </c:pt>
                <c:pt idx="725">
                  <c:v>280.14999999999998</c:v>
                </c:pt>
                <c:pt idx="726">
                  <c:v>290.38</c:v>
                </c:pt>
                <c:pt idx="727">
                  <c:v>283.66000000000003</c:v>
                </c:pt>
                <c:pt idx="728">
                  <c:v>277.86</c:v>
                </c:pt>
                <c:pt idx="729">
                  <c:v>283.83</c:v>
                </c:pt>
                <c:pt idx="730">
                  <c:v>291</c:v>
                </c:pt>
                <c:pt idx="731">
                  <c:v>299</c:v>
                </c:pt>
                <c:pt idx="732">
                  <c:v>299.72000000000003</c:v>
                </c:pt>
                <c:pt idx="733">
                  <c:v>284.27999999999997</c:v>
                </c:pt>
                <c:pt idx="734">
                  <c:v>270.32</c:v>
                </c:pt>
                <c:pt idx="735">
                  <c:v>266.14999999999998</c:v>
                </c:pt>
                <c:pt idx="736">
                  <c:v>281.23</c:v>
                </c:pt>
                <c:pt idx="737">
                  <c:v>285.64</c:v>
                </c:pt>
                <c:pt idx="738">
                  <c:v>295.83</c:v>
                </c:pt>
                <c:pt idx="739">
                  <c:v>272.74</c:v>
                </c:pt>
                <c:pt idx="740">
                  <c:v>287.01</c:v>
                </c:pt>
                <c:pt idx="741">
                  <c:v>282.19</c:v>
                </c:pt>
                <c:pt idx="742">
                  <c:v>279.16000000000003</c:v>
                </c:pt>
                <c:pt idx="743">
                  <c:v>276.60000000000002</c:v>
                </c:pt>
                <c:pt idx="744">
                  <c:v>270.7</c:v>
                </c:pt>
                <c:pt idx="745">
                  <c:v>283.05</c:v>
                </c:pt>
                <c:pt idx="746">
                  <c:v>279.14</c:v>
                </c:pt>
                <c:pt idx="747">
                  <c:v>284.52</c:v>
                </c:pt>
                <c:pt idx="748">
                  <c:v>282.77999999999997</c:v>
                </c:pt>
                <c:pt idx="749">
                  <c:v>294.77</c:v>
                </c:pt>
                <c:pt idx="750">
                  <c:v>292.58</c:v>
                </c:pt>
                <c:pt idx="751">
                  <c:v>317.83</c:v>
                </c:pt>
                <c:pt idx="752">
                  <c:v>314.77</c:v>
                </c:pt>
                <c:pt idx="753">
                  <c:v>337.03</c:v>
                </c:pt>
                <c:pt idx="754">
                  <c:v>332.84</c:v>
                </c:pt>
                <c:pt idx="755">
                  <c:v>335.41</c:v>
                </c:pt>
                <c:pt idx="756">
                  <c:v>330.19</c:v>
                </c:pt>
                <c:pt idx="757">
                  <c:v>333.05</c:v>
                </c:pt>
                <c:pt idx="758">
                  <c:v>323.52999999999997</c:v>
                </c:pt>
                <c:pt idx="759">
                  <c:v>313.76</c:v>
                </c:pt>
                <c:pt idx="760">
                  <c:v>315.02</c:v>
                </c:pt>
                <c:pt idx="761">
                  <c:v>301.48</c:v>
                </c:pt>
                <c:pt idx="762">
                  <c:v>305.02999999999997</c:v>
                </c:pt>
                <c:pt idx="763">
                  <c:v>310.98</c:v>
                </c:pt>
                <c:pt idx="764">
                  <c:v>327.58999999999997</c:v>
                </c:pt>
                <c:pt idx="765">
                  <c:v>320.70999999999998</c:v>
                </c:pt>
                <c:pt idx="766">
                  <c:v>325.99</c:v>
                </c:pt>
                <c:pt idx="767">
                  <c:v>328.71</c:v>
                </c:pt>
                <c:pt idx="768">
                  <c:v>329.83</c:v>
                </c:pt>
                <c:pt idx="769">
                  <c:v>330.34</c:v>
                </c:pt>
                <c:pt idx="770">
                  <c:v>335.3</c:v>
                </c:pt>
                <c:pt idx="771">
                  <c:v>318.81</c:v>
                </c:pt>
                <c:pt idx="772">
                  <c:v>318.67</c:v>
                </c:pt>
                <c:pt idx="773">
                  <c:v>319.26</c:v>
                </c:pt>
                <c:pt idx="774">
                  <c:v>316.14999999999998</c:v>
                </c:pt>
                <c:pt idx="775">
                  <c:v>331.18</c:v>
                </c:pt>
                <c:pt idx="776">
                  <c:v>335.09</c:v>
                </c:pt>
                <c:pt idx="777">
                  <c:v>335.83</c:v>
                </c:pt>
                <c:pt idx="778">
                  <c:v>344.37</c:v>
                </c:pt>
                <c:pt idx="779">
                  <c:v>344.93</c:v>
                </c:pt>
                <c:pt idx="780">
                  <c:v>349.8</c:v>
                </c:pt>
                <c:pt idx="781">
                  <c:v>358.46</c:v>
                </c:pt>
                <c:pt idx="782">
                  <c:v>354.49</c:v>
                </c:pt>
                <c:pt idx="783">
                  <c:v>364.45</c:v>
                </c:pt>
                <c:pt idx="784">
                  <c:v>357.82</c:v>
                </c:pt>
                <c:pt idx="785">
                  <c:v>343.76</c:v>
                </c:pt>
                <c:pt idx="786">
                  <c:v>344.66</c:v>
                </c:pt>
                <c:pt idx="787">
                  <c:v>339.6</c:v>
                </c:pt>
                <c:pt idx="788">
                  <c:v>332.97</c:v>
                </c:pt>
                <c:pt idx="789">
                  <c:v>339.43</c:v>
                </c:pt>
                <c:pt idx="790">
                  <c:v>352.01</c:v>
                </c:pt>
                <c:pt idx="791">
                  <c:v>342.87</c:v>
                </c:pt>
                <c:pt idx="792">
                  <c:v>351.4</c:v>
                </c:pt>
                <c:pt idx="793">
                  <c:v>344.92</c:v>
                </c:pt>
                <c:pt idx="794">
                  <c:v>334.56</c:v>
                </c:pt>
                <c:pt idx="795">
                  <c:v>328.12</c:v>
                </c:pt>
                <c:pt idx="796">
                  <c:v>312.64</c:v>
                </c:pt>
                <c:pt idx="797">
                  <c:v>311.86</c:v>
                </c:pt>
                <c:pt idx="798">
                  <c:v>273.89</c:v>
                </c:pt>
                <c:pt idx="799">
                  <c:v>276.07</c:v>
                </c:pt>
                <c:pt idx="800">
                  <c:v>274.91000000000003</c:v>
                </c:pt>
                <c:pt idx="801">
                  <c:v>271.81</c:v>
                </c:pt>
                <c:pt idx="802">
                  <c:v>267.11</c:v>
                </c:pt>
                <c:pt idx="803">
                  <c:v>266.49</c:v>
                </c:pt>
                <c:pt idx="804">
                  <c:v>260.87</c:v>
                </c:pt>
                <c:pt idx="805">
                  <c:v>263.63</c:v>
                </c:pt>
                <c:pt idx="806">
                  <c:v>261.56</c:v>
                </c:pt>
                <c:pt idx="807">
                  <c:v>253.25</c:v>
                </c:pt>
                <c:pt idx="808">
                  <c:v>247.37</c:v>
                </c:pt>
                <c:pt idx="809">
                  <c:v>251.28</c:v>
                </c:pt>
                <c:pt idx="810">
                  <c:v>253.84</c:v>
                </c:pt>
                <c:pt idx="811">
                  <c:v>254.39</c:v>
                </c:pt>
                <c:pt idx="812">
                  <c:v>252.33</c:v>
                </c:pt>
                <c:pt idx="813">
                  <c:v>248.82</c:v>
                </c:pt>
                <c:pt idx="814">
                  <c:v>243.48</c:v>
                </c:pt>
                <c:pt idx="815">
                  <c:v>234.38</c:v>
                </c:pt>
                <c:pt idx="816">
                  <c:v>242.67</c:v>
                </c:pt>
                <c:pt idx="817">
                  <c:v>238.03</c:v>
                </c:pt>
                <c:pt idx="818">
                  <c:v>238.44</c:v>
                </c:pt>
                <c:pt idx="819">
                  <c:v>240.58</c:v>
                </c:pt>
                <c:pt idx="820">
                  <c:v>248</c:v>
                </c:pt>
                <c:pt idx="821">
                  <c:v>243.27</c:v>
                </c:pt>
                <c:pt idx="822">
                  <c:v>243.32</c:v>
                </c:pt>
                <c:pt idx="823">
                  <c:v>243.33</c:v>
                </c:pt>
                <c:pt idx="824">
                  <c:v>245.65</c:v>
                </c:pt>
                <c:pt idx="825">
                  <c:v>242.96</c:v>
                </c:pt>
                <c:pt idx="826">
                  <c:v>244.81</c:v>
                </c:pt>
                <c:pt idx="827">
                  <c:v>247.14</c:v>
                </c:pt>
                <c:pt idx="828">
                  <c:v>245.13</c:v>
                </c:pt>
                <c:pt idx="829">
                  <c:v>240.67</c:v>
                </c:pt>
                <c:pt idx="830">
                  <c:v>244.42</c:v>
                </c:pt>
                <c:pt idx="831">
                  <c:v>241.46</c:v>
                </c:pt>
                <c:pt idx="832">
                  <c:v>238.88</c:v>
                </c:pt>
                <c:pt idx="833">
                  <c:v>241.34</c:v>
                </c:pt>
                <c:pt idx="834">
                  <c:v>246.59</c:v>
                </c:pt>
                <c:pt idx="835">
                  <c:v>249.17</c:v>
                </c:pt>
                <c:pt idx="836">
                  <c:v>246.39</c:v>
                </c:pt>
                <c:pt idx="837">
                  <c:v>244.32</c:v>
                </c:pt>
                <c:pt idx="838">
                  <c:v>240.13</c:v>
                </c:pt>
                <c:pt idx="839">
                  <c:v>245.06</c:v>
                </c:pt>
                <c:pt idx="840">
                  <c:v>240.4</c:v>
                </c:pt>
                <c:pt idx="841">
                  <c:v>235.89</c:v>
                </c:pt>
                <c:pt idx="842">
                  <c:v>240.89</c:v>
                </c:pt>
                <c:pt idx="843">
                  <c:v>254.14</c:v>
                </c:pt>
                <c:pt idx="844">
                  <c:v>254.03</c:v>
                </c:pt>
                <c:pt idx="845">
                  <c:v>249.35</c:v>
                </c:pt>
                <c:pt idx="846">
                  <c:v>242.34</c:v>
                </c:pt>
                <c:pt idx="847">
                  <c:v>246.18</c:v>
                </c:pt>
                <c:pt idx="848">
                  <c:v>244.81</c:v>
                </c:pt>
                <c:pt idx="849">
                  <c:v>246.88</c:v>
                </c:pt>
                <c:pt idx="850">
                  <c:v>245.04</c:v>
                </c:pt>
                <c:pt idx="851">
                  <c:v>248.59</c:v>
                </c:pt>
                <c:pt idx="852">
                  <c:v>249.31</c:v>
                </c:pt>
                <c:pt idx="853">
                  <c:v>244.5</c:v>
                </c:pt>
                <c:pt idx="854">
                  <c:v>241.26</c:v>
                </c:pt>
                <c:pt idx="855">
                  <c:v>241.51</c:v>
                </c:pt>
                <c:pt idx="856">
                  <c:v>237.78</c:v>
                </c:pt>
                <c:pt idx="857">
                  <c:v>238.09</c:v>
                </c:pt>
                <c:pt idx="858">
                  <c:v>235.51</c:v>
                </c:pt>
                <c:pt idx="859">
                  <c:v>224.2</c:v>
                </c:pt>
                <c:pt idx="860">
                  <c:v>226</c:v>
                </c:pt>
                <c:pt idx="861">
                  <c:v>221.68</c:v>
                </c:pt>
                <c:pt idx="862">
                  <c:v>204.7</c:v>
                </c:pt>
                <c:pt idx="863">
                  <c:v>205.1</c:v>
                </c:pt>
                <c:pt idx="864">
                  <c:v>205.37</c:v>
                </c:pt>
                <c:pt idx="865">
                  <c:v>206.99</c:v>
                </c:pt>
                <c:pt idx="866">
                  <c:v>200.86</c:v>
                </c:pt>
                <c:pt idx="867">
                  <c:v>203.31</c:v>
                </c:pt>
                <c:pt idx="868">
                  <c:v>200.89</c:v>
                </c:pt>
                <c:pt idx="869">
                  <c:v>193.22</c:v>
                </c:pt>
                <c:pt idx="870">
                  <c:v>196.28</c:v>
                </c:pt>
                <c:pt idx="871">
                  <c:v>202.69</c:v>
                </c:pt>
                <c:pt idx="872">
                  <c:v>205.37</c:v>
                </c:pt>
                <c:pt idx="873">
                  <c:v>206.08</c:v>
                </c:pt>
                <c:pt idx="874">
                  <c:v>207.25</c:v>
                </c:pt>
                <c:pt idx="875">
                  <c:v>206.43</c:v>
                </c:pt>
                <c:pt idx="876">
                  <c:v>202.54</c:v>
                </c:pt>
                <c:pt idx="877">
                  <c:v>207.63</c:v>
                </c:pt>
                <c:pt idx="878">
                  <c:v>209.52</c:v>
                </c:pt>
                <c:pt idx="879">
                  <c:v>210.91</c:v>
                </c:pt>
                <c:pt idx="880">
                  <c:v>213.02</c:v>
                </c:pt>
                <c:pt idx="881">
                  <c:v>209.49</c:v>
                </c:pt>
                <c:pt idx="882">
                  <c:v>210.06</c:v>
                </c:pt>
                <c:pt idx="883">
                  <c:v>212.04</c:v>
                </c:pt>
                <c:pt idx="884">
                  <c:v>211.88</c:v>
                </c:pt>
                <c:pt idx="885">
                  <c:v>208.79</c:v>
                </c:pt>
                <c:pt idx="886">
                  <c:v>209.52</c:v>
                </c:pt>
                <c:pt idx="887">
                  <c:v>209.2</c:v>
                </c:pt>
                <c:pt idx="888">
                  <c:v>206.93</c:v>
                </c:pt>
                <c:pt idx="889">
                  <c:v>202.5</c:v>
                </c:pt>
                <c:pt idx="890">
                  <c:v>201.89</c:v>
                </c:pt>
                <c:pt idx="891">
                  <c:v>210.26</c:v>
                </c:pt>
                <c:pt idx="892">
                  <c:v>210.49</c:v>
                </c:pt>
                <c:pt idx="893">
                  <c:v>209.54</c:v>
                </c:pt>
                <c:pt idx="894">
                  <c:v>205.66</c:v>
                </c:pt>
                <c:pt idx="895">
                  <c:v>200.37</c:v>
                </c:pt>
                <c:pt idx="896">
                  <c:v>203.33</c:v>
                </c:pt>
                <c:pt idx="897">
                  <c:v>210.83</c:v>
                </c:pt>
                <c:pt idx="898">
                  <c:v>208.26</c:v>
                </c:pt>
                <c:pt idx="899">
                  <c:v>210.2</c:v>
                </c:pt>
                <c:pt idx="900">
                  <c:v>217.21</c:v>
                </c:pt>
                <c:pt idx="901">
                  <c:v>223.74</c:v>
                </c:pt>
                <c:pt idx="902">
                  <c:v>233.98</c:v>
                </c:pt>
                <c:pt idx="903">
                  <c:v>230.16</c:v>
                </c:pt>
                <c:pt idx="904">
                  <c:v>229.35</c:v>
                </c:pt>
                <c:pt idx="905">
                  <c:v>226.42</c:v>
                </c:pt>
                <c:pt idx="906">
                  <c:v>223.25</c:v>
                </c:pt>
                <c:pt idx="907">
                  <c:v>227.41</c:v>
                </c:pt>
                <c:pt idx="908">
                  <c:v>228.17</c:v>
                </c:pt>
                <c:pt idx="909">
                  <c:v>227.42</c:v>
                </c:pt>
                <c:pt idx="910">
                  <c:v>227.44</c:v>
                </c:pt>
                <c:pt idx="911">
                  <c:v>234.25</c:v>
                </c:pt>
                <c:pt idx="912">
                  <c:v>240.59</c:v>
                </c:pt>
                <c:pt idx="913">
                  <c:v>244.01</c:v>
                </c:pt>
                <c:pt idx="914">
                  <c:v>235.7</c:v>
                </c:pt>
                <c:pt idx="915">
                  <c:v>228.27</c:v>
                </c:pt>
                <c:pt idx="916">
                  <c:v>242.9</c:v>
                </c:pt>
                <c:pt idx="917">
                  <c:v>238.81</c:v>
                </c:pt>
                <c:pt idx="918">
                  <c:v>244.9</c:v>
                </c:pt>
                <c:pt idx="919">
                  <c:v>236.64</c:v>
                </c:pt>
                <c:pt idx="920">
                  <c:v>238.11</c:v>
                </c:pt>
                <c:pt idx="921">
                  <c:v>235.89</c:v>
                </c:pt>
                <c:pt idx="922">
                  <c:v>235.38</c:v>
                </c:pt>
                <c:pt idx="923">
                  <c:v>234.5</c:v>
                </c:pt>
                <c:pt idx="924">
                  <c:v>239.6</c:v>
                </c:pt>
                <c:pt idx="925">
                  <c:v>233.9</c:v>
                </c:pt>
                <c:pt idx="926">
                  <c:v>241</c:v>
                </c:pt>
                <c:pt idx="927">
                  <c:v>237.81</c:v>
                </c:pt>
                <c:pt idx="928">
                  <c:v>241.89</c:v>
                </c:pt>
                <c:pt idx="929">
                  <c:v>239.31</c:v>
                </c:pt>
                <c:pt idx="930">
                  <c:v>238.88</c:v>
                </c:pt>
                <c:pt idx="931">
                  <c:v>236.24</c:v>
                </c:pt>
                <c:pt idx="932">
                  <c:v>240.07</c:v>
                </c:pt>
                <c:pt idx="933">
                  <c:v>242.77</c:v>
                </c:pt>
                <c:pt idx="934">
                  <c:v>241.52</c:v>
                </c:pt>
                <c:pt idx="935">
                  <c:v>238.39</c:v>
                </c:pt>
                <c:pt idx="936">
                  <c:v>239.22</c:v>
                </c:pt>
                <c:pt idx="937">
                  <c:v>238.32</c:v>
                </c:pt>
                <c:pt idx="938">
                  <c:v>235.68</c:v>
                </c:pt>
                <c:pt idx="939">
                  <c:v>234.54</c:v>
                </c:pt>
                <c:pt idx="940">
                  <c:v>229.5</c:v>
                </c:pt>
                <c:pt idx="941">
                  <c:v>228.67</c:v>
                </c:pt>
                <c:pt idx="942">
                  <c:v>239.63</c:v>
                </c:pt>
                <c:pt idx="943">
                  <c:v>234.01</c:v>
                </c:pt>
                <c:pt idx="944">
                  <c:v>230.58</c:v>
                </c:pt>
                <c:pt idx="945">
                  <c:v>232.16</c:v>
                </c:pt>
                <c:pt idx="946">
                  <c:v>224.28</c:v>
                </c:pt>
                <c:pt idx="947">
                  <c:v>227.09</c:v>
                </c:pt>
                <c:pt idx="948">
                  <c:v>216.08</c:v>
                </c:pt>
                <c:pt idx="949">
                  <c:v>210.45</c:v>
                </c:pt>
                <c:pt idx="950">
                  <c:v>210.4</c:v>
                </c:pt>
                <c:pt idx="951">
                  <c:v>215.92</c:v>
                </c:pt>
                <c:pt idx="952">
                  <c:v>218.92</c:v>
                </c:pt>
                <c:pt idx="953">
                  <c:v>223.35</c:v>
                </c:pt>
                <c:pt idx="954">
                  <c:v>226.54</c:v>
                </c:pt>
                <c:pt idx="955">
                  <c:v>225.76</c:v>
                </c:pt>
                <c:pt idx="956">
                  <c:v>228.3</c:v>
                </c:pt>
                <c:pt idx="957">
                  <c:v>218.75</c:v>
                </c:pt>
                <c:pt idx="958">
                  <c:v>217.57</c:v>
                </c:pt>
                <c:pt idx="959">
                  <c:v>219.88</c:v>
                </c:pt>
                <c:pt idx="960">
                  <c:v>218.61</c:v>
                </c:pt>
                <c:pt idx="961">
                  <c:v>210.04</c:v>
                </c:pt>
                <c:pt idx="962">
                  <c:v>205.24</c:v>
                </c:pt>
                <c:pt idx="963">
                  <c:v>208.96</c:v>
                </c:pt>
                <c:pt idx="964">
                  <c:v>223.35</c:v>
                </c:pt>
                <c:pt idx="965">
                  <c:v>214.44</c:v>
                </c:pt>
                <c:pt idx="966">
                  <c:v>209.91</c:v>
                </c:pt>
                <c:pt idx="967">
                  <c:v>200.53</c:v>
                </c:pt>
                <c:pt idx="968">
                  <c:v>203.1</c:v>
                </c:pt>
                <c:pt idx="969">
                  <c:v>208.46</c:v>
                </c:pt>
                <c:pt idx="970">
                  <c:v>204.84</c:v>
                </c:pt>
                <c:pt idx="971">
                  <c:v>210.19</c:v>
                </c:pt>
                <c:pt idx="972">
                  <c:v>212.51</c:v>
                </c:pt>
                <c:pt idx="973">
                  <c:v>206.27</c:v>
                </c:pt>
                <c:pt idx="974">
                  <c:v>207.28</c:v>
                </c:pt>
                <c:pt idx="975">
                  <c:v>212.35</c:v>
                </c:pt>
                <c:pt idx="976">
                  <c:v>205.95</c:v>
                </c:pt>
                <c:pt idx="977">
                  <c:v>200.81</c:v>
                </c:pt>
                <c:pt idx="978">
                  <c:v>202.15</c:v>
                </c:pt>
                <c:pt idx="979">
                  <c:v>203.09</c:v>
                </c:pt>
                <c:pt idx="980">
                  <c:v>198.02</c:v>
                </c:pt>
                <c:pt idx="981">
                  <c:v>187.65</c:v>
                </c:pt>
                <c:pt idx="982">
                  <c:v>187.42</c:v>
                </c:pt>
                <c:pt idx="983">
                  <c:v>179.47</c:v>
                </c:pt>
                <c:pt idx="984">
                  <c:v>187.98</c:v>
                </c:pt>
                <c:pt idx="985">
                  <c:v>183.35</c:v>
                </c:pt>
                <c:pt idx="986">
                  <c:v>176.75</c:v>
                </c:pt>
                <c:pt idx="987">
                  <c:v>180.58</c:v>
                </c:pt>
                <c:pt idx="988">
                  <c:v>174.26</c:v>
                </c:pt>
                <c:pt idx="989">
                  <c:v>182.84</c:v>
                </c:pt>
                <c:pt idx="990">
                  <c:v>193.56</c:v>
                </c:pt>
                <c:pt idx="991">
                  <c:v>194.88</c:v>
                </c:pt>
                <c:pt idx="992">
                  <c:v>197.6</c:v>
                </c:pt>
                <c:pt idx="993">
                  <c:v>200.18</c:v>
                </c:pt>
                <c:pt idx="994">
                  <c:v>196.64</c:v>
                </c:pt>
                <c:pt idx="995">
                  <c:v>194.3</c:v>
                </c:pt>
                <c:pt idx="996">
                  <c:v>192.77</c:v>
                </c:pt>
                <c:pt idx="997">
                  <c:v>187.16</c:v>
                </c:pt>
                <c:pt idx="998">
                  <c:v>193.55</c:v>
                </c:pt>
                <c:pt idx="999">
                  <c:v>191.37</c:v>
                </c:pt>
                <c:pt idx="1000">
                  <c:v>193.14</c:v>
                </c:pt>
                <c:pt idx="1001">
                  <c:v>193.89</c:v>
                </c:pt>
                <c:pt idx="1002">
                  <c:v>187.01</c:v>
                </c:pt>
                <c:pt idx="1003">
                  <c:v>180.86</c:v>
                </c:pt>
                <c:pt idx="1004">
                  <c:v>179.93</c:v>
                </c:pt>
              </c:numCache>
            </c:numRef>
          </c:val>
          <c:smooth val="0"/>
          <c:extLst>
            <c:ext xmlns:c16="http://schemas.microsoft.com/office/drawing/2014/chart" uri="{C3380CC4-5D6E-409C-BE32-E72D297353CC}">
              <c16:uniqueId val="{00000000-9FE7-4AC8-AC87-070F4FA41035}"/>
            </c:ext>
          </c:extLst>
        </c:ser>
        <c:dLbls>
          <c:showLegendKey val="0"/>
          <c:showVal val="0"/>
          <c:showCatName val="0"/>
          <c:showSerName val="0"/>
          <c:showPercent val="0"/>
          <c:showBubbleSize val="0"/>
        </c:dLbls>
        <c:smooth val="0"/>
        <c:axId val="576134544"/>
        <c:axId val="576131184"/>
      </c:lineChart>
      <c:dateAx>
        <c:axId val="576134544"/>
        <c:scaling>
          <c:orientation val="minMax"/>
        </c:scaling>
        <c:delete val="0"/>
        <c:axPos val="b"/>
        <c:numFmt formatCode="[$-409]mmm\-dd\-yyyy;@"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131184"/>
        <c:crosses val="autoZero"/>
        <c:auto val="1"/>
        <c:lblOffset val="100"/>
        <c:baseTimeUnit val="days"/>
      </c:dateAx>
      <c:valAx>
        <c:axId val="5761311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134544"/>
        <c:crosses val="autoZero"/>
        <c:crossBetween val="between"/>
      </c:valAx>
      <c:spPr>
        <a:noFill/>
        <a:ln>
          <a:noFill/>
        </a:ln>
        <a:effectLst/>
      </c:spPr>
    </c:plotArea>
    <c:legend>
      <c:legendPos val="r"/>
      <c:layout>
        <c:manualLayout>
          <c:xMode val="edge"/>
          <c:yMode val="edge"/>
          <c:x val="0.81171354993055245"/>
          <c:y val="2.7139552471195341E-2"/>
          <c:w val="0.12002564558480859"/>
          <c:h val="4.7669835773351973E-2"/>
        </c:manualLayout>
      </c:layout>
      <c:overlay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Risk</a:t>
            </a:r>
            <a:r>
              <a:rPr lang="en-US" baseline="0"/>
              <a:t> Free Rate Benchmark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7238001053864463E-2"/>
          <c:y val="8.514237821741566E-2"/>
          <c:w val="0.94390873833444444"/>
          <c:h val="0.84904703857036701"/>
        </c:manualLayout>
      </c:layout>
      <c:lineChart>
        <c:grouping val="standard"/>
        <c:varyColors val="0"/>
        <c:ser>
          <c:idx val="0"/>
          <c:order val="0"/>
          <c:tx>
            <c:strRef>
              <c:f>Data!$R$37</c:f>
              <c:strCache>
                <c:ptCount val="1"/>
                <c:pt idx="0">
                  <c:v>Risk Free Rate (Treasury Constant Maturity - 10 Year)</c:v>
                </c:pt>
              </c:strCache>
            </c:strRef>
          </c:tx>
          <c:spPr>
            <a:ln w="19050" cap="rnd">
              <a:solidFill>
                <a:schemeClr val="accent1"/>
              </a:solidFill>
              <a:round/>
            </a:ln>
            <a:effectLst/>
          </c:spPr>
          <c:marker>
            <c:symbol val="none"/>
          </c:marker>
          <c:cat>
            <c:numRef>
              <c:f>Data!$Q$38:$Q$2287</c:f>
              <c:numCache>
                <c:formatCode>[$-409]mmm\-dd\-yyyy;@</c:formatCode>
                <c:ptCount val="2250"/>
                <c:pt idx="0">
                  <c:v>42373</c:v>
                </c:pt>
                <c:pt idx="1">
                  <c:v>42374</c:v>
                </c:pt>
                <c:pt idx="2">
                  <c:v>42375</c:v>
                </c:pt>
                <c:pt idx="3">
                  <c:v>42376</c:v>
                </c:pt>
                <c:pt idx="4">
                  <c:v>42377</c:v>
                </c:pt>
                <c:pt idx="5">
                  <c:v>42380</c:v>
                </c:pt>
                <c:pt idx="6">
                  <c:v>42381</c:v>
                </c:pt>
                <c:pt idx="7">
                  <c:v>42382</c:v>
                </c:pt>
                <c:pt idx="8">
                  <c:v>42383</c:v>
                </c:pt>
                <c:pt idx="9">
                  <c:v>42384</c:v>
                </c:pt>
                <c:pt idx="10">
                  <c:v>42388</c:v>
                </c:pt>
                <c:pt idx="11">
                  <c:v>42389</c:v>
                </c:pt>
                <c:pt idx="12">
                  <c:v>42390</c:v>
                </c:pt>
                <c:pt idx="13">
                  <c:v>42391</c:v>
                </c:pt>
                <c:pt idx="14">
                  <c:v>42394</c:v>
                </c:pt>
                <c:pt idx="15">
                  <c:v>42395</c:v>
                </c:pt>
                <c:pt idx="16">
                  <c:v>42396</c:v>
                </c:pt>
                <c:pt idx="17">
                  <c:v>42397</c:v>
                </c:pt>
                <c:pt idx="18">
                  <c:v>42398</c:v>
                </c:pt>
                <c:pt idx="19">
                  <c:v>42401</c:v>
                </c:pt>
                <c:pt idx="20">
                  <c:v>42402</c:v>
                </c:pt>
                <c:pt idx="21">
                  <c:v>42403</c:v>
                </c:pt>
                <c:pt idx="22">
                  <c:v>42404</c:v>
                </c:pt>
                <c:pt idx="23">
                  <c:v>42405</c:v>
                </c:pt>
                <c:pt idx="24">
                  <c:v>42408</c:v>
                </c:pt>
                <c:pt idx="25">
                  <c:v>42409</c:v>
                </c:pt>
                <c:pt idx="26">
                  <c:v>42410</c:v>
                </c:pt>
                <c:pt idx="27">
                  <c:v>42411</c:v>
                </c:pt>
                <c:pt idx="28">
                  <c:v>42412</c:v>
                </c:pt>
                <c:pt idx="29">
                  <c:v>42416</c:v>
                </c:pt>
                <c:pt idx="30">
                  <c:v>42417</c:v>
                </c:pt>
                <c:pt idx="31">
                  <c:v>42418</c:v>
                </c:pt>
                <c:pt idx="32">
                  <c:v>42419</c:v>
                </c:pt>
                <c:pt idx="33">
                  <c:v>42422</c:v>
                </c:pt>
                <c:pt idx="34">
                  <c:v>42423</c:v>
                </c:pt>
                <c:pt idx="35">
                  <c:v>42424</c:v>
                </c:pt>
                <c:pt idx="36">
                  <c:v>42425</c:v>
                </c:pt>
                <c:pt idx="37">
                  <c:v>42426</c:v>
                </c:pt>
                <c:pt idx="38">
                  <c:v>42429</c:v>
                </c:pt>
                <c:pt idx="39">
                  <c:v>42430</c:v>
                </c:pt>
                <c:pt idx="40">
                  <c:v>42431</c:v>
                </c:pt>
                <c:pt idx="41">
                  <c:v>42432</c:v>
                </c:pt>
                <c:pt idx="42">
                  <c:v>42433</c:v>
                </c:pt>
                <c:pt idx="43">
                  <c:v>42436</c:v>
                </c:pt>
                <c:pt idx="44">
                  <c:v>42437</c:v>
                </c:pt>
                <c:pt idx="45">
                  <c:v>42438</c:v>
                </c:pt>
                <c:pt idx="46">
                  <c:v>42439</c:v>
                </c:pt>
                <c:pt idx="47">
                  <c:v>42440</c:v>
                </c:pt>
                <c:pt idx="48">
                  <c:v>42443</c:v>
                </c:pt>
                <c:pt idx="49">
                  <c:v>42444</c:v>
                </c:pt>
                <c:pt idx="50">
                  <c:v>42445</c:v>
                </c:pt>
                <c:pt idx="51">
                  <c:v>42446</c:v>
                </c:pt>
                <c:pt idx="52">
                  <c:v>42447</c:v>
                </c:pt>
                <c:pt idx="53">
                  <c:v>42450</c:v>
                </c:pt>
                <c:pt idx="54">
                  <c:v>42451</c:v>
                </c:pt>
                <c:pt idx="55">
                  <c:v>42452</c:v>
                </c:pt>
                <c:pt idx="56">
                  <c:v>42453</c:v>
                </c:pt>
                <c:pt idx="57">
                  <c:v>42457</c:v>
                </c:pt>
                <c:pt idx="58">
                  <c:v>42458</c:v>
                </c:pt>
                <c:pt idx="59">
                  <c:v>42459</c:v>
                </c:pt>
                <c:pt idx="60">
                  <c:v>42460</c:v>
                </c:pt>
                <c:pt idx="61">
                  <c:v>42461</c:v>
                </c:pt>
                <c:pt idx="62">
                  <c:v>42464</c:v>
                </c:pt>
                <c:pt idx="63">
                  <c:v>42465</c:v>
                </c:pt>
                <c:pt idx="64">
                  <c:v>42466</c:v>
                </c:pt>
                <c:pt idx="65">
                  <c:v>42467</c:v>
                </c:pt>
                <c:pt idx="66">
                  <c:v>42468</c:v>
                </c:pt>
                <c:pt idx="67">
                  <c:v>42471</c:v>
                </c:pt>
                <c:pt idx="68">
                  <c:v>42472</c:v>
                </c:pt>
                <c:pt idx="69">
                  <c:v>42473</c:v>
                </c:pt>
                <c:pt idx="70">
                  <c:v>42474</c:v>
                </c:pt>
                <c:pt idx="71">
                  <c:v>42475</c:v>
                </c:pt>
                <c:pt idx="72">
                  <c:v>42478</c:v>
                </c:pt>
                <c:pt idx="73">
                  <c:v>42479</c:v>
                </c:pt>
                <c:pt idx="74">
                  <c:v>42480</c:v>
                </c:pt>
                <c:pt idx="75">
                  <c:v>42481</c:v>
                </c:pt>
                <c:pt idx="76">
                  <c:v>42482</c:v>
                </c:pt>
                <c:pt idx="77">
                  <c:v>42485</c:v>
                </c:pt>
                <c:pt idx="78">
                  <c:v>42486</c:v>
                </c:pt>
                <c:pt idx="79">
                  <c:v>42487</c:v>
                </c:pt>
                <c:pt idx="80">
                  <c:v>42488</c:v>
                </c:pt>
                <c:pt idx="81">
                  <c:v>42489</c:v>
                </c:pt>
                <c:pt idx="82">
                  <c:v>42492</c:v>
                </c:pt>
                <c:pt idx="83">
                  <c:v>42493</c:v>
                </c:pt>
                <c:pt idx="84">
                  <c:v>42494</c:v>
                </c:pt>
                <c:pt idx="85">
                  <c:v>42495</c:v>
                </c:pt>
                <c:pt idx="86">
                  <c:v>42496</c:v>
                </c:pt>
                <c:pt idx="87">
                  <c:v>42499</c:v>
                </c:pt>
                <c:pt idx="88">
                  <c:v>42500</c:v>
                </c:pt>
                <c:pt idx="89">
                  <c:v>42501</c:v>
                </c:pt>
                <c:pt idx="90">
                  <c:v>42502</c:v>
                </c:pt>
                <c:pt idx="91">
                  <c:v>42503</c:v>
                </c:pt>
                <c:pt idx="92">
                  <c:v>42506</c:v>
                </c:pt>
                <c:pt idx="93">
                  <c:v>42507</c:v>
                </c:pt>
                <c:pt idx="94">
                  <c:v>42508</c:v>
                </c:pt>
                <c:pt idx="95">
                  <c:v>42509</c:v>
                </c:pt>
                <c:pt idx="96">
                  <c:v>42510</c:v>
                </c:pt>
                <c:pt idx="97">
                  <c:v>42513</c:v>
                </c:pt>
                <c:pt idx="98">
                  <c:v>42514</c:v>
                </c:pt>
                <c:pt idx="99">
                  <c:v>42515</c:v>
                </c:pt>
                <c:pt idx="100">
                  <c:v>42516</c:v>
                </c:pt>
                <c:pt idx="101">
                  <c:v>42517</c:v>
                </c:pt>
                <c:pt idx="102">
                  <c:v>42521</c:v>
                </c:pt>
                <c:pt idx="103">
                  <c:v>42522</c:v>
                </c:pt>
                <c:pt idx="104">
                  <c:v>42523</c:v>
                </c:pt>
                <c:pt idx="105">
                  <c:v>42524</c:v>
                </c:pt>
                <c:pt idx="106">
                  <c:v>42527</c:v>
                </c:pt>
                <c:pt idx="107">
                  <c:v>42528</c:v>
                </c:pt>
                <c:pt idx="108">
                  <c:v>42529</c:v>
                </c:pt>
                <c:pt idx="109">
                  <c:v>42530</c:v>
                </c:pt>
                <c:pt idx="110">
                  <c:v>42531</c:v>
                </c:pt>
                <c:pt idx="111">
                  <c:v>42534</c:v>
                </c:pt>
                <c:pt idx="112">
                  <c:v>42535</c:v>
                </c:pt>
                <c:pt idx="113">
                  <c:v>42536</c:v>
                </c:pt>
                <c:pt idx="114">
                  <c:v>42537</c:v>
                </c:pt>
                <c:pt idx="115">
                  <c:v>42538</c:v>
                </c:pt>
                <c:pt idx="116">
                  <c:v>42541</c:v>
                </c:pt>
                <c:pt idx="117">
                  <c:v>42542</c:v>
                </c:pt>
                <c:pt idx="118">
                  <c:v>42543</c:v>
                </c:pt>
                <c:pt idx="119">
                  <c:v>42544</c:v>
                </c:pt>
                <c:pt idx="120">
                  <c:v>42545</c:v>
                </c:pt>
                <c:pt idx="121">
                  <c:v>42548</c:v>
                </c:pt>
                <c:pt idx="122">
                  <c:v>42549</c:v>
                </c:pt>
                <c:pt idx="123">
                  <c:v>42550</c:v>
                </c:pt>
                <c:pt idx="124">
                  <c:v>42551</c:v>
                </c:pt>
                <c:pt idx="125">
                  <c:v>42552</c:v>
                </c:pt>
                <c:pt idx="126">
                  <c:v>42556</c:v>
                </c:pt>
                <c:pt idx="127">
                  <c:v>42557</c:v>
                </c:pt>
                <c:pt idx="128">
                  <c:v>42558</c:v>
                </c:pt>
                <c:pt idx="129">
                  <c:v>42559</c:v>
                </c:pt>
                <c:pt idx="130">
                  <c:v>42562</c:v>
                </c:pt>
                <c:pt idx="131">
                  <c:v>42563</c:v>
                </c:pt>
                <c:pt idx="132">
                  <c:v>42564</c:v>
                </c:pt>
                <c:pt idx="133">
                  <c:v>42565</c:v>
                </c:pt>
                <c:pt idx="134">
                  <c:v>42566</c:v>
                </c:pt>
                <c:pt idx="135">
                  <c:v>42569</c:v>
                </c:pt>
                <c:pt idx="136">
                  <c:v>42570</c:v>
                </c:pt>
                <c:pt idx="137">
                  <c:v>42571</c:v>
                </c:pt>
                <c:pt idx="138">
                  <c:v>42572</c:v>
                </c:pt>
                <c:pt idx="139">
                  <c:v>42573</c:v>
                </c:pt>
                <c:pt idx="140">
                  <c:v>42576</c:v>
                </c:pt>
                <c:pt idx="141">
                  <c:v>42577</c:v>
                </c:pt>
                <c:pt idx="142">
                  <c:v>42578</c:v>
                </c:pt>
                <c:pt idx="143">
                  <c:v>42579</c:v>
                </c:pt>
                <c:pt idx="144">
                  <c:v>42580</c:v>
                </c:pt>
                <c:pt idx="145">
                  <c:v>42583</c:v>
                </c:pt>
                <c:pt idx="146">
                  <c:v>42584</c:v>
                </c:pt>
                <c:pt idx="147">
                  <c:v>42585</c:v>
                </c:pt>
                <c:pt idx="148">
                  <c:v>42586</c:v>
                </c:pt>
                <c:pt idx="149">
                  <c:v>42587</c:v>
                </c:pt>
                <c:pt idx="150">
                  <c:v>42590</c:v>
                </c:pt>
                <c:pt idx="151">
                  <c:v>42591</c:v>
                </c:pt>
                <c:pt idx="152">
                  <c:v>42592</c:v>
                </c:pt>
                <c:pt idx="153">
                  <c:v>42593</c:v>
                </c:pt>
                <c:pt idx="154">
                  <c:v>42594</c:v>
                </c:pt>
                <c:pt idx="155">
                  <c:v>42597</c:v>
                </c:pt>
                <c:pt idx="156">
                  <c:v>42598</c:v>
                </c:pt>
                <c:pt idx="157">
                  <c:v>42599</c:v>
                </c:pt>
                <c:pt idx="158">
                  <c:v>42600</c:v>
                </c:pt>
                <c:pt idx="159">
                  <c:v>42601</c:v>
                </c:pt>
                <c:pt idx="160">
                  <c:v>42604</c:v>
                </c:pt>
                <c:pt idx="161">
                  <c:v>42605</c:v>
                </c:pt>
                <c:pt idx="162">
                  <c:v>42606</c:v>
                </c:pt>
                <c:pt idx="163">
                  <c:v>42607</c:v>
                </c:pt>
                <c:pt idx="164">
                  <c:v>42608</c:v>
                </c:pt>
                <c:pt idx="165">
                  <c:v>42611</c:v>
                </c:pt>
                <c:pt idx="166">
                  <c:v>42612</c:v>
                </c:pt>
                <c:pt idx="167">
                  <c:v>42613</c:v>
                </c:pt>
                <c:pt idx="168">
                  <c:v>42614</c:v>
                </c:pt>
                <c:pt idx="169">
                  <c:v>42615</c:v>
                </c:pt>
                <c:pt idx="170">
                  <c:v>42619</c:v>
                </c:pt>
                <c:pt idx="171">
                  <c:v>42620</c:v>
                </c:pt>
                <c:pt idx="172">
                  <c:v>42621</c:v>
                </c:pt>
                <c:pt idx="173">
                  <c:v>42622</c:v>
                </c:pt>
                <c:pt idx="174">
                  <c:v>42625</c:v>
                </c:pt>
                <c:pt idx="175">
                  <c:v>42626</c:v>
                </c:pt>
                <c:pt idx="176">
                  <c:v>42627</c:v>
                </c:pt>
                <c:pt idx="177">
                  <c:v>42628</c:v>
                </c:pt>
                <c:pt idx="178">
                  <c:v>42629</c:v>
                </c:pt>
                <c:pt idx="179">
                  <c:v>42632</c:v>
                </c:pt>
                <c:pt idx="180">
                  <c:v>42633</c:v>
                </c:pt>
                <c:pt idx="181">
                  <c:v>42634</c:v>
                </c:pt>
                <c:pt idx="182">
                  <c:v>42635</c:v>
                </c:pt>
                <c:pt idx="183">
                  <c:v>42636</c:v>
                </c:pt>
                <c:pt idx="184">
                  <c:v>42639</c:v>
                </c:pt>
                <c:pt idx="185">
                  <c:v>42640</c:v>
                </c:pt>
                <c:pt idx="186">
                  <c:v>42641</c:v>
                </c:pt>
                <c:pt idx="187">
                  <c:v>42642</c:v>
                </c:pt>
                <c:pt idx="188">
                  <c:v>42643</c:v>
                </c:pt>
                <c:pt idx="189">
                  <c:v>42646</c:v>
                </c:pt>
                <c:pt idx="190">
                  <c:v>42647</c:v>
                </c:pt>
                <c:pt idx="191">
                  <c:v>42648</c:v>
                </c:pt>
                <c:pt idx="192">
                  <c:v>42649</c:v>
                </c:pt>
                <c:pt idx="193">
                  <c:v>42650</c:v>
                </c:pt>
                <c:pt idx="194">
                  <c:v>42654</c:v>
                </c:pt>
                <c:pt idx="195">
                  <c:v>42655</c:v>
                </c:pt>
                <c:pt idx="196">
                  <c:v>42656</c:v>
                </c:pt>
                <c:pt idx="197">
                  <c:v>42657</c:v>
                </c:pt>
                <c:pt idx="198">
                  <c:v>42660</c:v>
                </c:pt>
                <c:pt idx="199">
                  <c:v>42661</c:v>
                </c:pt>
                <c:pt idx="200">
                  <c:v>42662</c:v>
                </c:pt>
                <c:pt idx="201">
                  <c:v>42663</c:v>
                </c:pt>
                <c:pt idx="202">
                  <c:v>42664</c:v>
                </c:pt>
                <c:pt idx="203">
                  <c:v>42667</c:v>
                </c:pt>
                <c:pt idx="204">
                  <c:v>42668</c:v>
                </c:pt>
                <c:pt idx="205">
                  <c:v>42669</c:v>
                </c:pt>
                <c:pt idx="206">
                  <c:v>42670</c:v>
                </c:pt>
                <c:pt idx="207">
                  <c:v>42671</c:v>
                </c:pt>
                <c:pt idx="208">
                  <c:v>42674</c:v>
                </c:pt>
                <c:pt idx="209">
                  <c:v>42675</c:v>
                </c:pt>
                <c:pt idx="210">
                  <c:v>42676</c:v>
                </c:pt>
                <c:pt idx="211">
                  <c:v>42677</c:v>
                </c:pt>
                <c:pt idx="212">
                  <c:v>42678</c:v>
                </c:pt>
                <c:pt idx="213">
                  <c:v>42681</c:v>
                </c:pt>
                <c:pt idx="214">
                  <c:v>42682</c:v>
                </c:pt>
                <c:pt idx="215">
                  <c:v>42683</c:v>
                </c:pt>
                <c:pt idx="216">
                  <c:v>42684</c:v>
                </c:pt>
                <c:pt idx="217">
                  <c:v>42688</c:v>
                </c:pt>
                <c:pt idx="218">
                  <c:v>42689</c:v>
                </c:pt>
                <c:pt idx="219">
                  <c:v>42690</c:v>
                </c:pt>
                <c:pt idx="220">
                  <c:v>42691</c:v>
                </c:pt>
                <c:pt idx="221">
                  <c:v>42692</c:v>
                </c:pt>
                <c:pt idx="222">
                  <c:v>42695</c:v>
                </c:pt>
                <c:pt idx="223">
                  <c:v>42696</c:v>
                </c:pt>
                <c:pt idx="224">
                  <c:v>42697</c:v>
                </c:pt>
                <c:pt idx="225">
                  <c:v>42699</c:v>
                </c:pt>
                <c:pt idx="226">
                  <c:v>42702</c:v>
                </c:pt>
                <c:pt idx="227">
                  <c:v>42703</c:v>
                </c:pt>
                <c:pt idx="228">
                  <c:v>42704</c:v>
                </c:pt>
                <c:pt idx="229">
                  <c:v>42705</c:v>
                </c:pt>
                <c:pt idx="230">
                  <c:v>42706</c:v>
                </c:pt>
                <c:pt idx="231">
                  <c:v>42709</c:v>
                </c:pt>
                <c:pt idx="232">
                  <c:v>42710</c:v>
                </c:pt>
                <c:pt idx="233">
                  <c:v>42711</c:v>
                </c:pt>
                <c:pt idx="234">
                  <c:v>42712</c:v>
                </c:pt>
                <c:pt idx="235">
                  <c:v>42713</c:v>
                </c:pt>
                <c:pt idx="236">
                  <c:v>42716</c:v>
                </c:pt>
                <c:pt idx="237">
                  <c:v>42717</c:v>
                </c:pt>
                <c:pt idx="238">
                  <c:v>42718</c:v>
                </c:pt>
                <c:pt idx="239">
                  <c:v>42719</c:v>
                </c:pt>
                <c:pt idx="240">
                  <c:v>42720</c:v>
                </c:pt>
                <c:pt idx="241">
                  <c:v>42723</c:v>
                </c:pt>
                <c:pt idx="242">
                  <c:v>42724</c:v>
                </c:pt>
                <c:pt idx="243">
                  <c:v>42725</c:v>
                </c:pt>
                <c:pt idx="244">
                  <c:v>42726</c:v>
                </c:pt>
                <c:pt idx="245">
                  <c:v>42727</c:v>
                </c:pt>
                <c:pt idx="246">
                  <c:v>42731</c:v>
                </c:pt>
                <c:pt idx="247">
                  <c:v>42732</c:v>
                </c:pt>
                <c:pt idx="248">
                  <c:v>42733</c:v>
                </c:pt>
                <c:pt idx="249">
                  <c:v>42734</c:v>
                </c:pt>
                <c:pt idx="250">
                  <c:v>42738</c:v>
                </c:pt>
                <c:pt idx="251">
                  <c:v>42739</c:v>
                </c:pt>
                <c:pt idx="252">
                  <c:v>42740</c:v>
                </c:pt>
                <c:pt idx="253">
                  <c:v>42741</c:v>
                </c:pt>
                <c:pt idx="254">
                  <c:v>42744</c:v>
                </c:pt>
                <c:pt idx="255">
                  <c:v>42745</c:v>
                </c:pt>
                <c:pt idx="256">
                  <c:v>42746</c:v>
                </c:pt>
                <c:pt idx="257">
                  <c:v>42747</c:v>
                </c:pt>
                <c:pt idx="258">
                  <c:v>42748</c:v>
                </c:pt>
                <c:pt idx="259">
                  <c:v>42752</c:v>
                </c:pt>
                <c:pt idx="260">
                  <c:v>42753</c:v>
                </c:pt>
                <c:pt idx="261">
                  <c:v>42754</c:v>
                </c:pt>
                <c:pt idx="262">
                  <c:v>42755</c:v>
                </c:pt>
                <c:pt idx="263">
                  <c:v>42758</c:v>
                </c:pt>
                <c:pt idx="264">
                  <c:v>42759</c:v>
                </c:pt>
                <c:pt idx="265">
                  <c:v>42760</c:v>
                </c:pt>
                <c:pt idx="266">
                  <c:v>42761</c:v>
                </c:pt>
                <c:pt idx="267">
                  <c:v>42762</c:v>
                </c:pt>
                <c:pt idx="268">
                  <c:v>42765</c:v>
                </c:pt>
                <c:pt idx="269">
                  <c:v>42766</c:v>
                </c:pt>
                <c:pt idx="270">
                  <c:v>42767</c:v>
                </c:pt>
                <c:pt idx="271">
                  <c:v>42768</c:v>
                </c:pt>
                <c:pt idx="272">
                  <c:v>42769</c:v>
                </c:pt>
                <c:pt idx="273">
                  <c:v>42772</c:v>
                </c:pt>
                <c:pt idx="274">
                  <c:v>42773</c:v>
                </c:pt>
                <c:pt idx="275">
                  <c:v>42774</c:v>
                </c:pt>
                <c:pt idx="276">
                  <c:v>42775</c:v>
                </c:pt>
                <c:pt idx="277">
                  <c:v>42776</c:v>
                </c:pt>
                <c:pt idx="278">
                  <c:v>42779</c:v>
                </c:pt>
                <c:pt idx="279">
                  <c:v>42780</c:v>
                </c:pt>
                <c:pt idx="280">
                  <c:v>42781</c:v>
                </c:pt>
                <c:pt idx="281">
                  <c:v>42782</c:v>
                </c:pt>
                <c:pt idx="282">
                  <c:v>42783</c:v>
                </c:pt>
                <c:pt idx="283">
                  <c:v>42787</c:v>
                </c:pt>
                <c:pt idx="284">
                  <c:v>42788</c:v>
                </c:pt>
                <c:pt idx="285">
                  <c:v>42789</c:v>
                </c:pt>
                <c:pt idx="286">
                  <c:v>42790</c:v>
                </c:pt>
                <c:pt idx="287">
                  <c:v>42793</c:v>
                </c:pt>
                <c:pt idx="288">
                  <c:v>42794</c:v>
                </c:pt>
                <c:pt idx="289">
                  <c:v>42795</c:v>
                </c:pt>
                <c:pt idx="290">
                  <c:v>42796</c:v>
                </c:pt>
                <c:pt idx="291">
                  <c:v>42797</c:v>
                </c:pt>
                <c:pt idx="292">
                  <c:v>42800</c:v>
                </c:pt>
                <c:pt idx="293">
                  <c:v>42801</c:v>
                </c:pt>
                <c:pt idx="294">
                  <c:v>42802</c:v>
                </c:pt>
                <c:pt idx="295">
                  <c:v>42803</c:v>
                </c:pt>
                <c:pt idx="296">
                  <c:v>42804</c:v>
                </c:pt>
                <c:pt idx="297">
                  <c:v>42807</c:v>
                </c:pt>
                <c:pt idx="298">
                  <c:v>42808</c:v>
                </c:pt>
                <c:pt idx="299">
                  <c:v>42809</c:v>
                </c:pt>
                <c:pt idx="300">
                  <c:v>42810</c:v>
                </c:pt>
                <c:pt idx="301">
                  <c:v>42811</c:v>
                </c:pt>
                <c:pt idx="302">
                  <c:v>42814</c:v>
                </c:pt>
                <c:pt idx="303">
                  <c:v>42815</c:v>
                </c:pt>
                <c:pt idx="304">
                  <c:v>42816</c:v>
                </c:pt>
                <c:pt idx="305">
                  <c:v>42817</c:v>
                </c:pt>
                <c:pt idx="306">
                  <c:v>42818</c:v>
                </c:pt>
                <c:pt idx="307">
                  <c:v>42821</c:v>
                </c:pt>
                <c:pt idx="308">
                  <c:v>42822</c:v>
                </c:pt>
                <c:pt idx="309">
                  <c:v>42823</c:v>
                </c:pt>
                <c:pt idx="310">
                  <c:v>42824</c:v>
                </c:pt>
                <c:pt idx="311">
                  <c:v>42825</c:v>
                </c:pt>
                <c:pt idx="312">
                  <c:v>42828</c:v>
                </c:pt>
                <c:pt idx="313">
                  <c:v>42829</c:v>
                </c:pt>
                <c:pt idx="314">
                  <c:v>42830</c:v>
                </c:pt>
                <c:pt idx="315">
                  <c:v>42831</c:v>
                </c:pt>
                <c:pt idx="316">
                  <c:v>42832</c:v>
                </c:pt>
                <c:pt idx="317">
                  <c:v>42835</c:v>
                </c:pt>
                <c:pt idx="318">
                  <c:v>42836</c:v>
                </c:pt>
                <c:pt idx="319">
                  <c:v>42837</c:v>
                </c:pt>
                <c:pt idx="320">
                  <c:v>42838</c:v>
                </c:pt>
                <c:pt idx="321">
                  <c:v>42842</c:v>
                </c:pt>
                <c:pt idx="322">
                  <c:v>42843</c:v>
                </c:pt>
                <c:pt idx="323">
                  <c:v>42844</c:v>
                </c:pt>
                <c:pt idx="324">
                  <c:v>42845</c:v>
                </c:pt>
                <c:pt idx="325">
                  <c:v>42846</c:v>
                </c:pt>
                <c:pt idx="326">
                  <c:v>42849</c:v>
                </c:pt>
                <c:pt idx="327">
                  <c:v>42850</c:v>
                </c:pt>
                <c:pt idx="328">
                  <c:v>42851</c:v>
                </c:pt>
                <c:pt idx="329">
                  <c:v>42852</c:v>
                </c:pt>
                <c:pt idx="330">
                  <c:v>42853</c:v>
                </c:pt>
                <c:pt idx="331">
                  <c:v>42856</c:v>
                </c:pt>
                <c:pt idx="332">
                  <c:v>42857</c:v>
                </c:pt>
                <c:pt idx="333">
                  <c:v>42858</c:v>
                </c:pt>
                <c:pt idx="334">
                  <c:v>42859</c:v>
                </c:pt>
                <c:pt idx="335">
                  <c:v>42860</c:v>
                </c:pt>
                <c:pt idx="336">
                  <c:v>42863</c:v>
                </c:pt>
                <c:pt idx="337">
                  <c:v>42864</c:v>
                </c:pt>
                <c:pt idx="338">
                  <c:v>42865</c:v>
                </c:pt>
                <c:pt idx="339">
                  <c:v>42866</c:v>
                </c:pt>
                <c:pt idx="340">
                  <c:v>42867</c:v>
                </c:pt>
                <c:pt idx="341">
                  <c:v>42870</c:v>
                </c:pt>
                <c:pt idx="342">
                  <c:v>42871</c:v>
                </c:pt>
                <c:pt idx="343">
                  <c:v>42872</c:v>
                </c:pt>
                <c:pt idx="344">
                  <c:v>42873</c:v>
                </c:pt>
                <c:pt idx="345">
                  <c:v>42874</c:v>
                </c:pt>
                <c:pt idx="346">
                  <c:v>42877</c:v>
                </c:pt>
                <c:pt idx="347">
                  <c:v>42878</c:v>
                </c:pt>
                <c:pt idx="348">
                  <c:v>42879</c:v>
                </c:pt>
                <c:pt idx="349">
                  <c:v>42880</c:v>
                </c:pt>
                <c:pt idx="350">
                  <c:v>42881</c:v>
                </c:pt>
                <c:pt idx="351">
                  <c:v>42885</c:v>
                </c:pt>
                <c:pt idx="352">
                  <c:v>42886</c:v>
                </c:pt>
                <c:pt idx="353">
                  <c:v>42887</c:v>
                </c:pt>
                <c:pt idx="354">
                  <c:v>42888</c:v>
                </c:pt>
                <c:pt idx="355">
                  <c:v>42891</c:v>
                </c:pt>
                <c:pt idx="356">
                  <c:v>42892</c:v>
                </c:pt>
                <c:pt idx="357">
                  <c:v>42893</c:v>
                </c:pt>
                <c:pt idx="358">
                  <c:v>42894</c:v>
                </c:pt>
                <c:pt idx="359">
                  <c:v>42895</c:v>
                </c:pt>
                <c:pt idx="360">
                  <c:v>42898</c:v>
                </c:pt>
                <c:pt idx="361">
                  <c:v>42899</c:v>
                </c:pt>
                <c:pt idx="362">
                  <c:v>42900</c:v>
                </c:pt>
                <c:pt idx="363">
                  <c:v>42901</c:v>
                </c:pt>
                <c:pt idx="364">
                  <c:v>42902</c:v>
                </c:pt>
                <c:pt idx="365">
                  <c:v>42905</c:v>
                </c:pt>
                <c:pt idx="366">
                  <c:v>42906</c:v>
                </c:pt>
                <c:pt idx="367">
                  <c:v>42907</c:v>
                </c:pt>
                <c:pt idx="368">
                  <c:v>42908</c:v>
                </c:pt>
                <c:pt idx="369">
                  <c:v>42909</c:v>
                </c:pt>
                <c:pt idx="370">
                  <c:v>42912</c:v>
                </c:pt>
                <c:pt idx="371">
                  <c:v>42913</c:v>
                </c:pt>
                <c:pt idx="372">
                  <c:v>42914</c:v>
                </c:pt>
                <c:pt idx="373">
                  <c:v>42915</c:v>
                </c:pt>
                <c:pt idx="374">
                  <c:v>42916</c:v>
                </c:pt>
                <c:pt idx="375">
                  <c:v>42919</c:v>
                </c:pt>
                <c:pt idx="376">
                  <c:v>42921</c:v>
                </c:pt>
                <c:pt idx="377">
                  <c:v>42922</c:v>
                </c:pt>
                <c:pt idx="378">
                  <c:v>42923</c:v>
                </c:pt>
                <c:pt idx="379">
                  <c:v>42926</c:v>
                </c:pt>
                <c:pt idx="380">
                  <c:v>42927</c:v>
                </c:pt>
                <c:pt idx="381">
                  <c:v>42928</c:v>
                </c:pt>
                <c:pt idx="382">
                  <c:v>42929</c:v>
                </c:pt>
                <c:pt idx="383">
                  <c:v>42930</c:v>
                </c:pt>
                <c:pt idx="384">
                  <c:v>42933</c:v>
                </c:pt>
                <c:pt idx="385">
                  <c:v>42934</c:v>
                </c:pt>
                <c:pt idx="386">
                  <c:v>42935</c:v>
                </c:pt>
                <c:pt idx="387">
                  <c:v>42936</c:v>
                </c:pt>
                <c:pt idx="388">
                  <c:v>42937</c:v>
                </c:pt>
                <c:pt idx="389">
                  <c:v>42940</c:v>
                </c:pt>
                <c:pt idx="390">
                  <c:v>42941</c:v>
                </c:pt>
                <c:pt idx="391">
                  <c:v>42942</c:v>
                </c:pt>
                <c:pt idx="392">
                  <c:v>42943</c:v>
                </c:pt>
                <c:pt idx="393">
                  <c:v>42944</c:v>
                </c:pt>
                <c:pt idx="394">
                  <c:v>42947</c:v>
                </c:pt>
                <c:pt idx="395">
                  <c:v>42948</c:v>
                </c:pt>
                <c:pt idx="396">
                  <c:v>42949</c:v>
                </c:pt>
                <c:pt idx="397">
                  <c:v>42950</c:v>
                </c:pt>
                <c:pt idx="398">
                  <c:v>42951</c:v>
                </c:pt>
                <c:pt idx="399">
                  <c:v>42954</c:v>
                </c:pt>
                <c:pt idx="400">
                  <c:v>42955</c:v>
                </c:pt>
                <c:pt idx="401">
                  <c:v>42956</c:v>
                </c:pt>
                <c:pt idx="402">
                  <c:v>42957</c:v>
                </c:pt>
                <c:pt idx="403">
                  <c:v>42958</c:v>
                </c:pt>
                <c:pt idx="404">
                  <c:v>42961</c:v>
                </c:pt>
                <c:pt idx="405">
                  <c:v>42962</c:v>
                </c:pt>
                <c:pt idx="406">
                  <c:v>42963</c:v>
                </c:pt>
                <c:pt idx="407">
                  <c:v>42964</c:v>
                </c:pt>
                <c:pt idx="408">
                  <c:v>42965</c:v>
                </c:pt>
                <c:pt idx="409">
                  <c:v>42968</c:v>
                </c:pt>
                <c:pt idx="410">
                  <c:v>42969</c:v>
                </c:pt>
                <c:pt idx="411">
                  <c:v>42970</c:v>
                </c:pt>
                <c:pt idx="412">
                  <c:v>42971</c:v>
                </c:pt>
                <c:pt idx="413">
                  <c:v>42972</c:v>
                </c:pt>
                <c:pt idx="414">
                  <c:v>42975</c:v>
                </c:pt>
                <c:pt idx="415">
                  <c:v>42976</c:v>
                </c:pt>
                <c:pt idx="416">
                  <c:v>42977</c:v>
                </c:pt>
                <c:pt idx="417">
                  <c:v>42978</c:v>
                </c:pt>
                <c:pt idx="418">
                  <c:v>42979</c:v>
                </c:pt>
                <c:pt idx="419">
                  <c:v>42983</c:v>
                </c:pt>
                <c:pt idx="420">
                  <c:v>42984</c:v>
                </c:pt>
                <c:pt idx="421">
                  <c:v>42985</c:v>
                </c:pt>
                <c:pt idx="422">
                  <c:v>42986</c:v>
                </c:pt>
                <c:pt idx="423">
                  <c:v>42989</c:v>
                </c:pt>
                <c:pt idx="424">
                  <c:v>42990</c:v>
                </c:pt>
                <c:pt idx="425">
                  <c:v>42991</c:v>
                </c:pt>
                <c:pt idx="426">
                  <c:v>42992</c:v>
                </c:pt>
                <c:pt idx="427">
                  <c:v>42993</c:v>
                </c:pt>
                <c:pt idx="428">
                  <c:v>42996</c:v>
                </c:pt>
                <c:pt idx="429">
                  <c:v>42997</c:v>
                </c:pt>
                <c:pt idx="430">
                  <c:v>42998</c:v>
                </c:pt>
                <c:pt idx="431">
                  <c:v>42999</c:v>
                </c:pt>
                <c:pt idx="432">
                  <c:v>43000</c:v>
                </c:pt>
                <c:pt idx="433">
                  <c:v>43003</c:v>
                </c:pt>
                <c:pt idx="434">
                  <c:v>43004</c:v>
                </c:pt>
                <c:pt idx="435">
                  <c:v>43005</c:v>
                </c:pt>
                <c:pt idx="436">
                  <c:v>43006</c:v>
                </c:pt>
                <c:pt idx="437">
                  <c:v>43007</c:v>
                </c:pt>
                <c:pt idx="438">
                  <c:v>43010</c:v>
                </c:pt>
                <c:pt idx="439">
                  <c:v>43011</c:v>
                </c:pt>
                <c:pt idx="440">
                  <c:v>43012</c:v>
                </c:pt>
                <c:pt idx="441">
                  <c:v>43013</c:v>
                </c:pt>
                <c:pt idx="442">
                  <c:v>43014</c:v>
                </c:pt>
                <c:pt idx="443">
                  <c:v>43018</c:v>
                </c:pt>
                <c:pt idx="444">
                  <c:v>43019</c:v>
                </c:pt>
                <c:pt idx="445">
                  <c:v>43020</c:v>
                </c:pt>
                <c:pt idx="446">
                  <c:v>43021</c:v>
                </c:pt>
                <c:pt idx="447">
                  <c:v>43024</c:v>
                </c:pt>
                <c:pt idx="448">
                  <c:v>43025</c:v>
                </c:pt>
                <c:pt idx="449">
                  <c:v>43026</c:v>
                </c:pt>
                <c:pt idx="450">
                  <c:v>43027</c:v>
                </c:pt>
                <c:pt idx="451">
                  <c:v>43028</c:v>
                </c:pt>
                <c:pt idx="452">
                  <c:v>43031</c:v>
                </c:pt>
                <c:pt idx="453">
                  <c:v>43032</c:v>
                </c:pt>
                <c:pt idx="454">
                  <c:v>43033</c:v>
                </c:pt>
                <c:pt idx="455">
                  <c:v>43034</c:v>
                </c:pt>
                <c:pt idx="456">
                  <c:v>43035</c:v>
                </c:pt>
                <c:pt idx="457">
                  <c:v>43038</c:v>
                </c:pt>
                <c:pt idx="458">
                  <c:v>43039</c:v>
                </c:pt>
                <c:pt idx="459">
                  <c:v>43040</c:v>
                </c:pt>
                <c:pt idx="460">
                  <c:v>43041</c:v>
                </c:pt>
                <c:pt idx="461">
                  <c:v>43042</c:v>
                </c:pt>
                <c:pt idx="462">
                  <c:v>43045</c:v>
                </c:pt>
                <c:pt idx="463">
                  <c:v>43046</c:v>
                </c:pt>
                <c:pt idx="464">
                  <c:v>43047</c:v>
                </c:pt>
                <c:pt idx="465">
                  <c:v>43048</c:v>
                </c:pt>
                <c:pt idx="466">
                  <c:v>43049</c:v>
                </c:pt>
                <c:pt idx="467">
                  <c:v>43052</c:v>
                </c:pt>
                <c:pt idx="468">
                  <c:v>43053</c:v>
                </c:pt>
                <c:pt idx="469">
                  <c:v>43054</c:v>
                </c:pt>
                <c:pt idx="470">
                  <c:v>43055</c:v>
                </c:pt>
                <c:pt idx="471">
                  <c:v>43056</c:v>
                </c:pt>
                <c:pt idx="472">
                  <c:v>43059</c:v>
                </c:pt>
                <c:pt idx="473">
                  <c:v>43060</c:v>
                </c:pt>
                <c:pt idx="474">
                  <c:v>43061</c:v>
                </c:pt>
                <c:pt idx="475">
                  <c:v>43063</c:v>
                </c:pt>
                <c:pt idx="476">
                  <c:v>43066</c:v>
                </c:pt>
                <c:pt idx="477">
                  <c:v>43067</c:v>
                </c:pt>
                <c:pt idx="478">
                  <c:v>43068</c:v>
                </c:pt>
                <c:pt idx="479">
                  <c:v>43069</c:v>
                </c:pt>
                <c:pt idx="480">
                  <c:v>43070</c:v>
                </c:pt>
                <c:pt idx="481">
                  <c:v>43073</c:v>
                </c:pt>
                <c:pt idx="482">
                  <c:v>43074</c:v>
                </c:pt>
                <c:pt idx="483">
                  <c:v>43075</c:v>
                </c:pt>
                <c:pt idx="484">
                  <c:v>43076</c:v>
                </c:pt>
                <c:pt idx="485">
                  <c:v>43077</c:v>
                </c:pt>
                <c:pt idx="486">
                  <c:v>43080</c:v>
                </c:pt>
                <c:pt idx="487">
                  <c:v>43081</c:v>
                </c:pt>
                <c:pt idx="488">
                  <c:v>43082</c:v>
                </c:pt>
                <c:pt idx="489">
                  <c:v>43083</c:v>
                </c:pt>
                <c:pt idx="490">
                  <c:v>43084</c:v>
                </c:pt>
                <c:pt idx="491">
                  <c:v>43087</c:v>
                </c:pt>
                <c:pt idx="492">
                  <c:v>43088</c:v>
                </c:pt>
                <c:pt idx="493">
                  <c:v>43089</c:v>
                </c:pt>
                <c:pt idx="494">
                  <c:v>43090</c:v>
                </c:pt>
                <c:pt idx="495">
                  <c:v>43091</c:v>
                </c:pt>
                <c:pt idx="496">
                  <c:v>43095</c:v>
                </c:pt>
                <c:pt idx="497">
                  <c:v>43096</c:v>
                </c:pt>
                <c:pt idx="498">
                  <c:v>43097</c:v>
                </c:pt>
                <c:pt idx="499">
                  <c:v>43098</c:v>
                </c:pt>
                <c:pt idx="500">
                  <c:v>43102</c:v>
                </c:pt>
                <c:pt idx="501">
                  <c:v>43103</c:v>
                </c:pt>
                <c:pt idx="502">
                  <c:v>43104</c:v>
                </c:pt>
                <c:pt idx="503">
                  <c:v>43105</c:v>
                </c:pt>
                <c:pt idx="504">
                  <c:v>43108</c:v>
                </c:pt>
                <c:pt idx="505">
                  <c:v>43109</c:v>
                </c:pt>
                <c:pt idx="506">
                  <c:v>43110</c:v>
                </c:pt>
                <c:pt idx="507">
                  <c:v>43111</c:v>
                </c:pt>
                <c:pt idx="508">
                  <c:v>43112</c:v>
                </c:pt>
                <c:pt idx="509">
                  <c:v>43116</c:v>
                </c:pt>
                <c:pt idx="510">
                  <c:v>43117</c:v>
                </c:pt>
                <c:pt idx="511">
                  <c:v>43118</c:v>
                </c:pt>
                <c:pt idx="512">
                  <c:v>43119</c:v>
                </c:pt>
                <c:pt idx="513">
                  <c:v>43122</c:v>
                </c:pt>
                <c:pt idx="514">
                  <c:v>43123</c:v>
                </c:pt>
                <c:pt idx="515">
                  <c:v>43124</c:v>
                </c:pt>
                <c:pt idx="516">
                  <c:v>43125</c:v>
                </c:pt>
                <c:pt idx="517">
                  <c:v>43126</c:v>
                </c:pt>
                <c:pt idx="518">
                  <c:v>43129</c:v>
                </c:pt>
                <c:pt idx="519">
                  <c:v>43130</c:v>
                </c:pt>
                <c:pt idx="520">
                  <c:v>43131</c:v>
                </c:pt>
                <c:pt idx="521">
                  <c:v>43132</c:v>
                </c:pt>
                <c:pt idx="522">
                  <c:v>43133</c:v>
                </c:pt>
                <c:pt idx="523">
                  <c:v>43136</c:v>
                </c:pt>
                <c:pt idx="524">
                  <c:v>43137</c:v>
                </c:pt>
                <c:pt idx="525">
                  <c:v>43138</c:v>
                </c:pt>
                <c:pt idx="526">
                  <c:v>43139</c:v>
                </c:pt>
                <c:pt idx="527">
                  <c:v>43140</c:v>
                </c:pt>
                <c:pt idx="528">
                  <c:v>43143</c:v>
                </c:pt>
                <c:pt idx="529">
                  <c:v>43144</c:v>
                </c:pt>
                <c:pt idx="530">
                  <c:v>43145</c:v>
                </c:pt>
                <c:pt idx="531">
                  <c:v>43146</c:v>
                </c:pt>
                <c:pt idx="532">
                  <c:v>43147</c:v>
                </c:pt>
                <c:pt idx="533">
                  <c:v>43151</c:v>
                </c:pt>
                <c:pt idx="534">
                  <c:v>43152</c:v>
                </c:pt>
                <c:pt idx="535">
                  <c:v>43153</c:v>
                </c:pt>
                <c:pt idx="536">
                  <c:v>43154</c:v>
                </c:pt>
                <c:pt idx="537">
                  <c:v>43157</c:v>
                </c:pt>
                <c:pt idx="538">
                  <c:v>43158</c:v>
                </c:pt>
                <c:pt idx="539">
                  <c:v>43159</c:v>
                </c:pt>
                <c:pt idx="540">
                  <c:v>43160</c:v>
                </c:pt>
                <c:pt idx="541">
                  <c:v>43161</c:v>
                </c:pt>
                <c:pt idx="542">
                  <c:v>43164</c:v>
                </c:pt>
                <c:pt idx="543">
                  <c:v>43165</c:v>
                </c:pt>
                <c:pt idx="544">
                  <c:v>43166</c:v>
                </c:pt>
                <c:pt idx="545">
                  <c:v>43167</c:v>
                </c:pt>
                <c:pt idx="546">
                  <c:v>43168</c:v>
                </c:pt>
                <c:pt idx="547">
                  <c:v>43171</c:v>
                </c:pt>
                <c:pt idx="548">
                  <c:v>43172</c:v>
                </c:pt>
                <c:pt idx="549">
                  <c:v>43173</c:v>
                </c:pt>
                <c:pt idx="550">
                  <c:v>43174</c:v>
                </c:pt>
                <c:pt idx="551">
                  <c:v>43175</c:v>
                </c:pt>
                <c:pt idx="552">
                  <c:v>43178</c:v>
                </c:pt>
                <c:pt idx="553">
                  <c:v>43179</c:v>
                </c:pt>
                <c:pt idx="554">
                  <c:v>43180</c:v>
                </c:pt>
                <c:pt idx="555">
                  <c:v>43181</c:v>
                </c:pt>
                <c:pt idx="556">
                  <c:v>43182</c:v>
                </c:pt>
                <c:pt idx="557">
                  <c:v>43185</c:v>
                </c:pt>
                <c:pt idx="558">
                  <c:v>43186</c:v>
                </c:pt>
                <c:pt idx="559">
                  <c:v>43187</c:v>
                </c:pt>
                <c:pt idx="560">
                  <c:v>43188</c:v>
                </c:pt>
                <c:pt idx="561">
                  <c:v>43192</c:v>
                </c:pt>
                <c:pt idx="562">
                  <c:v>43193</c:v>
                </c:pt>
                <c:pt idx="563">
                  <c:v>43194</c:v>
                </c:pt>
                <c:pt idx="564">
                  <c:v>43195</c:v>
                </c:pt>
                <c:pt idx="565">
                  <c:v>43196</c:v>
                </c:pt>
                <c:pt idx="566">
                  <c:v>43199</c:v>
                </c:pt>
                <c:pt idx="567">
                  <c:v>43200</c:v>
                </c:pt>
                <c:pt idx="568">
                  <c:v>43201</c:v>
                </c:pt>
                <c:pt idx="569">
                  <c:v>43202</c:v>
                </c:pt>
                <c:pt idx="570">
                  <c:v>43203</c:v>
                </c:pt>
                <c:pt idx="571">
                  <c:v>43206</c:v>
                </c:pt>
                <c:pt idx="572">
                  <c:v>43207</c:v>
                </c:pt>
                <c:pt idx="573">
                  <c:v>43208</c:v>
                </c:pt>
                <c:pt idx="574">
                  <c:v>43209</c:v>
                </c:pt>
                <c:pt idx="575">
                  <c:v>43210</c:v>
                </c:pt>
                <c:pt idx="576">
                  <c:v>43213</c:v>
                </c:pt>
                <c:pt idx="577">
                  <c:v>43214</c:v>
                </c:pt>
                <c:pt idx="578">
                  <c:v>43215</c:v>
                </c:pt>
                <c:pt idx="579">
                  <c:v>43216</c:v>
                </c:pt>
                <c:pt idx="580">
                  <c:v>43217</c:v>
                </c:pt>
                <c:pt idx="581">
                  <c:v>43220</c:v>
                </c:pt>
                <c:pt idx="582">
                  <c:v>43221</c:v>
                </c:pt>
                <c:pt idx="583">
                  <c:v>43222</c:v>
                </c:pt>
                <c:pt idx="584">
                  <c:v>43223</c:v>
                </c:pt>
                <c:pt idx="585">
                  <c:v>43224</c:v>
                </c:pt>
                <c:pt idx="586">
                  <c:v>43227</c:v>
                </c:pt>
                <c:pt idx="587">
                  <c:v>43228</c:v>
                </c:pt>
                <c:pt idx="588">
                  <c:v>43229</c:v>
                </c:pt>
                <c:pt idx="589">
                  <c:v>43230</c:v>
                </c:pt>
                <c:pt idx="590">
                  <c:v>43231</c:v>
                </c:pt>
                <c:pt idx="591">
                  <c:v>43234</c:v>
                </c:pt>
                <c:pt idx="592">
                  <c:v>43235</c:v>
                </c:pt>
                <c:pt idx="593">
                  <c:v>43236</c:v>
                </c:pt>
                <c:pt idx="594">
                  <c:v>43237</c:v>
                </c:pt>
                <c:pt idx="595">
                  <c:v>43238</c:v>
                </c:pt>
                <c:pt idx="596">
                  <c:v>43241</c:v>
                </c:pt>
                <c:pt idx="597">
                  <c:v>43242</c:v>
                </c:pt>
                <c:pt idx="598">
                  <c:v>43243</c:v>
                </c:pt>
                <c:pt idx="599">
                  <c:v>43244</c:v>
                </c:pt>
                <c:pt idx="600">
                  <c:v>43245</c:v>
                </c:pt>
                <c:pt idx="601">
                  <c:v>43249</c:v>
                </c:pt>
                <c:pt idx="602">
                  <c:v>43250</c:v>
                </c:pt>
                <c:pt idx="603">
                  <c:v>43251</c:v>
                </c:pt>
                <c:pt idx="604">
                  <c:v>43252</c:v>
                </c:pt>
                <c:pt idx="605">
                  <c:v>43255</c:v>
                </c:pt>
                <c:pt idx="606">
                  <c:v>43256</c:v>
                </c:pt>
                <c:pt idx="607">
                  <c:v>43257</c:v>
                </c:pt>
                <c:pt idx="608">
                  <c:v>43258</c:v>
                </c:pt>
                <c:pt idx="609">
                  <c:v>43259</c:v>
                </c:pt>
                <c:pt idx="610">
                  <c:v>43262</c:v>
                </c:pt>
                <c:pt idx="611">
                  <c:v>43263</c:v>
                </c:pt>
                <c:pt idx="612">
                  <c:v>43264</c:v>
                </c:pt>
                <c:pt idx="613">
                  <c:v>43265</c:v>
                </c:pt>
                <c:pt idx="614">
                  <c:v>43266</c:v>
                </c:pt>
                <c:pt idx="615">
                  <c:v>43269</c:v>
                </c:pt>
                <c:pt idx="616">
                  <c:v>43270</c:v>
                </c:pt>
                <c:pt idx="617">
                  <c:v>43271</c:v>
                </c:pt>
                <c:pt idx="618">
                  <c:v>43272</c:v>
                </c:pt>
                <c:pt idx="619">
                  <c:v>43273</c:v>
                </c:pt>
                <c:pt idx="620">
                  <c:v>43276</c:v>
                </c:pt>
                <c:pt idx="621">
                  <c:v>43277</c:v>
                </c:pt>
                <c:pt idx="622">
                  <c:v>43278</c:v>
                </c:pt>
                <c:pt idx="623">
                  <c:v>43279</c:v>
                </c:pt>
                <c:pt idx="624">
                  <c:v>43280</c:v>
                </c:pt>
                <c:pt idx="625">
                  <c:v>43283</c:v>
                </c:pt>
                <c:pt idx="626">
                  <c:v>43284</c:v>
                </c:pt>
                <c:pt idx="627">
                  <c:v>43286</c:v>
                </c:pt>
                <c:pt idx="628">
                  <c:v>43287</c:v>
                </c:pt>
                <c:pt idx="629">
                  <c:v>43290</c:v>
                </c:pt>
                <c:pt idx="630">
                  <c:v>43291</c:v>
                </c:pt>
                <c:pt idx="631">
                  <c:v>43292</c:v>
                </c:pt>
                <c:pt idx="632">
                  <c:v>43293</c:v>
                </c:pt>
                <c:pt idx="633">
                  <c:v>43294</c:v>
                </c:pt>
                <c:pt idx="634">
                  <c:v>43297</c:v>
                </c:pt>
                <c:pt idx="635">
                  <c:v>43298</c:v>
                </c:pt>
                <c:pt idx="636">
                  <c:v>43299</c:v>
                </c:pt>
                <c:pt idx="637">
                  <c:v>43300</c:v>
                </c:pt>
                <c:pt idx="638">
                  <c:v>43301</c:v>
                </c:pt>
                <c:pt idx="639">
                  <c:v>43304</c:v>
                </c:pt>
                <c:pt idx="640">
                  <c:v>43305</c:v>
                </c:pt>
                <c:pt idx="641">
                  <c:v>43306</c:v>
                </c:pt>
                <c:pt idx="642">
                  <c:v>43307</c:v>
                </c:pt>
                <c:pt idx="643">
                  <c:v>43308</c:v>
                </c:pt>
                <c:pt idx="644">
                  <c:v>43311</c:v>
                </c:pt>
                <c:pt idx="645">
                  <c:v>43312</c:v>
                </c:pt>
                <c:pt idx="646">
                  <c:v>43313</c:v>
                </c:pt>
                <c:pt idx="647">
                  <c:v>43314</c:v>
                </c:pt>
                <c:pt idx="648">
                  <c:v>43315</c:v>
                </c:pt>
                <c:pt idx="649">
                  <c:v>43318</c:v>
                </c:pt>
                <c:pt idx="650">
                  <c:v>43319</c:v>
                </c:pt>
                <c:pt idx="651">
                  <c:v>43320</c:v>
                </c:pt>
                <c:pt idx="652">
                  <c:v>43321</c:v>
                </c:pt>
                <c:pt idx="653">
                  <c:v>43322</c:v>
                </c:pt>
                <c:pt idx="654">
                  <c:v>43325</c:v>
                </c:pt>
                <c:pt idx="655">
                  <c:v>43326</c:v>
                </c:pt>
                <c:pt idx="656">
                  <c:v>43327</c:v>
                </c:pt>
                <c:pt idx="657">
                  <c:v>43328</c:v>
                </c:pt>
                <c:pt idx="658">
                  <c:v>43329</c:v>
                </c:pt>
                <c:pt idx="659">
                  <c:v>43332</c:v>
                </c:pt>
                <c:pt idx="660">
                  <c:v>43333</c:v>
                </c:pt>
                <c:pt idx="661">
                  <c:v>43334</c:v>
                </c:pt>
                <c:pt idx="662">
                  <c:v>43335</c:v>
                </c:pt>
                <c:pt idx="663">
                  <c:v>43336</c:v>
                </c:pt>
                <c:pt idx="664">
                  <c:v>43339</c:v>
                </c:pt>
                <c:pt idx="665">
                  <c:v>43340</c:v>
                </c:pt>
                <c:pt idx="666">
                  <c:v>43341</c:v>
                </c:pt>
                <c:pt idx="667">
                  <c:v>43342</c:v>
                </c:pt>
                <c:pt idx="668">
                  <c:v>43343</c:v>
                </c:pt>
                <c:pt idx="669">
                  <c:v>43347</c:v>
                </c:pt>
                <c:pt idx="670">
                  <c:v>43348</c:v>
                </c:pt>
                <c:pt idx="671">
                  <c:v>43349</c:v>
                </c:pt>
                <c:pt idx="672">
                  <c:v>43350</c:v>
                </c:pt>
                <c:pt idx="673">
                  <c:v>43353</c:v>
                </c:pt>
                <c:pt idx="674">
                  <c:v>43354</c:v>
                </c:pt>
                <c:pt idx="675">
                  <c:v>43355</c:v>
                </c:pt>
                <c:pt idx="676">
                  <c:v>43356</c:v>
                </c:pt>
                <c:pt idx="677">
                  <c:v>43357</c:v>
                </c:pt>
                <c:pt idx="678">
                  <c:v>43360</c:v>
                </c:pt>
                <c:pt idx="679">
                  <c:v>43361</c:v>
                </c:pt>
                <c:pt idx="680">
                  <c:v>43362</c:v>
                </c:pt>
                <c:pt idx="681">
                  <c:v>43363</c:v>
                </c:pt>
                <c:pt idx="682">
                  <c:v>43364</c:v>
                </c:pt>
                <c:pt idx="683">
                  <c:v>43367</c:v>
                </c:pt>
                <c:pt idx="684">
                  <c:v>43368</c:v>
                </c:pt>
                <c:pt idx="685">
                  <c:v>43369</c:v>
                </c:pt>
                <c:pt idx="686">
                  <c:v>43370</c:v>
                </c:pt>
                <c:pt idx="687">
                  <c:v>43371</c:v>
                </c:pt>
                <c:pt idx="688">
                  <c:v>43374</c:v>
                </c:pt>
                <c:pt idx="689">
                  <c:v>43375</c:v>
                </c:pt>
                <c:pt idx="690">
                  <c:v>43376</c:v>
                </c:pt>
                <c:pt idx="691">
                  <c:v>43377</c:v>
                </c:pt>
                <c:pt idx="692">
                  <c:v>43378</c:v>
                </c:pt>
                <c:pt idx="693">
                  <c:v>43382</c:v>
                </c:pt>
                <c:pt idx="694">
                  <c:v>43383</c:v>
                </c:pt>
                <c:pt idx="695">
                  <c:v>43384</c:v>
                </c:pt>
                <c:pt idx="696">
                  <c:v>43385</c:v>
                </c:pt>
                <c:pt idx="697">
                  <c:v>43388</c:v>
                </c:pt>
                <c:pt idx="698">
                  <c:v>43389</c:v>
                </c:pt>
                <c:pt idx="699">
                  <c:v>43390</c:v>
                </c:pt>
                <c:pt idx="700">
                  <c:v>43391</c:v>
                </c:pt>
                <c:pt idx="701">
                  <c:v>43392</c:v>
                </c:pt>
                <c:pt idx="702">
                  <c:v>43395</c:v>
                </c:pt>
                <c:pt idx="703">
                  <c:v>43396</c:v>
                </c:pt>
                <c:pt idx="704">
                  <c:v>43397</c:v>
                </c:pt>
                <c:pt idx="705">
                  <c:v>43398</c:v>
                </c:pt>
                <c:pt idx="706">
                  <c:v>43399</c:v>
                </c:pt>
                <c:pt idx="707">
                  <c:v>43402</c:v>
                </c:pt>
                <c:pt idx="708">
                  <c:v>43403</c:v>
                </c:pt>
                <c:pt idx="709">
                  <c:v>43404</c:v>
                </c:pt>
                <c:pt idx="710">
                  <c:v>43405</c:v>
                </c:pt>
                <c:pt idx="711">
                  <c:v>43406</c:v>
                </c:pt>
                <c:pt idx="712">
                  <c:v>43409</c:v>
                </c:pt>
                <c:pt idx="713">
                  <c:v>43410</c:v>
                </c:pt>
                <c:pt idx="714">
                  <c:v>43411</c:v>
                </c:pt>
                <c:pt idx="715">
                  <c:v>43412</c:v>
                </c:pt>
                <c:pt idx="716">
                  <c:v>43413</c:v>
                </c:pt>
                <c:pt idx="717">
                  <c:v>43417</c:v>
                </c:pt>
                <c:pt idx="718">
                  <c:v>43418</c:v>
                </c:pt>
                <c:pt idx="719">
                  <c:v>43419</c:v>
                </c:pt>
                <c:pt idx="720">
                  <c:v>43420</c:v>
                </c:pt>
                <c:pt idx="721">
                  <c:v>43423</c:v>
                </c:pt>
                <c:pt idx="722">
                  <c:v>43424</c:v>
                </c:pt>
                <c:pt idx="723">
                  <c:v>43425</c:v>
                </c:pt>
                <c:pt idx="724">
                  <c:v>43427</c:v>
                </c:pt>
                <c:pt idx="725">
                  <c:v>43430</c:v>
                </c:pt>
                <c:pt idx="726">
                  <c:v>43431</c:v>
                </c:pt>
                <c:pt idx="727">
                  <c:v>43432</c:v>
                </c:pt>
                <c:pt idx="728">
                  <c:v>43433</c:v>
                </c:pt>
                <c:pt idx="729">
                  <c:v>43434</c:v>
                </c:pt>
                <c:pt idx="730">
                  <c:v>43437</c:v>
                </c:pt>
                <c:pt idx="731">
                  <c:v>43438</c:v>
                </c:pt>
                <c:pt idx="732">
                  <c:v>43440</c:v>
                </c:pt>
                <c:pt idx="733">
                  <c:v>43441</c:v>
                </c:pt>
                <c:pt idx="734">
                  <c:v>43444</c:v>
                </c:pt>
                <c:pt idx="735">
                  <c:v>43445</c:v>
                </c:pt>
                <c:pt idx="736">
                  <c:v>43446</c:v>
                </c:pt>
                <c:pt idx="737">
                  <c:v>43447</c:v>
                </c:pt>
                <c:pt idx="738">
                  <c:v>43448</c:v>
                </c:pt>
                <c:pt idx="739">
                  <c:v>43451</c:v>
                </c:pt>
                <c:pt idx="740">
                  <c:v>43452</c:v>
                </c:pt>
                <c:pt idx="741">
                  <c:v>43453</c:v>
                </c:pt>
                <c:pt idx="742">
                  <c:v>43454</c:v>
                </c:pt>
                <c:pt idx="743">
                  <c:v>43455</c:v>
                </c:pt>
                <c:pt idx="744">
                  <c:v>43458</c:v>
                </c:pt>
                <c:pt idx="745">
                  <c:v>43460</c:v>
                </c:pt>
                <c:pt idx="746">
                  <c:v>43461</c:v>
                </c:pt>
                <c:pt idx="747">
                  <c:v>43462</c:v>
                </c:pt>
                <c:pt idx="748">
                  <c:v>43465</c:v>
                </c:pt>
                <c:pt idx="749">
                  <c:v>43467</c:v>
                </c:pt>
                <c:pt idx="750">
                  <c:v>43468</c:v>
                </c:pt>
                <c:pt idx="751">
                  <c:v>43469</c:v>
                </c:pt>
                <c:pt idx="752">
                  <c:v>43472</c:v>
                </c:pt>
                <c:pt idx="753">
                  <c:v>43473</c:v>
                </c:pt>
                <c:pt idx="754">
                  <c:v>43474</c:v>
                </c:pt>
                <c:pt idx="755">
                  <c:v>43475</c:v>
                </c:pt>
                <c:pt idx="756">
                  <c:v>43476</c:v>
                </c:pt>
                <c:pt idx="757">
                  <c:v>43479</c:v>
                </c:pt>
                <c:pt idx="758">
                  <c:v>43480</c:v>
                </c:pt>
                <c:pt idx="759">
                  <c:v>43481</c:v>
                </c:pt>
                <c:pt idx="760">
                  <c:v>43482</c:v>
                </c:pt>
                <c:pt idx="761">
                  <c:v>43483</c:v>
                </c:pt>
                <c:pt idx="762">
                  <c:v>43487</c:v>
                </c:pt>
                <c:pt idx="763">
                  <c:v>43488</c:v>
                </c:pt>
                <c:pt idx="764">
                  <c:v>43489</c:v>
                </c:pt>
                <c:pt idx="765">
                  <c:v>43490</c:v>
                </c:pt>
                <c:pt idx="766">
                  <c:v>43493</c:v>
                </c:pt>
                <c:pt idx="767">
                  <c:v>43494</c:v>
                </c:pt>
                <c:pt idx="768">
                  <c:v>43495</c:v>
                </c:pt>
                <c:pt idx="769">
                  <c:v>43496</c:v>
                </c:pt>
                <c:pt idx="770">
                  <c:v>43497</c:v>
                </c:pt>
                <c:pt idx="771">
                  <c:v>43500</c:v>
                </c:pt>
                <c:pt idx="772">
                  <c:v>43501</c:v>
                </c:pt>
                <c:pt idx="773">
                  <c:v>43502</c:v>
                </c:pt>
                <c:pt idx="774">
                  <c:v>43503</c:v>
                </c:pt>
                <c:pt idx="775">
                  <c:v>43504</c:v>
                </c:pt>
                <c:pt idx="776">
                  <c:v>43507</c:v>
                </c:pt>
                <c:pt idx="777">
                  <c:v>43508</c:v>
                </c:pt>
                <c:pt idx="778">
                  <c:v>43509</c:v>
                </c:pt>
                <c:pt idx="779">
                  <c:v>43510</c:v>
                </c:pt>
                <c:pt idx="780">
                  <c:v>43511</c:v>
                </c:pt>
                <c:pt idx="781">
                  <c:v>43515</c:v>
                </c:pt>
                <c:pt idx="782">
                  <c:v>43516</c:v>
                </c:pt>
                <c:pt idx="783">
                  <c:v>43517</c:v>
                </c:pt>
                <c:pt idx="784">
                  <c:v>43518</c:v>
                </c:pt>
                <c:pt idx="785">
                  <c:v>43521</c:v>
                </c:pt>
                <c:pt idx="786">
                  <c:v>43522</c:v>
                </c:pt>
                <c:pt idx="787">
                  <c:v>43523</c:v>
                </c:pt>
                <c:pt idx="788">
                  <c:v>43524</c:v>
                </c:pt>
                <c:pt idx="789">
                  <c:v>43525</c:v>
                </c:pt>
                <c:pt idx="790">
                  <c:v>43528</c:v>
                </c:pt>
                <c:pt idx="791">
                  <c:v>43529</c:v>
                </c:pt>
                <c:pt idx="792">
                  <c:v>43530</c:v>
                </c:pt>
                <c:pt idx="793">
                  <c:v>43531</c:v>
                </c:pt>
                <c:pt idx="794">
                  <c:v>43532</c:v>
                </c:pt>
                <c:pt idx="795">
                  <c:v>43535</c:v>
                </c:pt>
                <c:pt idx="796">
                  <c:v>43536</c:v>
                </c:pt>
                <c:pt idx="797">
                  <c:v>43537</c:v>
                </c:pt>
                <c:pt idx="798">
                  <c:v>43538</c:v>
                </c:pt>
                <c:pt idx="799">
                  <c:v>43539</c:v>
                </c:pt>
                <c:pt idx="800">
                  <c:v>43542</c:v>
                </c:pt>
                <c:pt idx="801">
                  <c:v>43543</c:v>
                </c:pt>
                <c:pt idx="802">
                  <c:v>43544</c:v>
                </c:pt>
                <c:pt idx="803">
                  <c:v>43545</c:v>
                </c:pt>
                <c:pt idx="804">
                  <c:v>43546</c:v>
                </c:pt>
                <c:pt idx="805">
                  <c:v>43549</c:v>
                </c:pt>
                <c:pt idx="806">
                  <c:v>43550</c:v>
                </c:pt>
                <c:pt idx="807">
                  <c:v>43551</c:v>
                </c:pt>
                <c:pt idx="808">
                  <c:v>43552</c:v>
                </c:pt>
                <c:pt idx="809">
                  <c:v>43553</c:v>
                </c:pt>
                <c:pt idx="810">
                  <c:v>43556</c:v>
                </c:pt>
                <c:pt idx="811">
                  <c:v>43557</c:v>
                </c:pt>
                <c:pt idx="812">
                  <c:v>43558</c:v>
                </c:pt>
                <c:pt idx="813">
                  <c:v>43559</c:v>
                </c:pt>
                <c:pt idx="814">
                  <c:v>43560</c:v>
                </c:pt>
                <c:pt idx="815">
                  <c:v>43563</c:v>
                </c:pt>
                <c:pt idx="816">
                  <c:v>43564</c:v>
                </c:pt>
                <c:pt idx="817">
                  <c:v>43565</c:v>
                </c:pt>
                <c:pt idx="818">
                  <c:v>43566</c:v>
                </c:pt>
                <c:pt idx="819">
                  <c:v>43567</c:v>
                </c:pt>
                <c:pt idx="820">
                  <c:v>43570</c:v>
                </c:pt>
                <c:pt idx="821">
                  <c:v>43571</c:v>
                </c:pt>
                <c:pt idx="822">
                  <c:v>43572</c:v>
                </c:pt>
                <c:pt idx="823">
                  <c:v>43573</c:v>
                </c:pt>
                <c:pt idx="824">
                  <c:v>43577</c:v>
                </c:pt>
                <c:pt idx="825">
                  <c:v>43578</c:v>
                </c:pt>
                <c:pt idx="826">
                  <c:v>43579</c:v>
                </c:pt>
                <c:pt idx="827">
                  <c:v>43580</c:v>
                </c:pt>
                <c:pt idx="828">
                  <c:v>43581</c:v>
                </c:pt>
                <c:pt idx="829">
                  <c:v>43584</c:v>
                </c:pt>
                <c:pt idx="830">
                  <c:v>43585</c:v>
                </c:pt>
                <c:pt idx="831">
                  <c:v>43586</c:v>
                </c:pt>
                <c:pt idx="832">
                  <c:v>43587</c:v>
                </c:pt>
                <c:pt idx="833">
                  <c:v>43588</c:v>
                </c:pt>
                <c:pt idx="834">
                  <c:v>43591</c:v>
                </c:pt>
                <c:pt idx="835">
                  <c:v>43592</c:v>
                </c:pt>
                <c:pt idx="836">
                  <c:v>43593</c:v>
                </c:pt>
                <c:pt idx="837">
                  <c:v>43594</c:v>
                </c:pt>
                <c:pt idx="838">
                  <c:v>43595</c:v>
                </c:pt>
                <c:pt idx="839">
                  <c:v>43598</c:v>
                </c:pt>
                <c:pt idx="840">
                  <c:v>43599</c:v>
                </c:pt>
                <c:pt idx="841">
                  <c:v>43600</c:v>
                </c:pt>
                <c:pt idx="842">
                  <c:v>43601</c:v>
                </c:pt>
                <c:pt idx="843">
                  <c:v>43602</c:v>
                </c:pt>
                <c:pt idx="844">
                  <c:v>43605</c:v>
                </c:pt>
                <c:pt idx="845">
                  <c:v>43606</c:v>
                </c:pt>
                <c:pt idx="846">
                  <c:v>43607</c:v>
                </c:pt>
                <c:pt idx="847">
                  <c:v>43608</c:v>
                </c:pt>
                <c:pt idx="848">
                  <c:v>43609</c:v>
                </c:pt>
                <c:pt idx="849">
                  <c:v>43613</c:v>
                </c:pt>
                <c:pt idx="850">
                  <c:v>43614</c:v>
                </c:pt>
                <c:pt idx="851">
                  <c:v>43615</c:v>
                </c:pt>
                <c:pt idx="852">
                  <c:v>43616</c:v>
                </c:pt>
                <c:pt idx="853">
                  <c:v>43619</c:v>
                </c:pt>
                <c:pt idx="854">
                  <c:v>43620</c:v>
                </c:pt>
                <c:pt idx="855">
                  <c:v>43621</c:v>
                </c:pt>
                <c:pt idx="856">
                  <c:v>43622</c:v>
                </c:pt>
                <c:pt idx="857">
                  <c:v>43623</c:v>
                </c:pt>
                <c:pt idx="858">
                  <c:v>43626</c:v>
                </c:pt>
                <c:pt idx="859">
                  <c:v>43627</c:v>
                </c:pt>
                <c:pt idx="860">
                  <c:v>43628</c:v>
                </c:pt>
                <c:pt idx="861">
                  <c:v>43629</c:v>
                </c:pt>
                <c:pt idx="862">
                  <c:v>43630</c:v>
                </c:pt>
                <c:pt idx="863">
                  <c:v>43633</c:v>
                </c:pt>
                <c:pt idx="864">
                  <c:v>43634</c:v>
                </c:pt>
                <c:pt idx="865">
                  <c:v>43635</c:v>
                </c:pt>
                <c:pt idx="866">
                  <c:v>43636</c:v>
                </c:pt>
                <c:pt idx="867">
                  <c:v>43637</c:v>
                </c:pt>
                <c:pt idx="868">
                  <c:v>43640</c:v>
                </c:pt>
                <c:pt idx="869">
                  <c:v>43641</c:v>
                </c:pt>
                <c:pt idx="870">
                  <c:v>43642</c:v>
                </c:pt>
                <c:pt idx="871">
                  <c:v>43643</c:v>
                </c:pt>
                <c:pt idx="872">
                  <c:v>43644</c:v>
                </c:pt>
                <c:pt idx="873">
                  <c:v>43647</c:v>
                </c:pt>
                <c:pt idx="874">
                  <c:v>43648</c:v>
                </c:pt>
                <c:pt idx="875">
                  <c:v>43649</c:v>
                </c:pt>
                <c:pt idx="876">
                  <c:v>43651</c:v>
                </c:pt>
                <c:pt idx="877">
                  <c:v>43654</c:v>
                </c:pt>
                <c:pt idx="878">
                  <c:v>43655</c:v>
                </c:pt>
                <c:pt idx="879">
                  <c:v>43656</c:v>
                </c:pt>
                <c:pt idx="880">
                  <c:v>43657</c:v>
                </c:pt>
                <c:pt idx="881">
                  <c:v>43658</c:v>
                </c:pt>
                <c:pt idx="882">
                  <c:v>43661</c:v>
                </c:pt>
                <c:pt idx="883">
                  <c:v>43662</c:v>
                </c:pt>
                <c:pt idx="884">
                  <c:v>43663</c:v>
                </c:pt>
                <c:pt idx="885">
                  <c:v>43664</c:v>
                </c:pt>
                <c:pt idx="886">
                  <c:v>43665</c:v>
                </c:pt>
                <c:pt idx="887">
                  <c:v>43668</c:v>
                </c:pt>
                <c:pt idx="888">
                  <c:v>43669</c:v>
                </c:pt>
                <c:pt idx="889">
                  <c:v>43670</c:v>
                </c:pt>
                <c:pt idx="890">
                  <c:v>43671</c:v>
                </c:pt>
                <c:pt idx="891">
                  <c:v>43672</c:v>
                </c:pt>
                <c:pt idx="892">
                  <c:v>43675</c:v>
                </c:pt>
                <c:pt idx="893">
                  <c:v>43676</c:v>
                </c:pt>
                <c:pt idx="894">
                  <c:v>43677</c:v>
                </c:pt>
                <c:pt idx="895">
                  <c:v>43678</c:v>
                </c:pt>
                <c:pt idx="896">
                  <c:v>43679</c:v>
                </c:pt>
                <c:pt idx="897">
                  <c:v>43682</c:v>
                </c:pt>
                <c:pt idx="898">
                  <c:v>43683</c:v>
                </c:pt>
                <c:pt idx="899">
                  <c:v>43684</c:v>
                </c:pt>
                <c:pt idx="900">
                  <c:v>43685</c:v>
                </c:pt>
                <c:pt idx="901">
                  <c:v>43686</c:v>
                </c:pt>
                <c:pt idx="902">
                  <c:v>43689</c:v>
                </c:pt>
                <c:pt idx="903">
                  <c:v>43690</c:v>
                </c:pt>
                <c:pt idx="904">
                  <c:v>43691</c:v>
                </c:pt>
                <c:pt idx="905">
                  <c:v>43692</c:v>
                </c:pt>
                <c:pt idx="906">
                  <c:v>43693</c:v>
                </c:pt>
                <c:pt idx="907">
                  <c:v>43696</c:v>
                </c:pt>
                <c:pt idx="908">
                  <c:v>43697</c:v>
                </c:pt>
                <c:pt idx="909">
                  <c:v>43698</c:v>
                </c:pt>
                <c:pt idx="910">
                  <c:v>43699</c:v>
                </c:pt>
                <c:pt idx="911">
                  <c:v>43700</c:v>
                </c:pt>
                <c:pt idx="912">
                  <c:v>43703</c:v>
                </c:pt>
                <c:pt idx="913">
                  <c:v>43704</c:v>
                </c:pt>
                <c:pt idx="914">
                  <c:v>43705</c:v>
                </c:pt>
                <c:pt idx="915">
                  <c:v>43706</c:v>
                </c:pt>
                <c:pt idx="916">
                  <c:v>43707</c:v>
                </c:pt>
                <c:pt idx="917">
                  <c:v>43711</c:v>
                </c:pt>
                <c:pt idx="918">
                  <c:v>43712</c:v>
                </c:pt>
                <c:pt idx="919">
                  <c:v>43713</c:v>
                </c:pt>
                <c:pt idx="920">
                  <c:v>43714</c:v>
                </c:pt>
                <c:pt idx="921">
                  <c:v>43717</c:v>
                </c:pt>
                <c:pt idx="922">
                  <c:v>43718</c:v>
                </c:pt>
                <c:pt idx="923">
                  <c:v>43719</c:v>
                </c:pt>
                <c:pt idx="924">
                  <c:v>43720</c:v>
                </c:pt>
                <c:pt idx="925">
                  <c:v>43721</c:v>
                </c:pt>
                <c:pt idx="926">
                  <c:v>43724</c:v>
                </c:pt>
                <c:pt idx="927">
                  <c:v>43725</c:v>
                </c:pt>
                <c:pt idx="928">
                  <c:v>43726</c:v>
                </c:pt>
                <c:pt idx="929">
                  <c:v>43727</c:v>
                </c:pt>
                <c:pt idx="930">
                  <c:v>43728</c:v>
                </c:pt>
                <c:pt idx="931">
                  <c:v>43731</c:v>
                </c:pt>
                <c:pt idx="932">
                  <c:v>43732</c:v>
                </c:pt>
                <c:pt idx="933">
                  <c:v>43733</c:v>
                </c:pt>
                <c:pt idx="934">
                  <c:v>43734</c:v>
                </c:pt>
                <c:pt idx="935">
                  <c:v>43735</c:v>
                </c:pt>
                <c:pt idx="936">
                  <c:v>43738</c:v>
                </c:pt>
                <c:pt idx="937">
                  <c:v>43739</c:v>
                </c:pt>
                <c:pt idx="938">
                  <c:v>43740</c:v>
                </c:pt>
                <c:pt idx="939">
                  <c:v>43741</c:v>
                </c:pt>
                <c:pt idx="940">
                  <c:v>43742</c:v>
                </c:pt>
                <c:pt idx="941">
                  <c:v>43745</c:v>
                </c:pt>
                <c:pt idx="942">
                  <c:v>43746</c:v>
                </c:pt>
                <c:pt idx="943">
                  <c:v>43747</c:v>
                </c:pt>
                <c:pt idx="944">
                  <c:v>43748</c:v>
                </c:pt>
                <c:pt idx="945">
                  <c:v>43749</c:v>
                </c:pt>
                <c:pt idx="946">
                  <c:v>43753</c:v>
                </c:pt>
                <c:pt idx="947">
                  <c:v>43754</c:v>
                </c:pt>
                <c:pt idx="948">
                  <c:v>43755</c:v>
                </c:pt>
                <c:pt idx="949">
                  <c:v>43756</c:v>
                </c:pt>
                <c:pt idx="950">
                  <c:v>43759</c:v>
                </c:pt>
                <c:pt idx="951">
                  <c:v>43760</c:v>
                </c:pt>
                <c:pt idx="952">
                  <c:v>43761</c:v>
                </c:pt>
                <c:pt idx="953">
                  <c:v>43762</c:v>
                </c:pt>
                <c:pt idx="954">
                  <c:v>43763</c:v>
                </c:pt>
                <c:pt idx="955">
                  <c:v>43766</c:v>
                </c:pt>
                <c:pt idx="956">
                  <c:v>43767</c:v>
                </c:pt>
                <c:pt idx="957">
                  <c:v>43768</c:v>
                </c:pt>
                <c:pt idx="958">
                  <c:v>43769</c:v>
                </c:pt>
                <c:pt idx="959">
                  <c:v>43770</c:v>
                </c:pt>
                <c:pt idx="960">
                  <c:v>43773</c:v>
                </c:pt>
                <c:pt idx="961">
                  <c:v>43774</c:v>
                </c:pt>
                <c:pt idx="962">
                  <c:v>43775</c:v>
                </c:pt>
                <c:pt idx="963">
                  <c:v>43776</c:v>
                </c:pt>
                <c:pt idx="964">
                  <c:v>43777</c:v>
                </c:pt>
                <c:pt idx="965">
                  <c:v>43781</c:v>
                </c:pt>
                <c:pt idx="966">
                  <c:v>43782</c:v>
                </c:pt>
                <c:pt idx="967">
                  <c:v>43783</c:v>
                </c:pt>
                <c:pt idx="968">
                  <c:v>43784</c:v>
                </c:pt>
                <c:pt idx="969">
                  <c:v>43787</c:v>
                </c:pt>
                <c:pt idx="970">
                  <c:v>43788</c:v>
                </c:pt>
                <c:pt idx="971">
                  <c:v>43789</c:v>
                </c:pt>
                <c:pt idx="972">
                  <c:v>43790</c:v>
                </c:pt>
                <c:pt idx="973">
                  <c:v>43791</c:v>
                </c:pt>
                <c:pt idx="974">
                  <c:v>43794</c:v>
                </c:pt>
                <c:pt idx="975">
                  <c:v>43795</c:v>
                </c:pt>
                <c:pt idx="976">
                  <c:v>43796</c:v>
                </c:pt>
                <c:pt idx="977">
                  <c:v>43798</c:v>
                </c:pt>
                <c:pt idx="978">
                  <c:v>43801</c:v>
                </c:pt>
                <c:pt idx="979">
                  <c:v>43802</c:v>
                </c:pt>
                <c:pt idx="980">
                  <c:v>43803</c:v>
                </c:pt>
                <c:pt idx="981">
                  <c:v>43804</c:v>
                </c:pt>
                <c:pt idx="982">
                  <c:v>43805</c:v>
                </c:pt>
                <c:pt idx="983">
                  <c:v>43808</c:v>
                </c:pt>
                <c:pt idx="984">
                  <c:v>43809</c:v>
                </c:pt>
                <c:pt idx="985">
                  <c:v>43810</c:v>
                </c:pt>
                <c:pt idx="986">
                  <c:v>43811</c:v>
                </c:pt>
                <c:pt idx="987">
                  <c:v>43812</c:v>
                </c:pt>
                <c:pt idx="988">
                  <c:v>43815</c:v>
                </c:pt>
                <c:pt idx="989">
                  <c:v>43816</c:v>
                </c:pt>
                <c:pt idx="990">
                  <c:v>43817</c:v>
                </c:pt>
                <c:pt idx="991">
                  <c:v>43818</c:v>
                </c:pt>
                <c:pt idx="992">
                  <c:v>43819</c:v>
                </c:pt>
                <c:pt idx="993">
                  <c:v>43822</c:v>
                </c:pt>
                <c:pt idx="994">
                  <c:v>43823</c:v>
                </c:pt>
                <c:pt idx="995">
                  <c:v>43825</c:v>
                </c:pt>
                <c:pt idx="996">
                  <c:v>43826</c:v>
                </c:pt>
                <c:pt idx="997">
                  <c:v>43829</c:v>
                </c:pt>
                <c:pt idx="998">
                  <c:v>43830</c:v>
                </c:pt>
                <c:pt idx="999">
                  <c:v>43832</c:v>
                </c:pt>
                <c:pt idx="1000">
                  <c:v>43833</c:v>
                </c:pt>
                <c:pt idx="1001">
                  <c:v>43836</c:v>
                </c:pt>
                <c:pt idx="1002">
                  <c:v>43837</c:v>
                </c:pt>
                <c:pt idx="1003">
                  <c:v>43838</c:v>
                </c:pt>
                <c:pt idx="1004">
                  <c:v>43839</c:v>
                </c:pt>
                <c:pt idx="1005">
                  <c:v>43840</c:v>
                </c:pt>
                <c:pt idx="1006">
                  <c:v>43843</c:v>
                </c:pt>
                <c:pt idx="1007">
                  <c:v>43844</c:v>
                </c:pt>
                <c:pt idx="1008">
                  <c:v>43845</c:v>
                </c:pt>
                <c:pt idx="1009">
                  <c:v>43846</c:v>
                </c:pt>
                <c:pt idx="1010">
                  <c:v>43847</c:v>
                </c:pt>
                <c:pt idx="1011">
                  <c:v>43851</c:v>
                </c:pt>
                <c:pt idx="1012">
                  <c:v>43852</c:v>
                </c:pt>
                <c:pt idx="1013">
                  <c:v>43853</c:v>
                </c:pt>
                <c:pt idx="1014">
                  <c:v>43854</c:v>
                </c:pt>
                <c:pt idx="1015">
                  <c:v>43857</c:v>
                </c:pt>
                <c:pt idx="1016">
                  <c:v>43858</c:v>
                </c:pt>
                <c:pt idx="1017">
                  <c:v>43859</c:v>
                </c:pt>
                <c:pt idx="1018">
                  <c:v>43860</c:v>
                </c:pt>
                <c:pt idx="1019">
                  <c:v>43861</c:v>
                </c:pt>
                <c:pt idx="1020">
                  <c:v>43864</c:v>
                </c:pt>
                <c:pt idx="1021">
                  <c:v>43865</c:v>
                </c:pt>
                <c:pt idx="1022">
                  <c:v>43866</c:v>
                </c:pt>
                <c:pt idx="1023">
                  <c:v>43867</c:v>
                </c:pt>
                <c:pt idx="1024">
                  <c:v>43868</c:v>
                </c:pt>
                <c:pt idx="1025">
                  <c:v>43871</c:v>
                </c:pt>
                <c:pt idx="1026">
                  <c:v>43872</c:v>
                </c:pt>
                <c:pt idx="1027">
                  <c:v>43873</c:v>
                </c:pt>
                <c:pt idx="1028">
                  <c:v>43874</c:v>
                </c:pt>
                <c:pt idx="1029">
                  <c:v>43875</c:v>
                </c:pt>
                <c:pt idx="1030">
                  <c:v>43879</c:v>
                </c:pt>
                <c:pt idx="1031">
                  <c:v>43880</c:v>
                </c:pt>
                <c:pt idx="1032">
                  <c:v>43881</c:v>
                </c:pt>
                <c:pt idx="1033">
                  <c:v>43882</c:v>
                </c:pt>
                <c:pt idx="1034">
                  <c:v>43885</c:v>
                </c:pt>
                <c:pt idx="1035">
                  <c:v>43886</c:v>
                </c:pt>
                <c:pt idx="1036">
                  <c:v>43887</c:v>
                </c:pt>
                <c:pt idx="1037">
                  <c:v>43888</c:v>
                </c:pt>
                <c:pt idx="1038">
                  <c:v>43889</c:v>
                </c:pt>
                <c:pt idx="1039">
                  <c:v>43892</c:v>
                </c:pt>
                <c:pt idx="1040">
                  <c:v>43893</c:v>
                </c:pt>
                <c:pt idx="1041">
                  <c:v>43894</c:v>
                </c:pt>
                <c:pt idx="1042">
                  <c:v>43895</c:v>
                </c:pt>
                <c:pt idx="1043">
                  <c:v>43896</c:v>
                </c:pt>
                <c:pt idx="1044">
                  <c:v>43899</c:v>
                </c:pt>
                <c:pt idx="1045">
                  <c:v>43900</c:v>
                </c:pt>
                <c:pt idx="1046">
                  <c:v>43901</c:v>
                </c:pt>
                <c:pt idx="1047">
                  <c:v>43902</c:v>
                </c:pt>
                <c:pt idx="1048">
                  <c:v>43903</c:v>
                </c:pt>
                <c:pt idx="1049">
                  <c:v>43906</c:v>
                </c:pt>
                <c:pt idx="1050">
                  <c:v>43907</c:v>
                </c:pt>
                <c:pt idx="1051">
                  <c:v>43908</c:v>
                </c:pt>
                <c:pt idx="1052">
                  <c:v>43909</c:v>
                </c:pt>
                <c:pt idx="1053">
                  <c:v>43910</c:v>
                </c:pt>
                <c:pt idx="1054">
                  <c:v>43913</c:v>
                </c:pt>
                <c:pt idx="1055">
                  <c:v>43914</c:v>
                </c:pt>
                <c:pt idx="1056">
                  <c:v>43915</c:v>
                </c:pt>
                <c:pt idx="1057">
                  <c:v>43916</c:v>
                </c:pt>
                <c:pt idx="1058">
                  <c:v>43917</c:v>
                </c:pt>
                <c:pt idx="1059">
                  <c:v>43920</c:v>
                </c:pt>
                <c:pt idx="1060">
                  <c:v>43921</c:v>
                </c:pt>
                <c:pt idx="1061">
                  <c:v>43922</c:v>
                </c:pt>
                <c:pt idx="1062">
                  <c:v>43923</c:v>
                </c:pt>
                <c:pt idx="1063">
                  <c:v>43924</c:v>
                </c:pt>
                <c:pt idx="1064">
                  <c:v>43927</c:v>
                </c:pt>
                <c:pt idx="1065">
                  <c:v>43928</c:v>
                </c:pt>
                <c:pt idx="1066">
                  <c:v>43929</c:v>
                </c:pt>
                <c:pt idx="1067">
                  <c:v>43930</c:v>
                </c:pt>
                <c:pt idx="1068">
                  <c:v>43934</c:v>
                </c:pt>
                <c:pt idx="1069">
                  <c:v>43935</c:v>
                </c:pt>
                <c:pt idx="1070">
                  <c:v>43936</c:v>
                </c:pt>
                <c:pt idx="1071">
                  <c:v>43937</c:v>
                </c:pt>
                <c:pt idx="1072">
                  <c:v>43938</c:v>
                </c:pt>
                <c:pt idx="1073">
                  <c:v>43941</c:v>
                </c:pt>
                <c:pt idx="1074">
                  <c:v>43942</c:v>
                </c:pt>
                <c:pt idx="1075">
                  <c:v>43943</c:v>
                </c:pt>
                <c:pt idx="1076">
                  <c:v>43944</c:v>
                </c:pt>
                <c:pt idx="1077">
                  <c:v>43945</c:v>
                </c:pt>
                <c:pt idx="1078">
                  <c:v>43948</c:v>
                </c:pt>
                <c:pt idx="1079">
                  <c:v>43949</c:v>
                </c:pt>
                <c:pt idx="1080">
                  <c:v>43950</c:v>
                </c:pt>
                <c:pt idx="1081">
                  <c:v>43951</c:v>
                </c:pt>
                <c:pt idx="1082">
                  <c:v>43952</c:v>
                </c:pt>
                <c:pt idx="1083">
                  <c:v>43955</c:v>
                </c:pt>
                <c:pt idx="1084">
                  <c:v>43956</c:v>
                </c:pt>
                <c:pt idx="1085">
                  <c:v>43957</c:v>
                </c:pt>
                <c:pt idx="1086">
                  <c:v>43958</c:v>
                </c:pt>
                <c:pt idx="1087">
                  <c:v>43959</c:v>
                </c:pt>
                <c:pt idx="1088">
                  <c:v>43962</c:v>
                </c:pt>
                <c:pt idx="1089">
                  <c:v>43963</c:v>
                </c:pt>
                <c:pt idx="1090">
                  <c:v>43964</c:v>
                </c:pt>
                <c:pt idx="1091">
                  <c:v>43965</c:v>
                </c:pt>
                <c:pt idx="1092">
                  <c:v>43966</c:v>
                </c:pt>
                <c:pt idx="1093">
                  <c:v>43969</c:v>
                </c:pt>
                <c:pt idx="1094">
                  <c:v>43970</c:v>
                </c:pt>
                <c:pt idx="1095">
                  <c:v>43971</c:v>
                </c:pt>
                <c:pt idx="1096">
                  <c:v>43972</c:v>
                </c:pt>
                <c:pt idx="1097">
                  <c:v>43973</c:v>
                </c:pt>
                <c:pt idx="1098">
                  <c:v>43977</c:v>
                </c:pt>
                <c:pt idx="1099">
                  <c:v>43978</c:v>
                </c:pt>
                <c:pt idx="1100">
                  <c:v>43979</c:v>
                </c:pt>
                <c:pt idx="1101">
                  <c:v>43980</c:v>
                </c:pt>
                <c:pt idx="1102">
                  <c:v>43983</c:v>
                </c:pt>
                <c:pt idx="1103">
                  <c:v>43984</c:v>
                </c:pt>
                <c:pt idx="1104">
                  <c:v>43985</c:v>
                </c:pt>
                <c:pt idx="1105">
                  <c:v>43986</c:v>
                </c:pt>
                <c:pt idx="1106">
                  <c:v>43987</c:v>
                </c:pt>
                <c:pt idx="1107">
                  <c:v>43990</c:v>
                </c:pt>
                <c:pt idx="1108">
                  <c:v>43991</c:v>
                </c:pt>
                <c:pt idx="1109">
                  <c:v>43992</c:v>
                </c:pt>
                <c:pt idx="1110">
                  <c:v>43993</c:v>
                </c:pt>
                <c:pt idx="1111">
                  <c:v>43994</c:v>
                </c:pt>
                <c:pt idx="1112">
                  <c:v>43997</c:v>
                </c:pt>
                <c:pt idx="1113">
                  <c:v>43998</c:v>
                </c:pt>
                <c:pt idx="1114">
                  <c:v>43999</c:v>
                </c:pt>
                <c:pt idx="1115">
                  <c:v>44000</c:v>
                </c:pt>
                <c:pt idx="1116">
                  <c:v>44001</c:v>
                </c:pt>
                <c:pt idx="1117">
                  <c:v>44004</c:v>
                </c:pt>
                <c:pt idx="1118">
                  <c:v>44005</c:v>
                </c:pt>
                <c:pt idx="1119">
                  <c:v>44006</c:v>
                </c:pt>
                <c:pt idx="1120">
                  <c:v>44007</c:v>
                </c:pt>
                <c:pt idx="1121">
                  <c:v>44008</c:v>
                </c:pt>
                <c:pt idx="1122">
                  <c:v>44011</c:v>
                </c:pt>
                <c:pt idx="1123">
                  <c:v>44012</c:v>
                </c:pt>
                <c:pt idx="1124">
                  <c:v>44013</c:v>
                </c:pt>
                <c:pt idx="1125">
                  <c:v>44014</c:v>
                </c:pt>
                <c:pt idx="1126">
                  <c:v>44018</c:v>
                </c:pt>
                <c:pt idx="1127">
                  <c:v>44019</c:v>
                </c:pt>
                <c:pt idx="1128">
                  <c:v>44020</c:v>
                </c:pt>
                <c:pt idx="1129">
                  <c:v>44021</c:v>
                </c:pt>
                <c:pt idx="1130">
                  <c:v>44022</c:v>
                </c:pt>
                <c:pt idx="1131">
                  <c:v>44025</c:v>
                </c:pt>
                <c:pt idx="1132">
                  <c:v>44026</c:v>
                </c:pt>
                <c:pt idx="1133">
                  <c:v>44027</c:v>
                </c:pt>
                <c:pt idx="1134">
                  <c:v>44028</c:v>
                </c:pt>
                <c:pt idx="1135">
                  <c:v>44029</c:v>
                </c:pt>
                <c:pt idx="1136">
                  <c:v>44032</c:v>
                </c:pt>
                <c:pt idx="1137">
                  <c:v>44033</c:v>
                </c:pt>
                <c:pt idx="1138">
                  <c:v>44034</c:v>
                </c:pt>
                <c:pt idx="1139">
                  <c:v>44035</c:v>
                </c:pt>
                <c:pt idx="1140">
                  <c:v>44036</c:v>
                </c:pt>
                <c:pt idx="1141">
                  <c:v>44039</c:v>
                </c:pt>
                <c:pt idx="1142">
                  <c:v>44040</c:v>
                </c:pt>
                <c:pt idx="1143">
                  <c:v>44041</c:v>
                </c:pt>
                <c:pt idx="1144">
                  <c:v>44042</c:v>
                </c:pt>
                <c:pt idx="1145">
                  <c:v>44043</c:v>
                </c:pt>
                <c:pt idx="1146">
                  <c:v>44046</c:v>
                </c:pt>
                <c:pt idx="1147">
                  <c:v>44047</c:v>
                </c:pt>
                <c:pt idx="1148">
                  <c:v>44048</c:v>
                </c:pt>
                <c:pt idx="1149">
                  <c:v>44049</c:v>
                </c:pt>
                <c:pt idx="1150">
                  <c:v>44050</c:v>
                </c:pt>
                <c:pt idx="1151">
                  <c:v>44053</c:v>
                </c:pt>
                <c:pt idx="1152">
                  <c:v>44054</c:v>
                </c:pt>
                <c:pt idx="1153">
                  <c:v>44055</c:v>
                </c:pt>
                <c:pt idx="1154">
                  <c:v>44056</c:v>
                </c:pt>
                <c:pt idx="1155">
                  <c:v>44057</c:v>
                </c:pt>
                <c:pt idx="1156">
                  <c:v>44060</c:v>
                </c:pt>
                <c:pt idx="1157">
                  <c:v>44061</c:v>
                </c:pt>
                <c:pt idx="1158">
                  <c:v>44062</c:v>
                </c:pt>
                <c:pt idx="1159">
                  <c:v>44063</c:v>
                </c:pt>
                <c:pt idx="1160">
                  <c:v>44064</c:v>
                </c:pt>
                <c:pt idx="1161">
                  <c:v>44067</c:v>
                </c:pt>
                <c:pt idx="1162">
                  <c:v>44068</c:v>
                </c:pt>
                <c:pt idx="1163">
                  <c:v>44069</c:v>
                </c:pt>
                <c:pt idx="1164">
                  <c:v>44070</c:v>
                </c:pt>
                <c:pt idx="1165">
                  <c:v>44071</c:v>
                </c:pt>
                <c:pt idx="1166">
                  <c:v>44074</c:v>
                </c:pt>
                <c:pt idx="1167">
                  <c:v>44075</c:v>
                </c:pt>
                <c:pt idx="1168">
                  <c:v>44076</c:v>
                </c:pt>
                <c:pt idx="1169">
                  <c:v>44077</c:v>
                </c:pt>
                <c:pt idx="1170">
                  <c:v>44078</c:v>
                </c:pt>
                <c:pt idx="1171">
                  <c:v>44082</c:v>
                </c:pt>
                <c:pt idx="1172">
                  <c:v>44083</c:v>
                </c:pt>
                <c:pt idx="1173">
                  <c:v>44084</c:v>
                </c:pt>
                <c:pt idx="1174">
                  <c:v>44085</c:v>
                </c:pt>
                <c:pt idx="1175">
                  <c:v>44088</c:v>
                </c:pt>
                <c:pt idx="1176">
                  <c:v>44089</c:v>
                </c:pt>
                <c:pt idx="1177">
                  <c:v>44090</c:v>
                </c:pt>
                <c:pt idx="1178">
                  <c:v>44091</c:v>
                </c:pt>
                <c:pt idx="1179">
                  <c:v>44092</c:v>
                </c:pt>
                <c:pt idx="1180">
                  <c:v>44095</c:v>
                </c:pt>
                <c:pt idx="1181">
                  <c:v>44096</c:v>
                </c:pt>
                <c:pt idx="1182">
                  <c:v>44097</c:v>
                </c:pt>
                <c:pt idx="1183">
                  <c:v>44098</c:v>
                </c:pt>
                <c:pt idx="1184">
                  <c:v>44099</c:v>
                </c:pt>
                <c:pt idx="1185">
                  <c:v>44102</c:v>
                </c:pt>
                <c:pt idx="1186">
                  <c:v>44103</c:v>
                </c:pt>
                <c:pt idx="1187">
                  <c:v>44104</c:v>
                </c:pt>
                <c:pt idx="1188">
                  <c:v>44105</c:v>
                </c:pt>
                <c:pt idx="1189">
                  <c:v>44106</c:v>
                </c:pt>
                <c:pt idx="1190">
                  <c:v>44109</c:v>
                </c:pt>
                <c:pt idx="1191">
                  <c:v>44110</c:v>
                </c:pt>
                <c:pt idx="1192">
                  <c:v>44111</c:v>
                </c:pt>
                <c:pt idx="1193">
                  <c:v>44112</c:v>
                </c:pt>
                <c:pt idx="1194">
                  <c:v>44113</c:v>
                </c:pt>
                <c:pt idx="1195">
                  <c:v>44117</c:v>
                </c:pt>
                <c:pt idx="1196">
                  <c:v>44118</c:v>
                </c:pt>
                <c:pt idx="1197">
                  <c:v>44119</c:v>
                </c:pt>
                <c:pt idx="1198">
                  <c:v>44120</c:v>
                </c:pt>
                <c:pt idx="1199">
                  <c:v>44123</c:v>
                </c:pt>
                <c:pt idx="1200">
                  <c:v>44124</c:v>
                </c:pt>
                <c:pt idx="1201">
                  <c:v>44125</c:v>
                </c:pt>
                <c:pt idx="1202">
                  <c:v>44126</c:v>
                </c:pt>
                <c:pt idx="1203">
                  <c:v>44127</c:v>
                </c:pt>
                <c:pt idx="1204">
                  <c:v>44130</c:v>
                </c:pt>
                <c:pt idx="1205">
                  <c:v>44131</c:v>
                </c:pt>
                <c:pt idx="1206">
                  <c:v>44132</c:v>
                </c:pt>
                <c:pt idx="1207">
                  <c:v>44133</c:v>
                </c:pt>
                <c:pt idx="1208">
                  <c:v>44134</c:v>
                </c:pt>
                <c:pt idx="1209">
                  <c:v>44137</c:v>
                </c:pt>
                <c:pt idx="1210">
                  <c:v>44138</c:v>
                </c:pt>
                <c:pt idx="1211">
                  <c:v>44139</c:v>
                </c:pt>
                <c:pt idx="1212">
                  <c:v>44140</c:v>
                </c:pt>
                <c:pt idx="1213">
                  <c:v>44141</c:v>
                </c:pt>
                <c:pt idx="1214">
                  <c:v>44144</c:v>
                </c:pt>
                <c:pt idx="1215">
                  <c:v>44145</c:v>
                </c:pt>
                <c:pt idx="1216">
                  <c:v>44147</c:v>
                </c:pt>
                <c:pt idx="1217">
                  <c:v>44148</c:v>
                </c:pt>
                <c:pt idx="1218">
                  <c:v>44151</c:v>
                </c:pt>
                <c:pt idx="1219">
                  <c:v>44152</c:v>
                </c:pt>
                <c:pt idx="1220">
                  <c:v>44153</c:v>
                </c:pt>
                <c:pt idx="1221">
                  <c:v>44154</c:v>
                </c:pt>
                <c:pt idx="1222">
                  <c:v>44155</c:v>
                </c:pt>
                <c:pt idx="1223">
                  <c:v>44158</c:v>
                </c:pt>
                <c:pt idx="1224">
                  <c:v>44159</c:v>
                </c:pt>
                <c:pt idx="1225">
                  <c:v>44160</c:v>
                </c:pt>
                <c:pt idx="1226">
                  <c:v>44162</c:v>
                </c:pt>
                <c:pt idx="1227">
                  <c:v>44165</c:v>
                </c:pt>
                <c:pt idx="1228">
                  <c:v>44166</c:v>
                </c:pt>
                <c:pt idx="1229">
                  <c:v>44167</c:v>
                </c:pt>
                <c:pt idx="1230">
                  <c:v>44168</c:v>
                </c:pt>
                <c:pt idx="1231">
                  <c:v>44169</c:v>
                </c:pt>
                <c:pt idx="1232">
                  <c:v>44172</c:v>
                </c:pt>
                <c:pt idx="1233">
                  <c:v>44173</c:v>
                </c:pt>
                <c:pt idx="1234">
                  <c:v>44174</c:v>
                </c:pt>
                <c:pt idx="1235">
                  <c:v>44175</c:v>
                </c:pt>
                <c:pt idx="1236">
                  <c:v>44176</c:v>
                </c:pt>
                <c:pt idx="1237">
                  <c:v>44179</c:v>
                </c:pt>
                <c:pt idx="1238">
                  <c:v>44180</c:v>
                </c:pt>
                <c:pt idx="1239">
                  <c:v>44181</c:v>
                </c:pt>
                <c:pt idx="1240">
                  <c:v>44182</c:v>
                </c:pt>
                <c:pt idx="1241">
                  <c:v>44183</c:v>
                </c:pt>
                <c:pt idx="1242">
                  <c:v>44186</c:v>
                </c:pt>
                <c:pt idx="1243">
                  <c:v>44187</c:v>
                </c:pt>
                <c:pt idx="1244">
                  <c:v>44188</c:v>
                </c:pt>
                <c:pt idx="1245">
                  <c:v>44189</c:v>
                </c:pt>
                <c:pt idx="1246">
                  <c:v>44193</c:v>
                </c:pt>
                <c:pt idx="1247">
                  <c:v>44194</c:v>
                </c:pt>
                <c:pt idx="1248">
                  <c:v>44195</c:v>
                </c:pt>
                <c:pt idx="1249">
                  <c:v>44196</c:v>
                </c:pt>
                <c:pt idx="1250">
                  <c:v>44200</c:v>
                </c:pt>
                <c:pt idx="1251">
                  <c:v>44201</c:v>
                </c:pt>
                <c:pt idx="1252">
                  <c:v>44202</c:v>
                </c:pt>
                <c:pt idx="1253">
                  <c:v>44203</c:v>
                </c:pt>
                <c:pt idx="1254">
                  <c:v>44204</c:v>
                </c:pt>
                <c:pt idx="1255">
                  <c:v>44207</c:v>
                </c:pt>
                <c:pt idx="1256">
                  <c:v>44208</c:v>
                </c:pt>
                <c:pt idx="1257">
                  <c:v>44209</c:v>
                </c:pt>
                <c:pt idx="1258">
                  <c:v>44210</c:v>
                </c:pt>
                <c:pt idx="1259">
                  <c:v>44211</c:v>
                </c:pt>
                <c:pt idx="1260">
                  <c:v>44215</c:v>
                </c:pt>
                <c:pt idx="1261">
                  <c:v>44216</c:v>
                </c:pt>
                <c:pt idx="1262">
                  <c:v>44217</c:v>
                </c:pt>
                <c:pt idx="1263">
                  <c:v>44218</c:v>
                </c:pt>
                <c:pt idx="1264">
                  <c:v>44221</c:v>
                </c:pt>
                <c:pt idx="1265">
                  <c:v>44222</c:v>
                </c:pt>
                <c:pt idx="1266">
                  <c:v>44223</c:v>
                </c:pt>
                <c:pt idx="1267">
                  <c:v>44224</c:v>
                </c:pt>
                <c:pt idx="1268">
                  <c:v>44225</c:v>
                </c:pt>
                <c:pt idx="1269">
                  <c:v>44228</c:v>
                </c:pt>
                <c:pt idx="1270">
                  <c:v>44229</c:v>
                </c:pt>
                <c:pt idx="1271">
                  <c:v>44230</c:v>
                </c:pt>
                <c:pt idx="1272">
                  <c:v>44231</c:v>
                </c:pt>
                <c:pt idx="1273">
                  <c:v>44232</c:v>
                </c:pt>
                <c:pt idx="1274">
                  <c:v>44235</c:v>
                </c:pt>
                <c:pt idx="1275">
                  <c:v>44236</c:v>
                </c:pt>
                <c:pt idx="1276">
                  <c:v>44237</c:v>
                </c:pt>
                <c:pt idx="1277">
                  <c:v>44238</c:v>
                </c:pt>
                <c:pt idx="1278">
                  <c:v>44239</c:v>
                </c:pt>
                <c:pt idx="1279">
                  <c:v>44243</c:v>
                </c:pt>
                <c:pt idx="1280">
                  <c:v>44244</c:v>
                </c:pt>
                <c:pt idx="1281">
                  <c:v>44245</c:v>
                </c:pt>
                <c:pt idx="1282">
                  <c:v>44246</c:v>
                </c:pt>
                <c:pt idx="1283">
                  <c:v>44249</c:v>
                </c:pt>
                <c:pt idx="1284">
                  <c:v>44250</c:v>
                </c:pt>
                <c:pt idx="1285">
                  <c:v>44251</c:v>
                </c:pt>
                <c:pt idx="1286">
                  <c:v>44252</c:v>
                </c:pt>
                <c:pt idx="1287">
                  <c:v>44253</c:v>
                </c:pt>
                <c:pt idx="1288">
                  <c:v>44256</c:v>
                </c:pt>
                <c:pt idx="1289">
                  <c:v>44257</c:v>
                </c:pt>
                <c:pt idx="1290">
                  <c:v>44258</c:v>
                </c:pt>
                <c:pt idx="1291">
                  <c:v>44259</c:v>
                </c:pt>
                <c:pt idx="1292">
                  <c:v>44260</c:v>
                </c:pt>
                <c:pt idx="1293">
                  <c:v>44263</c:v>
                </c:pt>
                <c:pt idx="1294">
                  <c:v>44264</c:v>
                </c:pt>
                <c:pt idx="1295">
                  <c:v>44265</c:v>
                </c:pt>
                <c:pt idx="1296">
                  <c:v>44266</c:v>
                </c:pt>
                <c:pt idx="1297">
                  <c:v>44267</c:v>
                </c:pt>
                <c:pt idx="1298">
                  <c:v>44270</c:v>
                </c:pt>
                <c:pt idx="1299">
                  <c:v>44271</c:v>
                </c:pt>
                <c:pt idx="1300">
                  <c:v>44272</c:v>
                </c:pt>
                <c:pt idx="1301">
                  <c:v>44273</c:v>
                </c:pt>
                <c:pt idx="1302">
                  <c:v>44274</c:v>
                </c:pt>
                <c:pt idx="1303">
                  <c:v>44277</c:v>
                </c:pt>
                <c:pt idx="1304">
                  <c:v>44278</c:v>
                </c:pt>
                <c:pt idx="1305">
                  <c:v>44279</c:v>
                </c:pt>
                <c:pt idx="1306">
                  <c:v>44280</c:v>
                </c:pt>
                <c:pt idx="1307">
                  <c:v>44281</c:v>
                </c:pt>
                <c:pt idx="1308">
                  <c:v>44284</c:v>
                </c:pt>
                <c:pt idx="1309">
                  <c:v>44285</c:v>
                </c:pt>
                <c:pt idx="1310">
                  <c:v>44286</c:v>
                </c:pt>
                <c:pt idx="1311">
                  <c:v>44287</c:v>
                </c:pt>
                <c:pt idx="1312">
                  <c:v>44288</c:v>
                </c:pt>
                <c:pt idx="1313">
                  <c:v>44291</c:v>
                </c:pt>
                <c:pt idx="1314">
                  <c:v>44292</c:v>
                </c:pt>
                <c:pt idx="1315">
                  <c:v>44293</c:v>
                </c:pt>
                <c:pt idx="1316">
                  <c:v>44294</c:v>
                </c:pt>
                <c:pt idx="1317">
                  <c:v>44295</c:v>
                </c:pt>
                <c:pt idx="1318">
                  <c:v>44298</c:v>
                </c:pt>
                <c:pt idx="1319">
                  <c:v>44299</c:v>
                </c:pt>
                <c:pt idx="1320">
                  <c:v>44300</c:v>
                </c:pt>
                <c:pt idx="1321">
                  <c:v>44301</c:v>
                </c:pt>
                <c:pt idx="1322">
                  <c:v>44302</c:v>
                </c:pt>
                <c:pt idx="1323">
                  <c:v>44305</c:v>
                </c:pt>
                <c:pt idx="1324">
                  <c:v>44306</c:v>
                </c:pt>
                <c:pt idx="1325">
                  <c:v>44307</c:v>
                </c:pt>
                <c:pt idx="1326">
                  <c:v>44308</c:v>
                </c:pt>
                <c:pt idx="1327">
                  <c:v>44309</c:v>
                </c:pt>
                <c:pt idx="1328">
                  <c:v>44312</c:v>
                </c:pt>
                <c:pt idx="1329">
                  <c:v>44313</c:v>
                </c:pt>
                <c:pt idx="1330">
                  <c:v>44314</c:v>
                </c:pt>
                <c:pt idx="1331">
                  <c:v>44315</c:v>
                </c:pt>
                <c:pt idx="1332">
                  <c:v>44316</c:v>
                </c:pt>
                <c:pt idx="1333">
                  <c:v>44319</c:v>
                </c:pt>
                <c:pt idx="1334">
                  <c:v>44320</c:v>
                </c:pt>
                <c:pt idx="1335">
                  <c:v>44321</c:v>
                </c:pt>
                <c:pt idx="1336">
                  <c:v>44322</c:v>
                </c:pt>
                <c:pt idx="1337">
                  <c:v>44323</c:v>
                </c:pt>
                <c:pt idx="1338">
                  <c:v>44326</c:v>
                </c:pt>
                <c:pt idx="1339">
                  <c:v>44327</c:v>
                </c:pt>
                <c:pt idx="1340">
                  <c:v>44328</c:v>
                </c:pt>
                <c:pt idx="1341">
                  <c:v>44329</c:v>
                </c:pt>
                <c:pt idx="1342">
                  <c:v>44330</c:v>
                </c:pt>
                <c:pt idx="1343">
                  <c:v>44333</c:v>
                </c:pt>
                <c:pt idx="1344">
                  <c:v>44334</c:v>
                </c:pt>
                <c:pt idx="1345">
                  <c:v>44335</c:v>
                </c:pt>
                <c:pt idx="1346">
                  <c:v>44336</c:v>
                </c:pt>
                <c:pt idx="1347">
                  <c:v>44337</c:v>
                </c:pt>
                <c:pt idx="1348">
                  <c:v>44340</c:v>
                </c:pt>
                <c:pt idx="1349">
                  <c:v>44341</c:v>
                </c:pt>
                <c:pt idx="1350">
                  <c:v>44342</c:v>
                </c:pt>
                <c:pt idx="1351">
                  <c:v>44343</c:v>
                </c:pt>
                <c:pt idx="1352">
                  <c:v>44344</c:v>
                </c:pt>
                <c:pt idx="1353">
                  <c:v>44348</c:v>
                </c:pt>
                <c:pt idx="1354">
                  <c:v>44349</c:v>
                </c:pt>
                <c:pt idx="1355">
                  <c:v>44350</c:v>
                </c:pt>
                <c:pt idx="1356">
                  <c:v>44351</c:v>
                </c:pt>
                <c:pt idx="1357">
                  <c:v>44354</c:v>
                </c:pt>
                <c:pt idx="1358">
                  <c:v>44355</c:v>
                </c:pt>
                <c:pt idx="1359">
                  <c:v>44356</c:v>
                </c:pt>
                <c:pt idx="1360">
                  <c:v>44357</c:v>
                </c:pt>
                <c:pt idx="1361">
                  <c:v>44358</c:v>
                </c:pt>
                <c:pt idx="1362">
                  <c:v>44361</c:v>
                </c:pt>
                <c:pt idx="1363">
                  <c:v>44362</c:v>
                </c:pt>
                <c:pt idx="1364">
                  <c:v>44363</c:v>
                </c:pt>
                <c:pt idx="1365">
                  <c:v>44364</c:v>
                </c:pt>
                <c:pt idx="1366">
                  <c:v>44365</c:v>
                </c:pt>
                <c:pt idx="1367">
                  <c:v>44368</c:v>
                </c:pt>
                <c:pt idx="1368">
                  <c:v>44369</c:v>
                </c:pt>
                <c:pt idx="1369">
                  <c:v>44370</c:v>
                </c:pt>
                <c:pt idx="1370">
                  <c:v>44371</c:v>
                </c:pt>
                <c:pt idx="1371">
                  <c:v>44372</c:v>
                </c:pt>
                <c:pt idx="1372">
                  <c:v>44375</c:v>
                </c:pt>
                <c:pt idx="1373">
                  <c:v>44376</c:v>
                </c:pt>
                <c:pt idx="1374">
                  <c:v>44377</c:v>
                </c:pt>
                <c:pt idx="1375">
                  <c:v>44378</c:v>
                </c:pt>
                <c:pt idx="1376">
                  <c:v>44379</c:v>
                </c:pt>
                <c:pt idx="1377">
                  <c:v>44383</c:v>
                </c:pt>
                <c:pt idx="1378">
                  <c:v>44384</c:v>
                </c:pt>
                <c:pt idx="1379">
                  <c:v>44385</c:v>
                </c:pt>
                <c:pt idx="1380">
                  <c:v>44386</c:v>
                </c:pt>
                <c:pt idx="1381">
                  <c:v>44389</c:v>
                </c:pt>
                <c:pt idx="1382">
                  <c:v>44390</c:v>
                </c:pt>
                <c:pt idx="1383">
                  <c:v>44391</c:v>
                </c:pt>
                <c:pt idx="1384">
                  <c:v>44392</c:v>
                </c:pt>
                <c:pt idx="1385">
                  <c:v>44393</c:v>
                </c:pt>
                <c:pt idx="1386">
                  <c:v>44396</c:v>
                </c:pt>
                <c:pt idx="1387">
                  <c:v>44397</c:v>
                </c:pt>
                <c:pt idx="1388">
                  <c:v>44398</c:v>
                </c:pt>
                <c:pt idx="1389">
                  <c:v>44399</c:v>
                </c:pt>
                <c:pt idx="1390">
                  <c:v>44400</c:v>
                </c:pt>
                <c:pt idx="1391">
                  <c:v>44403</c:v>
                </c:pt>
                <c:pt idx="1392">
                  <c:v>44404</c:v>
                </c:pt>
                <c:pt idx="1393">
                  <c:v>44405</c:v>
                </c:pt>
                <c:pt idx="1394">
                  <c:v>44406</c:v>
                </c:pt>
                <c:pt idx="1395">
                  <c:v>44407</c:v>
                </c:pt>
                <c:pt idx="1396">
                  <c:v>44410</c:v>
                </c:pt>
                <c:pt idx="1397">
                  <c:v>44411</c:v>
                </c:pt>
                <c:pt idx="1398">
                  <c:v>44412</c:v>
                </c:pt>
                <c:pt idx="1399">
                  <c:v>44413</c:v>
                </c:pt>
                <c:pt idx="1400">
                  <c:v>44414</c:v>
                </c:pt>
                <c:pt idx="1401">
                  <c:v>44417</c:v>
                </c:pt>
                <c:pt idx="1402">
                  <c:v>44418</c:v>
                </c:pt>
                <c:pt idx="1403">
                  <c:v>44419</c:v>
                </c:pt>
                <c:pt idx="1404">
                  <c:v>44420</c:v>
                </c:pt>
                <c:pt idx="1405">
                  <c:v>44421</c:v>
                </c:pt>
                <c:pt idx="1406">
                  <c:v>44424</c:v>
                </c:pt>
                <c:pt idx="1407">
                  <c:v>44425</c:v>
                </c:pt>
                <c:pt idx="1408">
                  <c:v>44426</c:v>
                </c:pt>
                <c:pt idx="1409">
                  <c:v>44427</c:v>
                </c:pt>
                <c:pt idx="1410">
                  <c:v>44428</c:v>
                </c:pt>
                <c:pt idx="1411">
                  <c:v>44431</c:v>
                </c:pt>
                <c:pt idx="1412">
                  <c:v>44432</c:v>
                </c:pt>
                <c:pt idx="1413">
                  <c:v>44433</c:v>
                </c:pt>
                <c:pt idx="1414">
                  <c:v>44434</c:v>
                </c:pt>
                <c:pt idx="1415">
                  <c:v>44435</c:v>
                </c:pt>
                <c:pt idx="1416">
                  <c:v>44438</c:v>
                </c:pt>
                <c:pt idx="1417">
                  <c:v>44439</c:v>
                </c:pt>
                <c:pt idx="1418">
                  <c:v>44440</c:v>
                </c:pt>
                <c:pt idx="1419">
                  <c:v>44441</c:v>
                </c:pt>
                <c:pt idx="1420">
                  <c:v>44442</c:v>
                </c:pt>
                <c:pt idx="1421">
                  <c:v>44446</c:v>
                </c:pt>
                <c:pt idx="1422">
                  <c:v>44447</c:v>
                </c:pt>
                <c:pt idx="1423">
                  <c:v>44448</c:v>
                </c:pt>
                <c:pt idx="1424">
                  <c:v>44449</c:v>
                </c:pt>
                <c:pt idx="1425">
                  <c:v>44452</c:v>
                </c:pt>
                <c:pt idx="1426">
                  <c:v>44453</c:v>
                </c:pt>
                <c:pt idx="1427">
                  <c:v>44454</c:v>
                </c:pt>
                <c:pt idx="1428">
                  <c:v>44455</c:v>
                </c:pt>
                <c:pt idx="1429">
                  <c:v>44456</c:v>
                </c:pt>
                <c:pt idx="1430">
                  <c:v>44459</c:v>
                </c:pt>
                <c:pt idx="1431">
                  <c:v>44460</c:v>
                </c:pt>
                <c:pt idx="1432">
                  <c:v>44461</c:v>
                </c:pt>
                <c:pt idx="1433">
                  <c:v>44462</c:v>
                </c:pt>
                <c:pt idx="1434">
                  <c:v>44463</c:v>
                </c:pt>
                <c:pt idx="1435">
                  <c:v>44466</c:v>
                </c:pt>
                <c:pt idx="1436">
                  <c:v>44467</c:v>
                </c:pt>
                <c:pt idx="1437">
                  <c:v>44468</c:v>
                </c:pt>
                <c:pt idx="1438">
                  <c:v>44469</c:v>
                </c:pt>
                <c:pt idx="1439">
                  <c:v>44470</c:v>
                </c:pt>
                <c:pt idx="1440">
                  <c:v>44473</c:v>
                </c:pt>
                <c:pt idx="1441">
                  <c:v>44474</c:v>
                </c:pt>
                <c:pt idx="1442">
                  <c:v>44475</c:v>
                </c:pt>
                <c:pt idx="1443">
                  <c:v>44476</c:v>
                </c:pt>
                <c:pt idx="1444">
                  <c:v>44477</c:v>
                </c:pt>
                <c:pt idx="1445">
                  <c:v>44481</c:v>
                </c:pt>
                <c:pt idx="1446">
                  <c:v>44482</c:v>
                </c:pt>
                <c:pt idx="1447">
                  <c:v>44483</c:v>
                </c:pt>
                <c:pt idx="1448">
                  <c:v>44484</c:v>
                </c:pt>
                <c:pt idx="1449">
                  <c:v>44487</c:v>
                </c:pt>
                <c:pt idx="1450">
                  <c:v>44488</c:v>
                </c:pt>
                <c:pt idx="1451">
                  <c:v>44489</c:v>
                </c:pt>
                <c:pt idx="1452">
                  <c:v>44490</c:v>
                </c:pt>
                <c:pt idx="1453">
                  <c:v>44491</c:v>
                </c:pt>
                <c:pt idx="1454">
                  <c:v>44494</c:v>
                </c:pt>
                <c:pt idx="1455">
                  <c:v>44495</c:v>
                </c:pt>
                <c:pt idx="1456">
                  <c:v>44496</c:v>
                </c:pt>
                <c:pt idx="1457">
                  <c:v>44497</c:v>
                </c:pt>
                <c:pt idx="1458">
                  <c:v>44498</c:v>
                </c:pt>
                <c:pt idx="1459">
                  <c:v>44501</c:v>
                </c:pt>
                <c:pt idx="1460">
                  <c:v>44502</c:v>
                </c:pt>
                <c:pt idx="1461">
                  <c:v>44503</c:v>
                </c:pt>
                <c:pt idx="1462">
                  <c:v>44504</c:v>
                </c:pt>
                <c:pt idx="1463">
                  <c:v>44505</c:v>
                </c:pt>
                <c:pt idx="1464">
                  <c:v>44508</c:v>
                </c:pt>
                <c:pt idx="1465">
                  <c:v>44509</c:v>
                </c:pt>
                <c:pt idx="1466">
                  <c:v>44510</c:v>
                </c:pt>
                <c:pt idx="1467">
                  <c:v>44512</c:v>
                </c:pt>
                <c:pt idx="1468">
                  <c:v>44515</c:v>
                </c:pt>
                <c:pt idx="1469">
                  <c:v>44516</c:v>
                </c:pt>
                <c:pt idx="1470">
                  <c:v>44517</c:v>
                </c:pt>
                <c:pt idx="1471">
                  <c:v>44518</c:v>
                </c:pt>
                <c:pt idx="1472">
                  <c:v>44519</c:v>
                </c:pt>
                <c:pt idx="1473">
                  <c:v>44522</c:v>
                </c:pt>
                <c:pt idx="1474">
                  <c:v>44523</c:v>
                </c:pt>
                <c:pt idx="1475">
                  <c:v>44524</c:v>
                </c:pt>
                <c:pt idx="1476">
                  <c:v>44526</c:v>
                </c:pt>
                <c:pt idx="1477">
                  <c:v>44529</c:v>
                </c:pt>
                <c:pt idx="1478">
                  <c:v>44530</c:v>
                </c:pt>
                <c:pt idx="1479">
                  <c:v>44531</c:v>
                </c:pt>
                <c:pt idx="1480">
                  <c:v>44532</c:v>
                </c:pt>
                <c:pt idx="1481">
                  <c:v>44533</c:v>
                </c:pt>
                <c:pt idx="1482">
                  <c:v>44536</c:v>
                </c:pt>
                <c:pt idx="1483">
                  <c:v>44537</c:v>
                </c:pt>
                <c:pt idx="1484">
                  <c:v>44538</c:v>
                </c:pt>
                <c:pt idx="1485">
                  <c:v>44539</c:v>
                </c:pt>
                <c:pt idx="1486">
                  <c:v>44540</c:v>
                </c:pt>
                <c:pt idx="1487">
                  <c:v>44543</c:v>
                </c:pt>
                <c:pt idx="1488">
                  <c:v>44544</c:v>
                </c:pt>
                <c:pt idx="1489">
                  <c:v>44545</c:v>
                </c:pt>
                <c:pt idx="1490">
                  <c:v>44546</c:v>
                </c:pt>
                <c:pt idx="1491">
                  <c:v>44547</c:v>
                </c:pt>
                <c:pt idx="1492">
                  <c:v>44550</c:v>
                </c:pt>
                <c:pt idx="1493">
                  <c:v>44551</c:v>
                </c:pt>
                <c:pt idx="1494">
                  <c:v>44552</c:v>
                </c:pt>
                <c:pt idx="1495">
                  <c:v>44553</c:v>
                </c:pt>
                <c:pt idx="1496">
                  <c:v>44557</c:v>
                </c:pt>
                <c:pt idx="1497">
                  <c:v>44558</c:v>
                </c:pt>
                <c:pt idx="1498">
                  <c:v>44559</c:v>
                </c:pt>
                <c:pt idx="1499">
                  <c:v>44560</c:v>
                </c:pt>
                <c:pt idx="1500">
                  <c:v>44561</c:v>
                </c:pt>
                <c:pt idx="1501">
                  <c:v>44564</c:v>
                </c:pt>
                <c:pt idx="1502">
                  <c:v>44565</c:v>
                </c:pt>
                <c:pt idx="1503">
                  <c:v>44566</c:v>
                </c:pt>
                <c:pt idx="1504">
                  <c:v>44567</c:v>
                </c:pt>
                <c:pt idx="1505">
                  <c:v>44568</c:v>
                </c:pt>
                <c:pt idx="1506">
                  <c:v>44571</c:v>
                </c:pt>
                <c:pt idx="1507">
                  <c:v>44572</c:v>
                </c:pt>
                <c:pt idx="1508">
                  <c:v>44573</c:v>
                </c:pt>
                <c:pt idx="1509">
                  <c:v>44574</c:v>
                </c:pt>
                <c:pt idx="1510">
                  <c:v>44575</c:v>
                </c:pt>
                <c:pt idx="1511">
                  <c:v>44579</c:v>
                </c:pt>
                <c:pt idx="1512">
                  <c:v>44580</c:v>
                </c:pt>
                <c:pt idx="1513">
                  <c:v>44581</c:v>
                </c:pt>
                <c:pt idx="1514">
                  <c:v>44582</c:v>
                </c:pt>
                <c:pt idx="1515">
                  <c:v>44585</c:v>
                </c:pt>
                <c:pt idx="1516">
                  <c:v>44586</c:v>
                </c:pt>
                <c:pt idx="1517">
                  <c:v>44587</c:v>
                </c:pt>
                <c:pt idx="1518">
                  <c:v>44588</c:v>
                </c:pt>
                <c:pt idx="1519">
                  <c:v>44589</c:v>
                </c:pt>
                <c:pt idx="1520">
                  <c:v>44592</c:v>
                </c:pt>
                <c:pt idx="1521">
                  <c:v>44593</c:v>
                </c:pt>
                <c:pt idx="1522">
                  <c:v>44594</c:v>
                </c:pt>
                <c:pt idx="1523">
                  <c:v>44595</c:v>
                </c:pt>
                <c:pt idx="1524">
                  <c:v>44596</c:v>
                </c:pt>
                <c:pt idx="1525">
                  <c:v>44599</c:v>
                </c:pt>
                <c:pt idx="1526">
                  <c:v>44600</c:v>
                </c:pt>
                <c:pt idx="1527">
                  <c:v>44601</c:v>
                </c:pt>
                <c:pt idx="1528">
                  <c:v>44602</c:v>
                </c:pt>
                <c:pt idx="1529">
                  <c:v>44603</c:v>
                </c:pt>
                <c:pt idx="1530">
                  <c:v>44606</c:v>
                </c:pt>
                <c:pt idx="1531">
                  <c:v>44607</c:v>
                </c:pt>
                <c:pt idx="1532">
                  <c:v>44608</c:v>
                </c:pt>
                <c:pt idx="1533">
                  <c:v>44609</c:v>
                </c:pt>
                <c:pt idx="1534">
                  <c:v>44610</c:v>
                </c:pt>
                <c:pt idx="1535">
                  <c:v>44614</c:v>
                </c:pt>
                <c:pt idx="1536">
                  <c:v>44615</c:v>
                </c:pt>
                <c:pt idx="1537">
                  <c:v>44616</c:v>
                </c:pt>
                <c:pt idx="1538">
                  <c:v>44617</c:v>
                </c:pt>
                <c:pt idx="1539">
                  <c:v>44620</c:v>
                </c:pt>
                <c:pt idx="1540">
                  <c:v>44621</c:v>
                </c:pt>
                <c:pt idx="1541">
                  <c:v>44622</c:v>
                </c:pt>
                <c:pt idx="1542">
                  <c:v>44623</c:v>
                </c:pt>
                <c:pt idx="1543">
                  <c:v>44624</c:v>
                </c:pt>
                <c:pt idx="1544">
                  <c:v>44627</c:v>
                </c:pt>
                <c:pt idx="1545">
                  <c:v>44628</c:v>
                </c:pt>
                <c:pt idx="1546">
                  <c:v>44629</c:v>
                </c:pt>
                <c:pt idx="1547">
                  <c:v>44630</c:v>
                </c:pt>
                <c:pt idx="1548">
                  <c:v>44631</c:v>
                </c:pt>
                <c:pt idx="1549">
                  <c:v>44634</c:v>
                </c:pt>
                <c:pt idx="1550">
                  <c:v>44635</c:v>
                </c:pt>
                <c:pt idx="1551">
                  <c:v>44636</c:v>
                </c:pt>
                <c:pt idx="1552">
                  <c:v>44637</c:v>
                </c:pt>
                <c:pt idx="1553">
                  <c:v>44638</c:v>
                </c:pt>
                <c:pt idx="1554">
                  <c:v>44641</c:v>
                </c:pt>
                <c:pt idx="1555">
                  <c:v>44642</c:v>
                </c:pt>
                <c:pt idx="1556">
                  <c:v>44643</c:v>
                </c:pt>
                <c:pt idx="1557">
                  <c:v>44644</c:v>
                </c:pt>
                <c:pt idx="1558">
                  <c:v>44645</c:v>
                </c:pt>
                <c:pt idx="1559">
                  <c:v>44648</c:v>
                </c:pt>
                <c:pt idx="1560">
                  <c:v>44649</c:v>
                </c:pt>
                <c:pt idx="1561">
                  <c:v>44650</c:v>
                </c:pt>
                <c:pt idx="1562">
                  <c:v>44651</c:v>
                </c:pt>
                <c:pt idx="1563">
                  <c:v>44652</c:v>
                </c:pt>
                <c:pt idx="1564">
                  <c:v>44655</c:v>
                </c:pt>
                <c:pt idx="1565">
                  <c:v>44656</c:v>
                </c:pt>
                <c:pt idx="1566">
                  <c:v>44657</c:v>
                </c:pt>
                <c:pt idx="1567">
                  <c:v>44658</c:v>
                </c:pt>
                <c:pt idx="1568">
                  <c:v>44659</c:v>
                </c:pt>
                <c:pt idx="1569">
                  <c:v>44662</c:v>
                </c:pt>
                <c:pt idx="1570">
                  <c:v>44663</c:v>
                </c:pt>
                <c:pt idx="1571">
                  <c:v>44664</c:v>
                </c:pt>
                <c:pt idx="1572">
                  <c:v>44665</c:v>
                </c:pt>
                <c:pt idx="1573">
                  <c:v>44669</c:v>
                </c:pt>
                <c:pt idx="1574">
                  <c:v>44670</c:v>
                </c:pt>
                <c:pt idx="1575">
                  <c:v>44671</c:v>
                </c:pt>
                <c:pt idx="1576">
                  <c:v>44672</c:v>
                </c:pt>
                <c:pt idx="1577">
                  <c:v>44673</c:v>
                </c:pt>
                <c:pt idx="1578">
                  <c:v>44676</c:v>
                </c:pt>
                <c:pt idx="1579">
                  <c:v>44677</c:v>
                </c:pt>
                <c:pt idx="1580">
                  <c:v>44678</c:v>
                </c:pt>
                <c:pt idx="1581">
                  <c:v>44679</c:v>
                </c:pt>
                <c:pt idx="1582">
                  <c:v>44680</c:v>
                </c:pt>
                <c:pt idx="1583">
                  <c:v>44683</c:v>
                </c:pt>
                <c:pt idx="1584">
                  <c:v>44684</c:v>
                </c:pt>
                <c:pt idx="1585">
                  <c:v>44685</c:v>
                </c:pt>
                <c:pt idx="1586">
                  <c:v>44686</c:v>
                </c:pt>
                <c:pt idx="1587">
                  <c:v>44687</c:v>
                </c:pt>
                <c:pt idx="1588">
                  <c:v>44690</c:v>
                </c:pt>
                <c:pt idx="1589">
                  <c:v>44691</c:v>
                </c:pt>
                <c:pt idx="1590">
                  <c:v>44692</c:v>
                </c:pt>
                <c:pt idx="1591">
                  <c:v>44693</c:v>
                </c:pt>
                <c:pt idx="1592">
                  <c:v>44694</c:v>
                </c:pt>
                <c:pt idx="1593">
                  <c:v>44697</c:v>
                </c:pt>
                <c:pt idx="1594">
                  <c:v>44698</c:v>
                </c:pt>
                <c:pt idx="1595">
                  <c:v>44699</c:v>
                </c:pt>
                <c:pt idx="1596">
                  <c:v>44700</c:v>
                </c:pt>
                <c:pt idx="1597">
                  <c:v>44701</c:v>
                </c:pt>
                <c:pt idx="1598">
                  <c:v>44704</c:v>
                </c:pt>
                <c:pt idx="1599">
                  <c:v>44705</c:v>
                </c:pt>
                <c:pt idx="1600">
                  <c:v>44706</c:v>
                </c:pt>
                <c:pt idx="1601">
                  <c:v>44707</c:v>
                </c:pt>
                <c:pt idx="1602">
                  <c:v>44708</c:v>
                </c:pt>
                <c:pt idx="1603">
                  <c:v>44712</c:v>
                </c:pt>
                <c:pt idx="1604">
                  <c:v>44713</c:v>
                </c:pt>
                <c:pt idx="1605">
                  <c:v>44714</c:v>
                </c:pt>
                <c:pt idx="1606">
                  <c:v>44715</c:v>
                </c:pt>
                <c:pt idx="1607">
                  <c:v>44718</c:v>
                </c:pt>
                <c:pt idx="1608">
                  <c:v>44719</c:v>
                </c:pt>
                <c:pt idx="1609">
                  <c:v>44720</c:v>
                </c:pt>
                <c:pt idx="1610">
                  <c:v>44721</c:v>
                </c:pt>
                <c:pt idx="1611">
                  <c:v>44722</c:v>
                </c:pt>
                <c:pt idx="1612">
                  <c:v>44725</c:v>
                </c:pt>
                <c:pt idx="1613">
                  <c:v>44726</c:v>
                </c:pt>
                <c:pt idx="1614">
                  <c:v>44727</c:v>
                </c:pt>
                <c:pt idx="1615">
                  <c:v>44728</c:v>
                </c:pt>
                <c:pt idx="1616">
                  <c:v>44729</c:v>
                </c:pt>
                <c:pt idx="1617">
                  <c:v>44733</c:v>
                </c:pt>
                <c:pt idx="1618">
                  <c:v>44734</c:v>
                </c:pt>
                <c:pt idx="1619">
                  <c:v>44735</c:v>
                </c:pt>
                <c:pt idx="1620">
                  <c:v>44736</c:v>
                </c:pt>
                <c:pt idx="1621">
                  <c:v>44739</c:v>
                </c:pt>
                <c:pt idx="1622">
                  <c:v>44740</c:v>
                </c:pt>
                <c:pt idx="1623">
                  <c:v>44741</c:v>
                </c:pt>
                <c:pt idx="1624">
                  <c:v>44742</c:v>
                </c:pt>
                <c:pt idx="1625">
                  <c:v>44743</c:v>
                </c:pt>
                <c:pt idx="1626">
                  <c:v>44747</c:v>
                </c:pt>
                <c:pt idx="1627">
                  <c:v>44748</c:v>
                </c:pt>
                <c:pt idx="1628">
                  <c:v>44749</c:v>
                </c:pt>
                <c:pt idx="1629">
                  <c:v>44750</c:v>
                </c:pt>
                <c:pt idx="1630">
                  <c:v>44753</c:v>
                </c:pt>
                <c:pt idx="1631">
                  <c:v>44754</c:v>
                </c:pt>
                <c:pt idx="1632">
                  <c:v>44755</c:v>
                </c:pt>
                <c:pt idx="1633">
                  <c:v>44756</c:v>
                </c:pt>
                <c:pt idx="1634">
                  <c:v>44757</c:v>
                </c:pt>
                <c:pt idx="1635">
                  <c:v>44760</c:v>
                </c:pt>
                <c:pt idx="1636">
                  <c:v>44761</c:v>
                </c:pt>
                <c:pt idx="1637">
                  <c:v>44762</c:v>
                </c:pt>
                <c:pt idx="1638">
                  <c:v>44763</c:v>
                </c:pt>
                <c:pt idx="1639">
                  <c:v>44764</c:v>
                </c:pt>
                <c:pt idx="1640">
                  <c:v>44767</c:v>
                </c:pt>
                <c:pt idx="1641">
                  <c:v>44768</c:v>
                </c:pt>
                <c:pt idx="1642">
                  <c:v>44769</c:v>
                </c:pt>
                <c:pt idx="1643">
                  <c:v>44770</c:v>
                </c:pt>
                <c:pt idx="1644">
                  <c:v>44771</c:v>
                </c:pt>
                <c:pt idx="1645">
                  <c:v>44774</c:v>
                </c:pt>
                <c:pt idx="1646">
                  <c:v>44775</c:v>
                </c:pt>
                <c:pt idx="1647">
                  <c:v>44776</c:v>
                </c:pt>
                <c:pt idx="1648">
                  <c:v>44777</c:v>
                </c:pt>
                <c:pt idx="1649">
                  <c:v>44778</c:v>
                </c:pt>
                <c:pt idx="1650">
                  <c:v>44781</c:v>
                </c:pt>
                <c:pt idx="1651">
                  <c:v>44782</c:v>
                </c:pt>
                <c:pt idx="1652">
                  <c:v>44783</c:v>
                </c:pt>
                <c:pt idx="1653">
                  <c:v>44784</c:v>
                </c:pt>
                <c:pt idx="1654">
                  <c:v>44785</c:v>
                </c:pt>
                <c:pt idx="1655">
                  <c:v>44788</c:v>
                </c:pt>
                <c:pt idx="1656">
                  <c:v>44789</c:v>
                </c:pt>
                <c:pt idx="1657">
                  <c:v>44790</c:v>
                </c:pt>
                <c:pt idx="1658">
                  <c:v>44791</c:v>
                </c:pt>
                <c:pt idx="1659">
                  <c:v>44792</c:v>
                </c:pt>
                <c:pt idx="1660">
                  <c:v>44795</c:v>
                </c:pt>
                <c:pt idx="1661">
                  <c:v>44796</c:v>
                </c:pt>
                <c:pt idx="1662">
                  <c:v>44797</c:v>
                </c:pt>
                <c:pt idx="1663">
                  <c:v>44798</c:v>
                </c:pt>
                <c:pt idx="1664">
                  <c:v>44799</c:v>
                </c:pt>
                <c:pt idx="1665">
                  <c:v>44802</c:v>
                </c:pt>
                <c:pt idx="1666">
                  <c:v>44803</c:v>
                </c:pt>
                <c:pt idx="1667">
                  <c:v>44804</c:v>
                </c:pt>
                <c:pt idx="1668">
                  <c:v>44805</c:v>
                </c:pt>
                <c:pt idx="1669">
                  <c:v>44806</c:v>
                </c:pt>
                <c:pt idx="1670">
                  <c:v>44810</c:v>
                </c:pt>
                <c:pt idx="1671">
                  <c:v>44811</c:v>
                </c:pt>
                <c:pt idx="1672">
                  <c:v>44812</c:v>
                </c:pt>
                <c:pt idx="1673">
                  <c:v>44813</c:v>
                </c:pt>
                <c:pt idx="1674">
                  <c:v>44816</c:v>
                </c:pt>
                <c:pt idx="1675">
                  <c:v>44817</c:v>
                </c:pt>
                <c:pt idx="1676">
                  <c:v>44818</c:v>
                </c:pt>
                <c:pt idx="1677">
                  <c:v>44819</c:v>
                </c:pt>
                <c:pt idx="1678">
                  <c:v>44820</c:v>
                </c:pt>
                <c:pt idx="1679">
                  <c:v>44823</c:v>
                </c:pt>
                <c:pt idx="1680">
                  <c:v>44824</c:v>
                </c:pt>
                <c:pt idx="1681">
                  <c:v>44825</c:v>
                </c:pt>
                <c:pt idx="1682">
                  <c:v>44826</c:v>
                </c:pt>
                <c:pt idx="1683">
                  <c:v>44827</c:v>
                </c:pt>
                <c:pt idx="1684">
                  <c:v>44830</c:v>
                </c:pt>
                <c:pt idx="1685">
                  <c:v>44831</c:v>
                </c:pt>
                <c:pt idx="1686">
                  <c:v>44832</c:v>
                </c:pt>
                <c:pt idx="1687">
                  <c:v>44833</c:v>
                </c:pt>
                <c:pt idx="1688">
                  <c:v>44834</c:v>
                </c:pt>
                <c:pt idx="1689">
                  <c:v>44837</c:v>
                </c:pt>
                <c:pt idx="1690">
                  <c:v>44838</c:v>
                </c:pt>
                <c:pt idx="1691">
                  <c:v>44839</c:v>
                </c:pt>
                <c:pt idx="1692">
                  <c:v>44840</c:v>
                </c:pt>
                <c:pt idx="1693">
                  <c:v>44841</c:v>
                </c:pt>
                <c:pt idx="1694">
                  <c:v>44845</c:v>
                </c:pt>
                <c:pt idx="1695">
                  <c:v>44846</c:v>
                </c:pt>
                <c:pt idx="1696">
                  <c:v>44847</c:v>
                </c:pt>
                <c:pt idx="1697">
                  <c:v>44848</c:v>
                </c:pt>
                <c:pt idx="1698">
                  <c:v>44851</c:v>
                </c:pt>
                <c:pt idx="1699">
                  <c:v>44852</c:v>
                </c:pt>
                <c:pt idx="1700">
                  <c:v>44853</c:v>
                </c:pt>
                <c:pt idx="1701">
                  <c:v>44854</c:v>
                </c:pt>
                <c:pt idx="1702">
                  <c:v>44855</c:v>
                </c:pt>
                <c:pt idx="1703">
                  <c:v>44858</c:v>
                </c:pt>
                <c:pt idx="1704">
                  <c:v>44859</c:v>
                </c:pt>
                <c:pt idx="1705">
                  <c:v>44860</c:v>
                </c:pt>
                <c:pt idx="1706">
                  <c:v>44861</c:v>
                </c:pt>
                <c:pt idx="1707">
                  <c:v>44862</c:v>
                </c:pt>
                <c:pt idx="1708">
                  <c:v>44865</c:v>
                </c:pt>
                <c:pt idx="1709">
                  <c:v>44866</c:v>
                </c:pt>
                <c:pt idx="1710">
                  <c:v>44867</c:v>
                </c:pt>
                <c:pt idx="1711">
                  <c:v>44868</c:v>
                </c:pt>
                <c:pt idx="1712">
                  <c:v>44869</c:v>
                </c:pt>
                <c:pt idx="1713">
                  <c:v>44872</c:v>
                </c:pt>
                <c:pt idx="1714">
                  <c:v>44873</c:v>
                </c:pt>
                <c:pt idx="1715">
                  <c:v>44874</c:v>
                </c:pt>
                <c:pt idx="1716">
                  <c:v>44875</c:v>
                </c:pt>
                <c:pt idx="1717">
                  <c:v>44879</c:v>
                </c:pt>
                <c:pt idx="1718">
                  <c:v>44880</c:v>
                </c:pt>
                <c:pt idx="1719">
                  <c:v>44881</c:v>
                </c:pt>
                <c:pt idx="1720">
                  <c:v>44882</c:v>
                </c:pt>
                <c:pt idx="1721">
                  <c:v>44883</c:v>
                </c:pt>
                <c:pt idx="1722">
                  <c:v>44886</c:v>
                </c:pt>
                <c:pt idx="1723">
                  <c:v>44887</c:v>
                </c:pt>
                <c:pt idx="1724">
                  <c:v>44888</c:v>
                </c:pt>
                <c:pt idx="1725">
                  <c:v>44890</c:v>
                </c:pt>
                <c:pt idx="1726">
                  <c:v>44893</c:v>
                </c:pt>
                <c:pt idx="1727">
                  <c:v>44894</c:v>
                </c:pt>
                <c:pt idx="1728">
                  <c:v>44895</c:v>
                </c:pt>
                <c:pt idx="1729">
                  <c:v>44896</c:v>
                </c:pt>
                <c:pt idx="1730">
                  <c:v>44897</c:v>
                </c:pt>
                <c:pt idx="1731">
                  <c:v>44900</c:v>
                </c:pt>
                <c:pt idx="1732">
                  <c:v>44901</c:v>
                </c:pt>
                <c:pt idx="1733">
                  <c:v>44902</c:v>
                </c:pt>
                <c:pt idx="1734">
                  <c:v>44903</c:v>
                </c:pt>
                <c:pt idx="1735">
                  <c:v>44904</c:v>
                </c:pt>
                <c:pt idx="1736">
                  <c:v>44907</c:v>
                </c:pt>
                <c:pt idx="1737">
                  <c:v>44908</c:v>
                </c:pt>
                <c:pt idx="1738">
                  <c:v>44909</c:v>
                </c:pt>
                <c:pt idx="1739">
                  <c:v>44910</c:v>
                </c:pt>
                <c:pt idx="1740">
                  <c:v>44911</c:v>
                </c:pt>
                <c:pt idx="1741">
                  <c:v>44914</c:v>
                </c:pt>
                <c:pt idx="1742">
                  <c:v>44915</c:v>
                </c:pt>
                <c:pt idx="1743">
                  <c:v>44916</c:v>
                </c:pt>
                <c:pt idx="1744">
                  <c:v>44917</c:v>
                </c:pt>
                <c:pt idx="1745">
                  <c:v>44918</c:v>
                </c:pt>
                <c:pt idx="1746">
                  <c:v>44922</c:v>
                </c:pt>
                <c:pt idx="1747">
                  <c:v>44923</c:v>
                </c:pt>
                <c:pt idx="1748">
                  <c:v>44924</c:v>
                </c:pt>
                <c:pt idx="1749">
                  <c:v>44925</c:v>
                </c:pt>
                <c:pt idx="1750">
                  <c:v>44929</c:v>
                </c:pt>
                <c:pt idx="1751">
                  <c:v>44930</c:v>
                </c:pt>
                <c:pt idx="1752">
                  <c:v>44931</c:v>
                </c:pt>
                <c:pt idx="1753">
                  <c:v>44932</c:v>
                </c:pt>
                <c:pt idx="1754">
                  <c:v>44935</c:v>
                </c:pt>
                <c:pt idx="1755">
                  <c:v>44936</c:v>
                </c:pt>
                <c:pt idx="1756">
                  <c:v>44937</c:v>
                </c:pt>
                <c:pt idx="1757">
                  <c:v>44938</c:v>
                </c:pt>
                <c:pt idx="1758">
                  <c:v>44939</c:v>
                </c:pt>
                <c:pt idx="1759">
                  <c:v>44943</c:v>
                </c:pt>
                <c:pt idx="1760">
                  <c:v>44944</c:v>
                </c:pt>
                <c:pt idx="1761">
                  <c:v>44945</c:v>
                </c:pt>
                <c:pt idx="1762">
                  <c:v>44946</c:v>
                </c:pt>
                <c:pt idx="1763">
                  <c:v>44949</c:v>
                </c:pt>
                <c:pt idx="1764">
                  <c:v>44950</c:v>
                </c:pt>
                <c:pt idx="1765">
                  <c:v>44951</c:v>
                </c:pt>
                <c:pt idx="1766">
                  <c:v>44952</c:v>
                </c:pt>
                <c:pt idx="1767">
                  <c:v>44953</c:v>
                </c:pt>
                <c:pt idx="1768">
                  <c:v>44956</c:v>
                </c:pt>
                <c:pt idx="1769">
                  <c:v>44957</c:v>
                </c:pt>
                <c:pt idx="1770">
                  <c:v>44958</c:v>
                </c:pt>
                <c:pt idx="1771">
                  <c:v>44959</c:v>
                </c:pt>
                <c:pt idx="1772">
                  <c:v>44960</c:v>
                </c:pt>
                <c:pt idx="1773">
                  <c:v>44963</c:v>
                </c:pt>
                <c:pt idx="1774">
                  <c:v>44964</c:v>
                </c:pt>
                <c:pt idx="1775">
                  <c:v>44965</c:v>
                </c:pt>
                <c:pt idx="1776">
                  <c:v>44966</c:v>
                </c:pt>
                <c:pt idx="1777">
                  <c:v>44967</c:v>
                </c:pt>
                <c:pt idx="1778">
                  <c:v>44970</c:v>
                </c:pt>
                <c:pt idx="1779">
                  <c:v>44971</c:v>
                </c:pt>
                <c:pt idx="1780">
                  <c:v>44972</c:v>
                </c:pt>
                <c:pt idx="1781">
                  <c:v>44973</c:v>
                </c:pt>
                <c:pt idx="1782">
                  <c:v>44974</c:v>
                </c:pt>
                <c:pt idx="1783">
                  <c:v>44978</c:v>
                </c:pt>
                <c:pt idx="1784">
                  <c:v>44979</c:v>
                </c:pt>
                <c:pt idx="1785">
                  <c:v>44980</c:v>
                </c:pt>
                <c:pt idx="1786">
                  <c:v>44981</c:v>
                </c:pt>
                <c:pt idx="1787">
                  <c:v>44984</c:v>
                </c:pt>
                <c:pt idx="1788">
                  <c:v>44985</c:v>
                </c:pt>
                <c:pt idx="1789">
                  <c:v>44986</c:v>
                </c:pt>
                <c:pt idx="1790">
                  <c:v>44987</c:v>
                </c:pt>
                <c:pt idx="1791">
                  <c:v>44988</c:v>
                </c:pt>
                <c:pt idx="1792">
                  <c:v>44991</c:v>
                </c:pt>
                <c:pt idx="1793">
                  <c:v>44992</c:v>
                </c:pt>
                <c:pt idx="1794">
                  <c:v>44993</c:v>
                </c:pt>
                <c:pt idx="1795">
                  <c:v>44994</c:v>
                </c:pt>
                <c:pt idx="1796">
                  <c:v>44995</c:v>
                </c:pt>
                <c:pt idx="1797">
                  <c:v>44998</c:v>
                </c:pt>
                <c:pt idx="1798">
                  <c:v>44999</c:v>
                </c:pt>
                <c:pt idx="1799">
                  <c:v>45000</c:v>
                </c:pt>
                <c:pt idx="1800">
                  <c:v>45001</c:v>
                </c:pt>
                <c:pt idx="1801">
                  <c:v>45002</c:v>
                </c:pt>
                <c:pt idx="1802">
                  <c:v>45005</c:v>
                </c:pt>
                <c:pt idx="1803">
                  <c:v>45006</c:v>
                </c:pt>
                <c:pt idx="1804">
                  <c:v>45007</c:v>
                </c:pt>
                <c:pt idx="1805">
                  <c:v>45008</c:v>
                </c:pt>
                <c:pt idx="1806">
                  <c:v>45009</c:v>
                </c:pt>
                <c:pt idx="1807">
                  <c:v>45012</c:v>
                </c:pt>
                <c:pt idx="1808">
                  <c:v>45013</c:v>
                </c:pt>
                <c:pt idx="1809">
                  <c:v>45014</c:v>
                </c:pt>
                <c:pt idx="1810">
                  <c:v>45015</c:v>
                </c:pt>
                <c:pt idx="1811">
                  <c:v>45016</c:v>
                </c:pt>
                <c:pt idx="1812">
                  <c:v>45019</c:v>
                </c:pt>
                <c:pt idx="1813">
                  <c:v>45020</c:v>
                </c:pt>
                <c:pt idx="1814">
                  <c:v>45021</c:v>
                </c:pt>
                <c:pt idx="1815">
                  <c:v>45022</c:v>
                </c:pt>
                <c:pt idx="1816">
                  <c:v>45023</c:v>
                </c:pt>
                <c:pt idx="1817">
                  <c:v>45026</c:v>
                </c:pt>
                <c:pt idx="1818">
                  <c:v>45027</c:v>
                </c:pt>
                <c:pt idx="1819">
                  <c:v>45028</c:v>
                </c:pt>
                <c:pt idx="1820">
                  <c:v>45029</c:v>
                </c:pt>
                <c:pt idx="1821">
                  <c:v>45030</c:v>
                </c:pt>
                <c:pt idx="1822">
                  <c:v>45033</c:v>
                </c:pt>
                <c:pt idx="1823">
                  <c:v>45034</c:v>
                </c:pt>
                <c:pt idx="1824">
                  <c:v>45035</c:v>
                </c:pt>
                <c:pt idx="1825">
                  <c:v>45036</c:v>
                </c:pt>
                <c:pt idx="1826">
                  <c:v>45037</c:v>
                </c:pt>
                <c:pt idx="1827">
                  <c:v>45040</c:v>
                </c:pt>
                <c:pt idx="1828">
                  <c:v>45041</c:v>
                </c:pt>
                <c:pt idx="1829">
                  <c:v>45042</c:v>
                </c:pt>
                <c:pt idx="1830">
                  <c:v>45043</c:v>
                </c:pt>
                <c:pt idx="1831">
                  <c:v>45044</c:v>
                </c:pt>
                <c:pt idx="1832">
                  <c:v>45047</c:v>
                </c:pt>
                <c:pt idx="1833">
                  <c:v>45048</c:v>
                </c:pt>
                <c:pt idx="1834">
                  <c:v>45049</c:v>
                </c:pt>
                <c:pt idx="1835">
                  <c:v>45050</c:v>
                </c:pt>
                <c:pt idx="1836">
                  <c:v>45051</c:v>
                </c:pt>
                <c:pt idx="1837">
                  <c:v>45054</c:v>
                </c:pt>
                <c:pt idx="1838">
                  <c:v>45055</c:v>
                </c:pt>
                <c:pt idx="1839">
                  <c:v>45056</c:v>
                </c:pt>
                <c:pt idx="1840">
                  <c:v>45057</c:v>
                </c:pt>
                <c:pt idx="1841">
                  <c:v>45058</c:v>
                </c:pt>
                <c:pt idx="1842">
                  <c:v>45061</c:v>
                </c:pt>
                <c:pt idx="1843">
                  <c:v>45062</c:v>
                </c:pt>
                <c:pt idx="1844">
                  <c:v>45063</c:v>
                </c:pt>
                <c:pt idx="1845">
                  <c:v>45064</c:v>
                </c:pt>
                <c:pt idx="1846">
                  <c:v>45065</c:v>
                </c:pt>
                <c:pt idx="1847">
                  <c:v>45068</c:v>
                </c:pt>
                <c:pt idx="1848">
                  <c:v>45069</c:v>
                </c:pt>
                <c:pt idx="1849">
                  <c:v>45070</c:v>
                </c:pt>
                <c:pt idx="1850">
                  <c:v>45071</c:v>
                </c:pt>
                <c:pt idx="1851">
                  <c:v>45072</c:v>
                </c:pt>
                <c:pt idx="1852">
                  <c:v>45076</c:v>
                </c:pt>
                <c:pt idx="1853">
                  <c:v>45077</c:v>
                </c:pt>
                <c:pt idx="1854">
                  <c:v>45078</c:v>
                </c:pt>
                <c:pt idx="1855">
                  <c:v>45079</c:v>
                </c:pt>
                <c:pt idx="1856">
                  <c:v>45082</c:v>
                </c:pt>
                <c:pt idx="1857">
                  <c:v>45083</c:v>
                </c:pt>
                <c:pt idx="1858">
                  <c:v>45084</c:v>
                </c:pt>
                <c:pt idx="1859">
                  <c:v>45085</c:v>
                </c:pt>
                <c:pt idx="1860">
                  <c:v>45086</c:v>
                </c:pt>
                <c:pt idx="1861">
                  <c:v>45089</c:v>
                </c:pt>
                <c:pt idx="1862">
                  <c:v>45090</c:v>
                </c:pt>
                <c:pt idx="1863">
                  <c:v>45091</c:v>
                </c:pt>
                <c:pt idx="1864">
                  <c:v>45092</c:v>
                </c:pt>
                <c:pt idx="1865">
                  <c:v>45093</c:v>
                </c:pt>
                <c:pt idx="1866">
                  <c:v>45097</c:v>
                </c:pt>
                <c:pt idx="1867">
                  <c:v>45098</c:v>
                </c:pt>
                <c:pt idx="1868">
                  <c:v>45099</c:v>
                </c:pt>
                <c:pt idx="1869">
                  <c:v>45100</c:v>
                </c:pt>
                <c:pt idx="1870">
                  <c:v>45103</c:v>
                </c:pt>
                <c:pt idx="1871">
                  <c:v>45104</c:v>
                </c:pt>
                <c:pt idx="1872">
                  <c:v>45105</c:v>
                </c:pt>
                <c:pt idx="1873">
                  <c:v>45106</c:v>
                </c:pt>
                <c:pt idx="1874">
                  <c:v>45107</c:v>
                </c:pt>
                <c:pt idx="1875">
                  <c:v>45110</c:v>
                </c:pt>
                <c:pt idx="1876">
                  <c:v>45112</c:v>
                </c:pt>
                <c:pt idx="1877">
                  <c:v>45113</c:v>
                </c:pt>
                <c:pt idx="1878">
                  <c:v>45114</c:v>
                </c:pt>
                <c:pt idx="1879">
                  <c:v>45117</c:v>
                </c:pt>
                <c:pt idx="1880">
                  <c:v>45118</c:v>
                </c:pt>
                <c:pt idx="1881">
                  <c:v>45119</c:v>
                </c:pt>
                <c:pt idx="1882">
                  <c:v>45120</c:v>
                </c:pt>
                <c:pt idx="1883">
                  <c:v>45121</c:v>
                </c:pt>
                <c:pt idx="1884">
                  <c:v>45124</c:v>
                </c:pt>
                <c:pt idx="1885">
                  <c:v>45125</c:v>
                </c:pt>
                <c:pt idx="1886">
                  <c:v>45126</c:v>
                </c:pt>
                <c:pt idx="1887">
                  <c:v>45127</c:v>
                </c:pt>
                <c:pt idx="1888">
                  <c:v>45128</c:v>
                </c:pt>
                <c:pt idx="1889">
                  <c:v>45131</c:v>
                </c:pt>
                <c:pt idx="1890">
                  <c:v>45132</c:v>
                </c:pt>
                <c:pt idx="1891">
                  <c:v>45133</c:v>
                </c:pt>
                <c:pt idx="1892">
                  <c:v>45134</c:v>
                </c:pt>
                <c:pt idx="1893">
                  <c:v>45135</c:v>
                </c:pt>
                <c:pt idx="1894">
                  <c:v>45138</c:v>
                </c:pt>
                <c:pt idx="1895">
                  <c:v>45139</c:v>
                </c:pt>
                <c:pt idx="1896">
                  <c:v>45140</c:v>
                </c:pt>
                <c:pt idx="1897">
                  <c:v>45141</c:v>
                </c:pt>
                <c:pt idx="1898">
                  <c:v>45142</c:v>
                </c:pt>
                <c:pt idx="1899">
                  <c:v>45145</c:v>
                </c:pt>
                <c:pt idx="1900">
                  <c:v>45146</c:v>
                </c:pt>
                <c:pt idx="1901">
                  <c:v>45147</c:v>
                </c:pt>
                <c:pt idx="1902">
                  <c:v>45148</c:v>
                </c:pt>
                <c:pt idx="1903">
                  <c:v>45149</c:v>
                </c:pt>
                <c:pt idx="1904">
                  <c:v>45152</c:v>
                </c:pt>
                <c:pt idx="1905">
                  <c:v>45153</c:v>
                </c:pt>
                <c:pt idx="1906">
                  <c:v>45154</c:v>
                </c:pt>
                <c:pt idx="1907">
                  <c:v>45155</c:v>
                </c:pt>
                <c:pt idx="1908">
                  <c:v>45156</c:v>
                </c:pt>
                <c:pt idx="1909">
                  <c:v>45159</c:v>
                </c:pt>
                <c:pt idx="1910">
                  <c:v>45160</c:v>
                </c:pt>
                <c:pt idx="1911">
                  <c:v>45161</c:v>
                </c:pt>
                <c:pt idx="1912">
                  <c:v>45162</c:v>
                </c:pt>
                <c:pt idx="1913">
                  <c:v>45163</c:v>
                </c:pt>
                <c:pt idx="1914">
                  <c:v>45166</c:v>
                </c:pt>
                <c:pt idx="1915">
                  <c:v>45167</c:v>
                </c:pt>
                <c:pt idx="1916">
                  <c:v>45168</c:v>
                </c:pt>
                <c:pt idx="1917">
                  <c:v>45169</c:v>
                </c:pt>
                <c:pt idx="1918">
                  <c:v>45170</c:v>
                </c:pt>
                <c:pt idx="1919">
                  <c:v>45174</c:v>
                </c:pt>
                <c:pt idx="1920">
                  <c:v>45175</c:v>
                </c:pt>
                <c:pt idx="1921">
                  <c:v>45176</c:v>
                </c:pt>
                <c:pt idx="1922">
                  <c:v>45177</c:v>
                </c:pt>
                <c:pt idx="1923">
                  <c:v>45180</c:v>
                </c:pt>
                <c:pt idx="1924">
                  <c:v>45181</c:v>
                </c:pt>
                <c:pt idx="1925">
                  <c:v>45182</c:v>
                </c:pt>
                <c:pt idx="1926">
                  <c:v>45183</c:v>
                </c:pt>
                <c:pt idx="1927">
                  <c:v>45184</c:v>
                </c:pt>
                <c:pt idx="1928">
                  <c:v>45187</c:v>
                </c:pt>
                <c:pt idx="1929">
                  <c:v>45188</c:v>
                </c:pt>
                <c:pt idx="1930">
                  <c:v>45189</c:v>
                </c:pt>
                <c:pt idx="1931">
                  <c:v>45190</c:v>
                </c:pt>
                <c:pt idx="1932">
                  <c:v>45191</c:v>
                </c:pt>
                <c:pt idx="1933">
                  <c:v>45194</c:v>
                </c:pt>
                <c:pt idx="1934">
                  <c:v>45195</c:v>
                </c:pt>
                <c:pt idx="1935">
                  <c:v>45196</c:v>
                </c:pt>
                <c:pt idx="1936">
                  <c:v>45197</c:v>
                </c:pt>
                <c:pt idx="1937">
                  <c:v>45198</c:v>
                </c:pt>
                <c:pt idx="1938">
                  <c:v>45201</c:v>
                </c:pt>
                <c:pt idx="1939">
                  <c:v>45202</c:v>
                </c:pt>
                <c:pt idx="1940">
                  <c:v>45203</c:v>
                </c:pt>
                <c:pt idx="1941">
                  <c:v>45204</c:v>
                </c:pt>
                <c:pt idx="1942">
                  <c:v>45205</c:v>
                </c:pt>
                <c:pt idx="1943">
                  <c:v>45209</c:v>
                </c:pt>
                <c:pt idx="1944">
                  <c:v>45210</c:v>
                </c:pt>
                <c:pt idx="1945">
                  <c:v>45211</c:v>
                </c:pt>
                <c:pt idx="1946">
                  <c:v>45212</c:v>
                </c:pt>
                <c:pt idx="1947">
                  <c:v>45215</c:v>
                </c:pt>
                <c:pt idx="1948">
                  <c:v>45216</c:v>
                </c:pt>
                <c:pt idx="1949">
                  <c:v>45217</c:v>
                </c:pt>
                <c:pt idx="1950">
                  <c:v>45218</c:v>
                </c:pt>
                <c:pt idx="1951">
                  <c:v>45219</c:v>
                </c:pt>
                <c:pt idx="1952">
                  <c:v>45222</c:v>
                </c:pt>
                <c:pt idx="1953">
                  <c:v>45223</c:v>
                </c:pt>
                <c:pt idx="1954">
                  <c:v>45224</c:v>
                </c:pt>
                <c:pt idx="1955">
                  <c:v>45225</c:v>
                </c:pt>
                <c:pt idx="1956">
                  <c:v>45226</c:v>
                </c:pt>
                <c:pt idx="1957">
                  <c:v>45229</c:v>
                </c:pt>
                <c:pt idx="1958">
                  <c:v>45230</c:v>
                </c:pt>
                <c:pt idx="1959">
                  <c:v>45231</c:v>
                </c:pt>
                <c:pt idx="1960">
                  <c:v>45232</c:v>
                </c:pt>
                <c:pt idx="1961">
                  <c:v>45233</c:v>
                </c:pt>
                <c:pt idx="1962">
                  <c:v>45236</c:v>
                </c:pt>
                <c:pt idx="1963">
                  <c:v>45237</c:v>
                </c:pt>
                <c:pt idx="1964">
                  <c:v>45238</c:v>
                </c:pt>
                <c:pt idx="1965">
                  <c:v>45239</c:v>
                </c:pt>
                <c:pt idx="1966">
                  <c:v>45240</c:v>
                </c:pt>
                <c:pt idx="1967">
                  <c:v>45243</c:v>
                </c:pt>
                <c:pt idx="1968">
                  <c:v>45244</c:v>
                </c:pt>
                <c:pt idx="1969">
                  <c:v>45245</c:v>
                </c:pt>
                <c:pt idx="1970">
                  <c:v>45246</c:v>
                </c:pt>
                <c:pt idx="1971">
                  <c:v>45247</c:v>
                </c:pt>
                <c:pt idx="1972">
                  <c:v>45250</c:v>
                </c:pt>
                <c:pt idx="1973">
                  <c:v>45251</c:v>
                </c:pt>
                <c:pt idx="1974">
                  <c:v>45252</c:v>
                </c:pt>
                <c:pt idx="1975">
                  <c:v>45254</c:v>
                </c:pt>
                <c:pt idx="1976">
                  <c:v>45257</c:v>
                </c:pt>
                <c:pt idx="1977">
                  <c:v>45258</c:v>
                </c:pt>
                <c:pt idx="1978">
                  <c:v>45259</c:v>
                </c:pt>
                <c:pt idx="1979">
                  <c:v>45260</c:v>
                </c:pt>
                <c:pt idx="1980">
                  <c:v>45261</c:v>
                </c:pt>
                <c:pt idx="1981">
                  <c:v>45264</c:v>
                </c:pt>
                <c:pt idx="1982">
                  <c:v>45265</c:v>
                </c:pt>
                <c:pt idx="1983">
                  <c:v>45266</c:v>
                </c:pt>
                <c:pt idx="1984">
                  <c:v>45267</c:v>
                </c:pt>
                <c:pt idx="1985">
                  <c:v>45268</c:v>
                </c:pt>
                <c:pt idx="1986">
                  <c:v>45271</c:v>
                </c:pt>
                <c:pt idx="1987">
                  <c:v>45272</c:v>
                </c:pt>
                <c:pt idx="1988">
                  <c:v>45273</c:v>
                </c:pt>
                <c:pt idx="1989">
                  <c:v>45274</c:v>
                </c:pt>
                <c:pt idx="1990">
                  <c:v>45275</c:v>
                </c:pt>
                <c:pt idx="1991">
                  <c:v>45278</c:v>
                </c:pt>
                <c:pt idx="1992">
                  <c:v>45279</c:v>
                </c:pt>
                <c:pt idx="1993">
                  <c:v>45280</c:v>
                </c:pt>
                <c:pt idx="1994">
                  <c:v>45281</c:v>
                </c:pt>
                <c:pt idx="1995">
                  <c:v>45282</c:v>
                </c:pt>
                <c:pt idx="1996">
                  <c:v>45286</c:v>
                </c:pt>
                <c:pt idx="1997">
                  <c:v>45287</c:v>
                </c:pt>
                <c:pt idx="1998">
                  <c:v>45288</c:v>
                </c:pt>
                <c:pt idx="1999">
                  <c:v>45289</c:v>
                </c:pt>
                <c:pt idx="2000">
                  <c:v>45293</c:v>
                </c:pt>
                <c:pt idx="2001">
                  <c:v>45294</c:v>
                </c:pt>
                <c:pt idx="2002">
                  <c:v>45295</c:v>
                </c:pt>
                <c:pt idx="2003">
                  <c:v>45296</c:v>
                </c:pt>
                <c:pt idx="2004">
                  <c:v>45299</c:v>
                </c:pt>
                <c:pt idx="2005">
                  <c:v>45300</c:v>
                </c:pt>
                <c:pt idx="2006">
                  <c:v>45301</c:v>
                </c:pt>
                <c:pt idx="2007">
                  <c:v>45302</c:v>
                </c:pt>
                <c:pt idx="2008">
                  <c:v>45303</c:v>
                </c:pt>
                <c:pt idx="2009">
                  <c:v>45307</c:v>
                </c:pt>
                <c:pt idx="2010">
                  <c:v>45308</c:v>
                </c:pt>
                <c:pt idx="2011">
                  <c:v>45309</c:v>
                </c:pt>
                <c:pt idx="2012">
                  <c:v>45310</c:v>
                </c:pt>
                <c:pt idx="2013">
                  <c:v>45313</c:v>
                </c:pt>
                <c:pt idx="2014">
                  <c:v>45314</c:v>
                </c:pt>
                <c:pt idx="2015">
                  <c:v>45315</c:v>
                </c:pt>
                <c:pt idx="2016">
                  <c:v>45316</c:v>
                </c:pt>
                <c:pt idx="2017">
                  <c:v>45317</c:v>
                </c:pt>
                <c:pt idx="2018">
                  <c:v>45320</c:v>
                </c:pt>
                <c:pt idx="2019">
                  <c:v>45321</c:v>
                </c:pt>
                <c:pt idx="2020">
                  <c:v>45322</c:v>
                </c:pt>
                <c:pt idx="2021">
                  <c:v>45323</c:v>
                </c:pt>
                <c:pt idx="2022">
                  <c:v>45324</c:v>
                </c:pt>
                <c:pt idx="2023">
                  <c:v>45327</c:v>
                </c:pt>
                <c:pt idx="2024">
                  <c:v>45328</c:v>
                </c:pt>
                <c:pt idx="2025">
                  <c:v>45329</c:v>
                </c:pt>
                <c:pt idx="2026">
                  <c:v>45330</c:v>
                </c:pt>
                <c:pt idx="2027">
                  <c:v>45331</c:v>
                </c:pt>
                <c:pt idx="2028">
                  <c:v>45334</c:v>
                </c:pt>
                <c:pt idx="2029">
                  <c:v>45335</c:v>
                </c:pt>
                <c:pt idx="2030">
                  <c:v>45336</c:v>
                </c:pt>
                <c:pt idx="2031">
                  <c:v>45337</c:v>
                </c:pt>
                <c:pt idx="2032">
                  <c:v>45338</c:v>
                </c:pt>
                <c:pt idx="2033">
                  <c:v>45342</c:v>
                </c:pt>
                <c:pt idx="2034">
                  <c:v>45343</c:v>
                </c:pt>
                <c:pt idx="2035">
                  <c:v>45344</c:v>
                </c:pt>
                <c:pt idx="2036">
                  <c:v>45345</c:v>
                </c:pt>
                <c:pt idx="2037">
                  <c:v>45348</c:v>
                </c:pt>
                <c:pt idx="2038">
                  <c:v>45349</c:v>
                </c:pt>
                <c:pt idx="2039">
                  <c:v>45350</c:v>
                </c:pt>
                <c:pt idx="2040">
                  <c:v>45351</c:v>
                </c:pt>
                <c:pt idx="2041">
                  <c:v>45352</c:v>
                </c:pt>
                <c:pt idx="2042">
                  <c:v>45355</c:v>
                </c:pt>
                <c:pt idx="2043">
                  <c:v>45356</c:v>
                </c:pt>
                <c:pt idx="2044">
                  <c:v>45357</c:v>
                </c:pt>
                <c:pt idx="2045">
                  <c:v>45358</c:v>
                </c:pt>
                <c:pt idx="2046">
                  <c:v>45359</c:v>
                </c:pt>
                <c:pt idx="2047">
                  <c:v>45362</c:v>
                </c:pt>
                <c:pt idx="2048">
                  <c:v>45363</c:v>
                </c:pt>
                <c:pt idx="2049">
                  <c:v>45364</c:v>
                </c:pt>
                <c:pt idx="2050">
                  <c:v>45365</c:v>
                </c:pt>
                <c:pt idx="2051">
                  <c:v>45366</c:v>
                </c:pt>
                <c:pt idx="2052">
                  <c:v>45369</c:v>
                </c:pt>
                <c:pt idx="2053">
                  <c:v>45370</c:v>
                </c:pt>
                <c:pt idx="2054">
                  <c:v>45371</c:v>
                </c:pt>
                <c:pt idx="2055">
                  <c:v>45372</c:v>
                </c:pt>
                <c:pt idx="2056">
                  <c:v>45373</c:v>
                </c:pt>
                <c:pt idx="2057">
                  <c:v>45376</c:v>
                </c:pt>
                <c:pt idx="2058">
                  <c:v>45377</c:v>
                </c:pt>
                <c:pt idx="2059">
                  <c:v>45378</c:v>
                </c:pt>
                <c:pt idx="2060">
                  <c:v>45379</c:v>
                </c:pt>
                <c:pt idx="2061">
                  <c:v>45383</c:v>
                </c:pt>
                <c:pt idx="2062">
                  <c:v>45384</c:v>
                </c:pt>
                <c:pt idx="2063">
                  <c:v>45385</c:v>
                </c:pt>
                <c:pt idx="2064">
                  <c:v>45386</c:v>
                </c:pt>
                <c:pt idx="2065">
                  <c:v>45387</c:v>
                </c:pt>
                <c:pt idx="2066">
                  <c:v>45390</c:v>
                </c:pt>
                <c:pt idx="2067">
                  <c:v>45391</c:v>
                </c:pt>
                <c:pt idx="2068">
                  <c:v>45392</c:v>
                </c:pt>
                <c:pt idx="2069">
                  <c:v>45393</c:v>
                </c:pt>
                <c:pt idx="2070">
                  <c:v>45394</c:v>
                </c:pt>
                <c:pt idx="2071">
                  <c:v>45397</c:v>
                </c:pt>
                <c:pt idx="2072">
                  <c:v>45398</c:v>
                </c:pt>
                <c:pt idx="2073">
                  <c:v>45399</c:v>
                </c:pt>
                <c:pt idx="2074">
                  <c:v>45400</c:v>
                </c:pt>
                <c:pt idx="2075">
                  <c:v>45401</c:v>
                </c:pt>
                <c:pt idx="2076">
                  <c:v>45404</c:v>
                </c:pt>
                <c:pt idx="2077">
                  <c:v>45405</c:v>
                </c:pt>
                <c:pt idx="2078">
                  <c:v>45406</c:v>
                </c:pt>
                <c:pt idx="2079">
                  <c:v>45407</c:v>
                </c:pt>
                <c:pt idx="2080">
                  <c:v>45408</c:v>
                </c:pt>
                <c:pt idx="2081">
                  <c:v>45411</c:v>
                </c:pt>
                <c:pt idx="2082">
                  <c:v>45412</c:v>
                </c:pt>
                <c:pt idx="2083">
                  <c:v>45413</c:v>
                </c:pt>
                <c:pt idx="2084">
                  <c:v>45414</c:v>
                </c:pt>
                <c:pt idx="2085">
                  <c:v>45415</c:v>
                </c:pt>
                <c:pt idx="2086">
                  <c:v>45418</c:v>
                </c:pt>
                <c:pt idx="2087">
                  <c:v>45419</c:v>
                </c:pt>
                <c:pt idx="2088">
                  <c:v>45420</c:v>
                </c:pt>
                <c:pt idx="2089">
                  <c:v>45421</c:v>
                </c:pt>
                <c:pt idx="2090">
                  <c:v>45422</c:v>
                </c:pt>
                <c:pt idx="2091">
                  <c:v>45425</c:v>
                </c:pt>
                <c:pt idx="2092">
                  <c:v>45426</c:v>
                </c:pt>
                <c:pt idx="2093">
                  <c:v>45427</c:v>
                </c:pt>
                <c:pt idx="2094">
                  <c:v>45428</c:v>
                </c:pt>
                <c:pt idx="2095">
                  <c:v>45429</c:v>
                </c:pt>
                <c:pt idx="2096">
                  <c:v>45432</c:v>
                </c:pt>
                <c:pt idx="2097">
                  <c:v>45433</c:v>
                </c:pt>
                <c:pt idx="2098">
                  <c:v>45434</c:v>
                </c:pt>
                <c:pt idx="2099">
                  <c:v>45435</c:v>
                </c:pt>
                <c:pt idx="2100">
                  <c:v>45436</c:v>
                </c:pt>
                <c:pt idx="2101">
                  <c:v>45440</c:v>
                </c:pt>
                <c:pt idx="2102">
                  <c:v>45441</c:v>
                </c:pt>
                <c:pt idx="2103">
                  <c:v>45442</c:v>
                </c:pt>
                <c:pt idx="2104">
                  <c:v>45443</c:v>
                </c:pt>
                <c:pt idx="2105">
                  <c:v>45446</c:v>
                </c:pt>
                <c:pt idx="2106">
                  <c:v>45447</c:v>
                </c:pt>
                <c:pt idx="2107">
                  <c:v>45448</c:v>
                </c:pt>
                <c:pt idx="2108">
                  <c:v>45449</c:v>
                </c:pt>
                <c:pt idx="2109">
                  <c:v>45450</c:v>
                </c:pt>
                <c:pt idx="2110">
                  <c:v>45453</c:v>
                </c:pt>
                <c:pt idx="2111">
                  <c:v>45454</c:v>
                </c:pt>
                <c:pt idx="2112">
                  <c:v>45455</c:v>
                </c:pt>
                <c:pt idx="2113">
                  <c:v>45456</c:v>
                </c:pt>
                <c:pt idx="2114">
                  <c:v>45457</c:v>
                </c:pt>
                <c:pt idx="2115">
                  <c:v>45460</c:v>
                </c:pt>
                <c:pt idx="2116">
                  <c:v>45461</c:v>
                </c:pt>
                <c:pt idx="2117">
                  <c:v>45463</c:v>
                </c:pt>
                <c:pt idx="2118">
                  <c:v>45464</c:v>
                </c:pt>
                <c:pt idx="2119">
                  <c:v>45467</c:v>
                </c:pt>
                <c:pt idx="2120">
                  <c:v>45468</c:v>
                </c:pt>
                <c:pt idx="2121">
                  <c:v>45469</c:v>
                </c:pt>
                <c:pt idx="2122">
                  <c:v>45470</c:v>
                </c:pt>
                <c:pt idx="2123">
                  <c:v>45471</c:v>
                </c:pt>
                <c:pt idx="2124">
                  <c:v>45474</c:v>
                </c:pt>
                <c:pt idx="2125">
                  <c:v>45475</c:v>
                </c:pt>
                <c:pt idx="2126">
                  <c:v>45476</c:v>
                </c:pt>
                <c:pt idx="2127">
                  <c:v>45478</c:v>
                </c:pt>
                <c:pt idx="2128">
                  <c:v>45481</c:v>
                </c:pt>
                <c:pt idx="2129">
                  <c:v>45482</c:v>
                </c:pt>
                <c:pt idx="2130">
                  <c:v>45483</c:v>
                </c:pt>
                <c:pt idx="2131">
                  <c:v>45484</c:v>
                </c:pt>
                <c:pt idx="2132">
                  <c:v>45485</c:v>
                </c:pt>
                <c:pt idx="2133">
                  <c:v>45488</c:v>
                </c:pt>
                <c:pt idx="2134">
                  <c:v>45489</c:v>
                </c:pt>
                <c:pt idx="2135">
                  <c:v>45490</c:v>
                </c:pt>
                <c:pt idx="2136">
                  <c:v>45491</c:v>
                </c:pt>
                <c:pt idx="2137">
                  <c:v>45492</c:v>
                </c:pt>
                <c:pt idx="2138">
                  <c:v>45495</c:v>
                </c:pt>
                <c:pt idx="2139">
                  <c:v>45496</c:v>
                </c:pt>
                <c:pt idx="2140">
                  <c:v>45497</c:v>
                </c:pt>
                <c:pt idx="2141">
                  <c:v>45498</c:v>
                </c:pt>
                <c:pt idx="2142">
                  <c:v>45499</c:v>
                </c:pt>
                <c:pt idx="2143">
                  <c:v>45502</c:v>
                </c:pt>
                <c:pt idx="2144">
                  <c:v>45503</c:v>
                </c:pt>
                <c:pt idx="2145">
                  <c:v>45504</c:v>
                </c:pt>
                <c:pt idx="2146">
                  <c:v>45505</c:v>
                </c:pt>
                <c:pt idx="2147">
                  <c:v>45506</c:v>
                </c:pt>
                <c:pt idx="2148">
                  <c:v>45509</c:v>
                </c:pt>
                <c:pt idx="2149">
                  <c:v>45510</c:v>
                </c:pt>
                <c:pt idx="2150">
                  <c:v>45511</c:v>
                </c:pt>
                <c:pt idx="2151">
                  <c:v>45512</c:v>
                </c:pt>
                <c:pt idx="2152">
                  <c:v>45513</c:v>
                </c:pt>
                <c:pt idx="2153">
                  <c:v>45516</c:v>
                </c:pt>
                <c:pt idx="2154">
                  <c:v>45517</c:v>
                </c:pt>
                <c:pt idx="2155">
                  <c:v>45518</c:v>
                </c:pt>
                <c:pt idx="2156">
                  <c:v>45519</c:v>
                </c:pt>
                <c:pt idx="2157">
                  <c:v>45520</c:v>
                </c:pt>
                <c:pt idx="2158">
                  <c:v>45523</c:v>
                </c:pt>
                <c:pt idx="2159">
                  <c:v>45524</c:v>
                </c:pt>
                <c:pt idx="2160">
                  <c:v>45525</c:v>
                </c:pt>
                <c:pt idx="2161">
                  <c:v>45526</c:v>
                </c:pt>
                <c:pt idx="2162">
                  <c:v>45527</c:v>
                </c:pt>
                <c:pt idx="2163">
                  <c:v>45530</c:v>
                </c:pt>
                <c:pt idx="2164">
                  <c:v>45531</c:v>
                </c:pt>
                <c:pt idx="2165">
                  <c:v>45532</c:v>
                </c:pt>
                <c:pt idx="2166">
                  <c:v>45533</c:v>
                </c:pt>
                <c:pt idx="2167">
                  <c:v>45534</c:v>
                </c:pt>
                <c:pt idx="2168">
                  <c:v>45538</c:v>
                </c:pt>
                <c:pt idx="2169">
                  <c:v>45539</c:v>
                </c:pt>
                <c:pt idx="2170">
                  <c:v>45540</c:v>
                </c:pt>
                <c:pt idx="2171">
                  <c:v>45541</c:v>
                </c:pt>
                <c:pt idx="2172">
                  <c:v>45544</c:v>
                </c:pt>
                <c:pt idx="2173">
                  <c:v>45545</c:v>
                </c:pt>
                <c:pt idx="2174">
                  <c:v>45546</c:v>
                </c:pt>
                <c:pt idx="2175">
                  <c:v>45547</c:v>
                </c:pt>
                <c:pt idx="2176">
                  <c:v>45548</c:v>
                </c:pt>
                <c:pt idx="2177">
                  <c:v>45551</c:v>
                </c:pt>
                <c:pt idx="2178">
                  <c:v>45552</c:v>
                </c:pt>
                <c:pt idx="2179">
                  <c:v>45553</c:v>
                </c:pt>
                <c:pt idx="2180">
                  <c:v>45554</c:v>
                </c:pt>
                <c:pt idx="2181">
                  <c:v>45555</c:v>
                </c:pt>
                <c:pt idx="2182">
                  <c:v>45558</c:v>
                </c:pt>
                <c:pt idx="2183">
                  <c:v>45559</c:v>
                </c:pt>
                <c:pt idx="2184">
                  <c:v>45560</c:v>
                </c:pt>
                <c:pt idx="2185">
                  <c:v>45561</c:v>
                </c:pt>
                <c:pt idx="2186">
                  <c:v>45562</c:v>
                </c:pt>
                <c:pt idx="2187">
                  <c:v>45565</c:v>
                </c:pt>
                <c:pt idx="2188">
                  <c:v>45566</c:v>
                </c:pt>
                <c:pt idx="2189">
                  <c:v>45567</c:v>
                </c:pt>
                <c:pt idx="2190">
                  <c:v>45568</c:v>
                </c:pt>
                <c:pt idx="2191">
                  <c:v>45569</c:v>
                </c:pt>
                <c:pt idx="2192">
                  <c:v>45572</c:v>
                </c:pt>
                <c:pt idx="2193">
                  <c:v>45573</c:v>
                </c:pt>
                <c:pt idx="2194">
                  <c:v>45574</c:v>
                </c:pt>
                <c:pt idx="2195">
                  <c:v>45575</c:v>
                </c:pt>
                <c:pt idx="2196">
                  <c:v>45576</c:v>
                </c:pt>
                <c:pt idx="2197">
                  <c:v>45580</c:v>
                </c:pt>
                <c:pt idx="2198">
                  <c:v>45581</c:v>
                </c:pt>
                <c:pt idx="2199">
                  <c:v>45582</c:v>
                </c:pt>
                <c:pt idx="2200">
                  <c:v>45583</c:v>
                </c:pt>
                <c:pt idx="2201">
                  <c:v>45586</c:v>
                </c:pt>
                <c:pt idx="2202">
                  <c:v>45587</c:v>
                </c:pt>
                <c:pt idx="2203">
                  <c:v>45588</c:v>
                </c:pt>
                <c:pt idx="2204">
                  <c:v>45589</c:v>
                </c:pt>
                <c:pt idx="2205">
                  <c:v>45590</c:v>
                </c:pt>
                <c:pt idx="2206">
                  <c:v>45593</c:v>
                </c:pt>
                <c:pt idx="2207">
                  <c:v>45594</c:v>
                </c:pt>
                <c:pt idx="2208">
                  <c:v>45595</c:v>
                </c:pt>
                <c:pt idx="2209">
                  <c:v>45596</c:v>
                </c:pt>
                <c:pt idx="2210">
                  <c:v>45597</c:v>
                </c:pt>
                <c:pt idx="2211">
                  <c:v>45600</c:v>
                </c:pt>
                <c:pt idx="2212">
                  <c:v>45601</c:v>
                </c:pt>
                <c:pt idx="2213">
                  <c:v>45602</c:v>
                </c:pt>
                <c:pt idx="2214">
                  <c:v>45603</c:v>
                </c:pt>
                <c:pt idx="2215">
                  <c:v>45604</c:v>
                </c:pt>
                <c:pt idx="2216">
                  <c:v>45608</c:v>
                </c:pt>
                <c:pt idx="2217">
                  <c:v>45609</c:v>
                </c:pt>
                <c:pt idx="2218">
                  <c:v>45610</c:v>
                </c:pt>
                <c:pt idx="2219">
                  <c:v>45611</c:v>
                </c:pt>
                <c:pt idx="2220">
                  <c:v>45614</c:v>
                </c:pt>
                <c:pt idx="2221">
                  <c:v>45615</c:v>
                </c:pt>
                <c:pt idx="2222">
                  <c:v>45616</c:v>
                </c:pt>
                <c:pt idx="2223">
                  <c:v>45617</c:v>
                </c:pt>
                <c:pt idx="2224">
                  <c:v>45618</c:v>
                </c:pt>
                <c:pt idx="2225">
                  <c:v>45621</c:v>
                </c:pt>
                <c:pt idx="2226">
                  <c:v>45622</c:v>
                </c:pt>
                <c:pt idx="2227">
                  <c:v>45623</c:v>
                </c:pt>
                <c:pt idx="2228">
                  <c:v>45625</c:v>
                </c:pt>
                <c:pt idx="2229">
                  <c:v>45628</c:v>
                </c:pt>
                <c:pt idx="2230">
                  <c:v>45629</c:v>
                </c:pt>
                <c:pt idx="2231">
                  <c:v>45630</c:v>
                </c:pt>
                <c:pt idx="2232">
                  <c:v>45631</c:v>
                </c:pt>
                <c:pt idx="2233">
                  <c:v>45632</c:v>
                </c:pt>
                <c:pt idx="2234">
                  <c:v>45635</c:v>
                </c:pt>
                <c:pt idx="2235">
                  <c:v>45636</c:v>
                </c:pt>
                <c:pt idx="2236">
                  <c:v>45637</c:v>
                </c:pt>
                <c:pt idx="2237">
                  <c:v>45638</c:v>
                </c:pt>
                <c:pt idx="2238">
                  <c:v>45639</c:v>
                </c:pt>
                <c:pt idx="2239">
                  <c:v>45642</c:v>
                </c:pt>
                <c:pt idx="2240">
                  <c:v>45643</c:v>
                </c:pt>
                <c:pt idx="2241">
                  <c:v>45644</c:v>
                </c:pt>
                <c:pt idx="2242">
                  <c:v>45645</c:v>
                </c:pt>
                <c:pt idx="2243">
                  <c:v>45646</c:v>
                </c:pt>
                <c:pt idx="2244">
                  <c:v>45649</c:v>
                </c:pt>
                <c:pt idx="2245">
                  <c:v>45650</c:v>
                </c:pt>
                <c:pt idx="2246">
                  <c:v>45652</c:v>
                </c:pt>
                <c:pt idx="2247">
                  <c:v>45653</c:v>
                </c:pt>
                <c:pt idx="2248">
                  <c:v>45656</c:v>
                </c:pt>
                <c:pt idx="2249">
                  <c:v>45657</c:v>
                </c:pt>
              </c:numCache>
            </c:numRef>
          </c:cat>
          <c:val>
            <c:numRef>
              <c:f>Data!$R$38:$R$2287</c:f>
              <c:numCache>
                <c:formatCode>0.00%</c:formatCode>
                <c:ptCount val="2250"/>
                <c:pt idx="0">
                  <c:v>2.2400000000000003E-2</c:v>
                </c:pt>
                <c:pt idx="1">
                  <c:v>2.2499999999999999E-2</c:v>
                </c:pt>
                <c:pt idx="2">
                  <c:v>2.18E-2</c:v>
                </c:pt>
                <c:pt idx="3">
                  <c:v>2.1600000000000001E-2</c:v>
                </c:pt>
                <c:pt idx="4">
                  <c:v>2.1299999999999999E-2</c:v>
                </c:pt>
                <c:pt idx="5">
                  <c:v>2.1700000000000001E-2</c:v>
                </c:pt>
                <c:pt idx="6">
                  <c:v>2.12E-2</c:v>
                </c:pt>
                <c:pt idx="7">
                  <c:v>2.0799999999999999E-2</c:v>
                </c:pt>
                <c:pt idx="8">
                  <c:v>2.1000000000000001E-2</c:v>
                </c:pt>
                <c:pt idx="9">
                  <c:v>2.0299999999999999E-2</c:v>
                </c:pt>
                <c:pt idx="10">
                  <c:v>2.06E-2</c:v>
                </c:pt>
                <c:pt idx="11">
                  <c:v>2.0099999999999996E-2</c:v>
                </c:pt>
                <c:pt idx="12">
                  <c:v>2.0199999999999999E-2</c:v>
                </c:pt>
                <c:pt idx="13">
                  <c:v>2.07E-2</c:v>
                </c:pt>
                <c:pt idx="14">
                  <c:v>2.0299999999999999E-2</c:v>
                </c:pt>
                <c:pt idx="15">
                  <c:v>2.0099999999999996E-2</c:v>
                </c:pt>
                <c:pt idx="16">
                  <c:v>2.0199999999999999E-2</c:v>
                </c:pt>
                <c:pt idx="17">
                  <c:v>0.02</c:v>
                </c:pt>
                <c:pt idx="18">
                  <c:v>1.9400000000000001E-2</c:v>
                </c:pt>
                <c:pt idx="19">
                  <c:v>1.9699999999999999E-2</c:v>
                </c:pt>
                <c:pt idx="20">
                  <c:v>1.8700000000000001E-2</c:v>
                </c:pt>
                <c:pt idx="21">
                  <c:v>1.8799999999999997E-2</c:v>
                </c:pt>
                <c:pt idx="22">
                  <c:v>1.8700000000000001E-2</c:v>
                </c:pt>
                <c:pt idx="23">
                  <c:v>1.8600000000000002E-2</c:v>
                </c:pt>
                <c:pt idx="24">
                  <c:v>1.7500000000000002E-2</c:v>
                </c:pt>
                <c:pt idx="25">
                  <c:v>1.7399999999999999E-2</c:v>
                </c:pt>
                <c:pt idx="26">
                  <c:v>1.7100000000000001E-2</c:v>
                </c:pt>
                <c:pt idx="27">
                  <c:v>1.6299999999999999E-2</c:v>
                </c:pt>
                <c:pt idx="28">
                  <c:v>1.7399999999999999E-2</c:v>
                </c:pt>
                <c:pt idx="29">
                  <c:v>1.78E-2</c:v>
                </c:pt>
                <c:pt idx="30">
                  <c:v>1.8100000000000002E-2</c:v>
                </c:pt>
                <c:pt idx="31">
                  <c:v>1.7500000000000002E-2</c:v>
                </c:pt>
                <c:pt idx="32">
                  <c:v>1.7600000000000001E-2</c:v>
                </c:pt>
                <c:pt idx="33">
                  <c:v>1.77E-2</c:v>
                </c:pt>
                <c:pt idx="34">
                  <c:v>1.7399999999999999E-2</c:v>
                </c:pt>
                <c:pt idx="35">
                  <c:v>1.7500000000000002E-2</c:v>
                </c:pt>
                <c:pt idx="36">
                  <c:v>1.7100000000000001E-2</c:v>
                </c:pt>
                <c:pt idx="37">
                  <c:v>1.7600000000000001E-2</c:v>
                </c:pt>
                <c:pt idx="38">
                  <c:v>1.7399999999999999E-2</c:v>
                </c:pt>
                <c:pt idx="39">
                  <c:v>1.83E-2</c:v>
                </c:pt>
                <c:pt idx="40">
                  <c:v>1.84E-2</c:v>
                </c:pt>
                <c:pt idx="41">
                  <c:v>1.83E-2</c:v>
                </c:pt>
                <c:pt idx="42">
                  <c:v>1.8799999999999997E-2</c:v>
                </c:pt>
                <c:pt idx="43">
                  <c:v>1.9099999999999999E-2</c:v>
                </c:pt>
                <c:pt idx="44">
                  <c:v>1.83E-2</c:v>
                </c:pt>
                <c:pt idx="45">
                  <c:v>1.9E-2</c:v>
                </c:pt>
                <c:pt idx="46">
                  <c:v>1.9299999999999998E-2</c:v>
                </c:pt>
                <c:pt idx="47">
                  <c:v>1.9799999999999998E-2</c:v>
                </c:pt>
                <c:pt idx="48">
                  <c:v>1.9699999999999999E-2</c:v>
                </c:pt>
                <c:pt idx="49">
                  <c:v>1.9699999999999999E-2</c:v>
                </c:pt>
                <c:pt idx="50">
                  <c:v>1.9400000000000001E-2</c:v>
                </c:pt>
                <c:pt idx="51">
                  <c:v>1.9099999999999999E-2</c:v>
                </c:pt>
                <c:pt idx="52">
                  <c:v>1.8799999999999997E-2</c:v>
                </c:pt>
                <c:pt idx="53">
                  <c:v>1.9199999999999998E-2</c:v>
                </c:pt>
                <c:pt idx="54">
                  <c:v>1.9400000000000001E-2</c:v>
                </c:pt>
                <c:pt idx="55">
                  <c:v>1.8799999999999997E-2</c:v>
                </c:pt>
                <c:pt idx="56">
                  <c:v>1.9099999999999999E-2</c:v>
                </c:pt>
                <c:pt idx="57">
                  <c:v>1.89E-2</c:v>
                </c:pt>
                <c:pt idx="58">
                  <c:v>1.8100000000000002E-2</c:v>
                </c:pt>
                <c:pt idx="59">
                  <c:v>1.83E-2</c:v>
                </c:pt>
                <c:pt idx="60">
                  <c:v>1.78E-2</c:v>
                </c:pt>
                <c:pt idx="61">
                  <c:v>1.7899999999999999E-2</c:v>
                </c:pt>
                <c:pt idx="62">
                  <c:v>1.78E-2</c:v>
                </c:pt>
                <c:pt idx="63">
                  <c:v>1.7299999999999999E-2</c:v>
                </c:pt>
                <c:pt idx="64">
                  <c:v>1.7600000000000001E-2</c:v>
                </c:pt>
                <c:pt idx="65">
                  <c:v>1.7000000000000001E-2</c:v>
                </c:pt>
                <c:pt idx="66">
                  <c:v>1.72E-2</c:v>
                </c:pt>
                <c:pt idx="67">
                  <c:v>1.7299999999999999E-2</c:v>
                </c:pt>
                <c:pt idx="68">
                  <c:v>1.7899999999999999E-2</c:v>
                </c:pt>
                <c:pt idx="69">
                  <c:v>1.77E-2</c:v>
                </c:pt>
                <c:pt idx="70">
                  <c:v>1.8000000000000002E-2</c:v>
                </c:pt>
                <c:pt idx="71">
                  <c:v>1.7600000000000001E-2</c:v>
                </c:pt>
                <c:pt idx="72">
                  <c:v>1.78E-2</c:v>
                </c:pt>
                <c:pt idx="73">
                  <c:v>1.7899999999999999E-2</c:v>
                </c:pt>
                <c:pt idx="74">
                  <c:v>1.8500000000000003E-2</c:v>
                </c:pt>
                <c:pt idx="75">
                  <c:v>1.8799999999999997E-2</c:v>
                </c:pt>
                <c:pt idx="76">
                  <c:v>1.89E-2</c:v>
                </c:pt>
                <c:pt idx="77">
                  <c:v>1.9099999999999999E-2</c:v>
                </c:pt>
                <c:pt idx="78">
                  <c:v>1.9400000000000001E-2</c:v>
                </c:pt>
                <c:pt idx="79">
                  <c:v>1.8700000000000001E-2</c:v>
                </c:pt>
                <c:pt idx="80">
                  <c:v>1.84E-2</c:v>
                </c:pt>
                <c:pt idx="81">
                  <c:v>1.83E-2</c:v>
                </c:pt>
                <c:pt idx="82">
                  <c:v>1.8799999999999997E-2</c:v>
                </c:pt>
                <c:pt idx="83">
                  <c:v>1.8100000000000002E-2</c:v>
                </c:pt>
                <c:pt idx="84">
                  <c:v>1.7899999999999999E-2</c:v>
                </c:pt>
                <c:pt idx="85">
                  <c:v>1.7600000000000001E-2</c:v>
                </c:pt>
                <c:pt idx="86">
                  <c:v>1.7899999999999999E-2</c:v>
                </c:pt>
                <c:pt idx="87">
                  <c:v>1.77E-2</c:v>
                </c:pt>
                <c:pt idx="88">
                  <c:v>1.77E-2</c:v>
                </c:pt>
                <c:pt idx="89">
                  <c:v>1.7299999999999999E-2</c:v>
                </c:pt>
                <c:pt idx="90">
                  <c:v>1.7500000000000002E-2</c:v>
                </c:pt>
                <c:pt idx="91">
                  <c:v>1.7100000000000001E-2</c:v>
                </c:pt>
                <c:pt idx="92">
                  <c:v>1.7500000000000002E-2</c:v>
                </c:pt>
                <c:pt idx="93">
                  <c:v>1.7600000000000001E-2</c:v>
                </c:pt>
                <c:pt idx="94">
                  <c:v>1.8700000000000001E-2</c:v>
                </c:pt>
                <c:pt idx="95">
                  <c:v>1.8500000000000003E-2</c:v>
                </c:pt>
                <c:pt idx="96">
                  <c:v>1.8500000000000003E-2</c:v>
                </c:pt>
                <c:pt idx="97">
                  <c:v>1.84E-2</c:v>
                </c:pt>
                <c:pt idx="98">
                  <c:v>1.8600000000000002E-2</c:v>
                </c:pt>
                <c:pt idx="99">
                  <c:v>1.8700000000000001E-2</c:v>
                </c:pt>
                <c:pt idx="100">
                  <c:v>1.83E-2</c:v>
                </c:pt>
                <c:pt idx="101">
                  <c:v>1.8500000000000003E-2</c:v>
                </c:pt>
                <c:pt idx="102">
                  <c:v>1.84E-2</c:v>
                </c:pt>
                <c:pt idx="103">
                  <c:v>1.8500000000000003E-2</c:v>
                </c:pt>
                <c:pt idx="104">
                  <c:v>1.8100000000000002E-2</c:v>
                </c:pt>
                <c:pt idx="105">
                  <c:v>1.7100000000000001E-2</c:v>
                </c:pt>
                <c:pt idx="106">
                  <c:v>1.7299999999999999E-2</c:v>
                </c:pt>
                <c:pt idx="107">
                  <c:v>1.72E-2</c:v>
                </c:pt>
                <c:pt idx="108">
                  <c:v>1.7100000000000001E-2</c:v>
                </c:pt>
                <c:pt idx="109">
                  <c:v>1.6799999999999999E-2</c:v>
                </c:pt>
                <c:pt idx="110">
                  <c:v>1.6399999999999998E-2</c:v>
                </c:pt>
                <c:pt idx="111">
                  <c:v>1.6200000000000003E-2</c:v>
                </c:pt>
                <c:pt idx="112">
                  <c:v>1.6200000000000003E-2</c:v>
                </c:pt>
                <c:pt idx="113">
                  <c:v>1.6E-2</c:v>
                </c:pt>
                <c:pt idx="114">
                  <c:v>1.5700000000000002E-2</c:v>
                </c:pt>
                <c:pt idx="115">
                  <c:v>1.6200000000000003E-2</c:v>
                </c:pt>
                <c:pt idx="116">
                  <c:v>1.67E-2</c:v>
                </c:pt>
                <c:pt idx="117">
                  <c:v>1.7100000000000001E-2</c:v>
                </c:pt>
                <c:pt idx="118">
                  <c:v>1.6899999999999998E-2</c:v>
                </c:pt>
                <c:pt idx="119">
                  <c:v>1.7399999999999999E-2</c:v>
                </c:pt>
                <c:pt idx="120">
                  <c:v>1.5700000000000002E-2</c:v>
                </c:pt>
                <c:pt idx="121">
                  <c:v>1.46E-2</c:v>
                </c:pt>
                <c:pt idx="122">
                  <c:v>1.46E-2</c:v>
                </c:pt>
                <c:pt idx="123">
                  <c:v>1.4999999999999999E-2</c:v>
                </c:pt>
                <c:pt idx="124">
                  <c:v>1.49E-2</c:v>
                </c:pt>
                <c:pt idx="125">
                  <c:v>1.46E-2</c:v>
                </c:pt>
                <c:pt idx="126">
                  <c:v>1.37E-2</c:v>
                </c:pt>
                <c:pt idx="127">
                  <c:v>1.38E-2</c:v>
                </c:pt>
                <c:pt idx="128">
                  <c:v>1.3999999999999999E-2</c:v>
                </c:pt>
                <c:pt idx="129">
                  <c:v>1.37E-2</c:v>
                </c:pt>
                <c:pt idx="130">
                  <c:v>1.43E-2</c:v>
                </c:pt>
                <c:pt idx="131">
                  <c:v>1.5300000000000001E-2</c:v>
                </c:pt>
                <c:pt idx="132">
                  <c:v>1.4800000000000001E-2</c:v>
                </c:pt>
                <c:pt idx="133">
                  <c:v>1.5300000000000001E-2</c:v>
                </c:pt>
                <c:pt idx="134">
                  <c:v>1.6E-2</c:v>
                </c:pt>
                <c:pt idx="135">
                  <c:v>1.5900000000000001E-2</c:v>
                </c:pt>
                <c:pt idx="136">
                  <c:v>1.5600000000000001E-2</c:v>
                </c:pt>
                <c:pt idx="137">
                  <c:v>1.5900000000000001E-2</c:v>
                </c:pt>
                <c:pt idx="138">
                  <c:v>1.5700000000000002E-2</c:v>
                </c:pt>
                <c:pt idx="139">
                  <c:v>1.5700000000000002E-2</c:v>
                </c:pt>
                <c:pt idx="140">
                  <c:v>1.5800000000000002E-2</c:v>
                </c:pt>
                <c:pt idx="141">
                  <c:v>1.5700000000000002E-2</c:v>
                </c:pt>
                <c:pt idx="142">
                  <c:v>1.52E-2</c:v>
                </c:pt>
                <c:pt idx="143">
                  <c:v>1.52E-2</c:v>
                </c:pt>
                <c:pt idx="144">
                  <c:v>1.46E-2</c:v>
                </c:pt>
                <c:pt idx="145">
                  <c:v>1.5100000000000001E-2</c:v>
                </c:pt>
                <c:pt idx="146">
                  <c:v>1.55E-2</c:v>
                </c:pt>
                <c:pt idx="147">
                  <c:v>1.55E-2</c:v>
                </c:pt>
                <c:pt idx="148">
                  <c:v>1.5100000000000001E-2</c:v>
                </c:pt>
                <c:pt idx="149">
                  <c:v>1.5900000000000001E-2</c:v>
                </c:pt>
                <c:pt idx="150">
                  <c:v>1.5900000000000001E-2</c:v>
                </c:pt>
                <c:pt idx="151">
                  <c:v>1.55E-2</c:v>
                </c:pt>
                <c:pt idx="152">
                  <c:v>1.4999999999999999E-2</c:v>
                </c:pt>
                <c:pt idx="153">
                  <c:v>1.5700000000000002E-2</c:v>
                </c:pt>
                <c:pt idx="154">
                  <c:v>1.5100000000000001E-2</c:v>
                </c:pt>
                <c:pt idx="155">
                  <c:v>1.55E-2</c:v>
                </c:pt>
                <c:pt idx="156">
                  <c:v>1.5700000000000002E-2</c:v>
                </c:pt>
                <c:pt idx="157">
                  <c:v>1.5600000000000001E-2</c:v>
                </c:pt>
                <c:pt idx="158">
                  <c:v>1.5300000000000001E-2</c:v>
                </c:pt>
                <c:pt idx="159">
                  <c:v>1.5800000000000002E-2</c:v>
                </c:pt>
                <c:pt idx="160">
                  <c:v>1.55E-2</c:v>
                </c:pt>
                <c:pt idx="161">
                  <c:v>1.55E-2</c:v>
                </c:pt>
                <c:pt idx="162">
                  <c:v>1.5600000000000001E-2</c:v>
                </c:pt>
                <c:pt idx="163">
                  <c:v>1.5800000000000002E-2</c:v>
                </c:pt>
                <c:pt idx="164">
                  <c:v>1.6200000000000003E-2</c:v>
                </c:pt>
                <c:pt idx="165">
                  <c:v>1.5700000000000002E-2</c:v>
                </c:pt>
                <c:pt idx="166">
                  <c:v>1.5700000000000002E-2</c:v>
                </c:pt>
                <c:pt idx="167">
                  <c:v>1.5800000000000002E-2</c:v>
                </c:pt>
                <c:pt idx="168">
                  <c:v>1.5700000000000002E-2</c:v>
                </c:pt>
                <c:pt idx="169">
                  <c:v>1.6E-2</c:v>
                </c:pt>
                <c:pt idx="170">
                  <c:v>1.55E-2</c:v>
                </c:pt>
                <c:pt idx="171">
                  <c:v>1.54E-2</c:v>
                </c:pt>
                <c:pt idx="172">
                  <c:v>1.61E-2</c:v>
                </c:pt>
                <c:pt idx="173">
                  <c:v>1.67E-2</c:v>
                </c:pt>
                <c:pt idx="174">
                  <c:v>1.6799999999999999E-2</c:v>
                </c:pt>
                <c:pt idx="175">
                  <c:v>1.7299999999999999E-2</c:v>
                </c:pt>
                <c:pt idx="176">
                  <c:v>1.7000000000000001E-2</c:v>
                </c:pt>
                <c:pt idx="177">
                  <c:v>1.7100000000000001E-2</c:v>
                </c:pt>
                <c:pt idx="178">
                  <c:v>1.7000000000000001E-2</c:v>
                </c:pt>
                <c:pt idx="179">
                  <c:v>1.7000000000000001E-2</c:v>
                </c:pt>
                <c:pt idx="180">
                  <c:v>1.6899999999999998E-2</c:v>
                </c:pt>
                <c:pt idx="181">
                  <c:v>1.66E-2</c:v>
                </c:pt>
                <c:pt idx="182">
                  <c:v>1.6299999999999999E-2</c:v>
                </c:pt>
                <c:pt idx="183">
                  <c:v>1.6200000000000003E-2</c:v>
                </c:pt>
                <c:pt idx="184">
                  <c:v>1.5900000000000001E-2</c:v>
                </c:pt>
                <c:pt idx="185">
                  <c:v>1.5600000000000001E-2</c:v>
                </c:pt>
                <c:pt idx="186">
                  <c:v>1.5700000000000002E-2</c:v>
                </c:pt>
                <c:pt idx="187">
                  <c:v>1.5600000000000001E-2</c:v>
                </c:pt>
                <c:pt idx="188">
                  <c:v>1.6E-2</c:v>
                </c:pt>
                <c:pt idx="189">
                  <c:v>1.6299999999999999E-2</c:v>
                </c:pt>
                <c:pt idx="190">
                  <c:v>1.6899999999999998E-2</c:v>
                </c:pt>
                <c:pt idx="191">
                  <c:v>1.72E-2</c:v>
                </c:pt>
                <c:pt idx="192">
                  <c:v>1.7500000000000002E-2</c:v>
                </c:pt>
                <c:pt idx="193">
                  <c:v>1.7299999999999999E-2</c:v>
                </c:pt>
                <c:pt idx="194">
                  <c:v>1.77E-2</c:v>
                </c:pt>
                <c:pt idx="195">
                  <c:v>1.7899999999999999E-2</c:v>
                </c:pt>
                <c:pt idx="196">
                  <c:v>1.7500000000000002E-2</c:v>
                </c:pt>
                <c:pt idx="197">
                  <c:v>1.8000000000000002E-2</c:v>
                </c:pt>
                <c:pt idx="198">
                  <c:v>1.77E-2</c:v>
                </c:pt>
                <c:pt idx="199">
                  <c:v>1.7500000000000002E-2</c:v>
                </c:pt>
                <c:pt idx="200">
                  <c:v>1.7600000000000001E-2</c:v>
                </c:pt>
                <c:pt idx="201">
                  <c:v>1.7600000000000001E-2</c:v>
                </c:pt>
                <c:pt idx="202">
                  <c:v>1.7399999999999999E-2</c:v>
                </c:pt>
                <c:pt idx="203">
                  <c:v>1.77E-2</c:v>
                </c:pt>
                <c:pt idx="204">
                  <c:v>1.77E-2</c:v>
                </c:pt>
                <c:pt idx="205">
                  <c:v>1.7899999999999999E-2</c:v>
                </c:pt>
                <c:pt idx="206">
                  <c:v>1.8500000000000003E-2</c:v>
                </c:pt>
                <c:pt idx="207">
                  <c:v>1.8600000000000002E-2</c:v>
                </c:pt>
                <c:pt idx="208">
                  <c:v>1.84E-2</c:v>
                </c:pt>
                <c:pt idx="209">
                  <c:v>1.83E-2</c:v>
                </c:pt>
                <c:pt idx="210">
                  <c:v>1.8100000000000002E-2</c:v>
                </c:pt>
                <c:pt idx="211">
                  <c:v>1.8200000000000001E-2</c:v>
                </c:pt>
                <c:pt idx="212">
                  <c:v>1.7899999999999999E-2</c:v>
                </c:pt>
                <c:pt idx="213">
                  <c:v>1.83E-2</c:v>
                </c:pt>
                <c:pt idx="214">
                  <c:v>1.8799999999999997E-2</c:v>
                </c:pt>
                <c:pt idx="215">
                  <c:v>2.07E-2</c:v>
                </c:pt>
                <c:pt idx="216">
                  <c:v>2.1499999999999998E-2</c:v>
                </c:pt>
                <c:pt idx="217">
                  <c:v>2.23E-2</c:v>
                </c:pt>
                <c:pt idx="218">
                  <c:v>2.23E-2</c:v>
                </c:pt>
                <c:pt idx="219">
                  <c:v>2.2200000000000001E-2</c:v>
                </c:pt>
                <c:pt idx="220">
                  <c:v>2.29E-2</c:v>
                </c:pt>
                <c:pt idx="221">
                  <c:v>2.3399999999999997E-2</c:v>
                </c:pt>
                <c:pt idx="222">
                  <c:v>2.3300000000000001E-2</c:v>
                </c:pt>
                <c:pt idx="223">
                  <c:v>2.3099999999999999E-2</c:v>
                </c:pt>
                <c:pt idx="224">
                  <c:v>2.3599999999999999E-2</c:v>
                </c:pt>
                <c:pt idx="225">
                  <c:v>2.3599999999999999E-2</c:v>
                </c:pt>
                <c:pt idx="226">
                  <c:v>2.3199999999999998E-2</c:v>
                </c:pt>
                <c:pt idx="227">
                  <c:v>2.3E-2</c:v>
                </c:pt>
                <c:pt idx="228">
                  <c:v>2.3700000000000002E-2</c:v>
                </c:pt>
                <c:pt idx="229">
                  <c:v>2.4500000000000001E-2</c:v>
                </c:pt>
                <c:pt idx="230">
                  <c:v>2.4E-2</c:v>
                </c:pt>
                <c:pt idx="231">
                  <c:v>2.3900000000000001E-2</c:v>
                </c:pt>
                <c:pt idx="232">
                  <c:v>2.3900000000000001E-2</c:v>
                </c:pt>
                <c:pt idx="233">
                  <c:v>2.3399999999999997E-2</c:v>
                </c:pt>
                <c:pt idx="234">
                  <c:v>2.4E-2</c:v>
                </c:pt>
                <c:pt idx="235">
                  <c:v>2.4700000000000003E-2</c:v>
                </c:pt>
                <c:pt idx="236">
                  <c:v>2.4900000000000002E-2</c:v>
                </c:pt>
                <c:pt idx="237">
                  <c:v>2.4799999999999999E-2</c:v>
                </c:pt>
                <c:pt idx="238">
                  <c:v>2.5399999999999999E-2</c:v>
                </c:pt>
                <c:pt idx="239">
                  <c:v>2.6000000000000002E-2</c:v>
                </c:pt>
                <c:pt idx="240">
                  <c:v>2.6000000000000002E-2</c:v>
                </c:pt>
                <c:pt idx="241">
                  <c:v>2.5399999999999999E-2</c:v>
                </c:pt>
                <c:pt idx="242">
                  <c:v>2.5699999999999997E-2</c:v>
                </c:pt>
                <c:pt idx="243">
                  <c:v>2.5499999999999998E-2</c:v>
                </c:pt>
                <c:pt idx="244">
                  <c:v>2.5499999999999998E-2</c:v>
                </c:pt>
                <c:pt idx="245">
                  <c:v>2.5499999999999998E-2</c:v>
                </c:pt>
                <c:pt idx="246">
                  <c:v>2.5699999999999997E-2</c:v>
                </c:pt>
                <c:pt idx="247">
                  <c:v>2.5099999999999997E-2</c:v>
                </c:pt>
                <c:pt idx="248">
                  <c:v>2.4900000000000002E-2</c:v>
                </c:pt>
                <c:pt idx="249">
                  <c:v>2.4500000000000001E-2</c:v>
                </c:pt>
                <c:pt idx="250">
                  <c:v>2.4500000000000001E-2</c:v>
                </c:pt>
                <c:pt idx="251">
                  <c:v>2.46E-2</c:v>
                </c:pt>
                <c:pt idx="252">
                  <c:v>2.3700000000000002E-2</c:v>
                </c:pt>
                <c:pt idx="253">
                  <c:v>2.4199999999999999E-2</c:v>
                </c:pt>
                <c:pt idx="254">
                  <c:v>2.3799999999999998E-2</c:v>
                </c:pt>
                <c:pt idx="255">
                  <c:v>2.3799999999999998E-2</c:v>
                </c:pt>
                <c:pt idx="256">
                  <c:v>2.3799999999999998E-2</c:v>
                </c:pt>
                <c:pt idx="257">
                  <c:v>2.3599999999999999E-2</c:v>
                </c:pt>
                <c:pt idx="258">
                  <c:v>2.4E-2</c:v>
                </c:pt>
                <c:pt idx="259">
                  <c:v>2.3300000000000001E-2</c:v>
                </c:pt>
                <c:pt idx="260">
                  <c:v>2.4199999999999999E-2</c:v>
                </c:pt>
                <c:pt idx="261">
                  <c:v>2.4700000000000003E-2</c:v>
                </c:pt>
                <c:pt idx="262">
                  <c:v>2.4799999999999999E-2</c:v>
                </c:pt>
                <c:pt idx="263">
                  <c:v>2.41E-2</c:v>
                </c:pt>
                <c:pt idx="264">
                  <c:v>2.4700000000000003E-2</c:v>
                </c:pt>
                <c:pt idx="265">
                  <c:v>2.53E-2</c:v>
                </c:pt>
                <c:pt idx="266">
                  <c:v>2.5099999999999997E-2</c:v>
                </c:pt>
                <c:pt idx="267">
                  <c:v>2.4900000000000002E-2</c:v>
                </c:pt>
                <c:pt idx="268">
                  <c:v>2.4900000000000002E-2</c:v>
                </c:pt>
                <c:pt idx="269">
                  <c:v>2.4500000000000001E-2</c:v>
                </c:pt>
                <c:pt idx="270">
                  <c:v>2.4799999999999999E-2</c:v>
                </c:pt>
                <c:pt idx="271">
                  <c:v>2.4799999999999999E-2</c:v>
                </c:pt>
                <c:pt idx="272">
                  <c:v>2.4900000000000002E-2</c:v>
                </c:pt>
                <c:pt idx="273">
                  <c:v>2.4199999999999999E-2</c:v>
                </c:pt>
                <c:pt idx="274">
                  <c:v>2.4E-2</c:v>
                </c:pt>
                <c:pt idx="275">
                  <c:v>2.3399999999999997E-2</c:v>
                </c:pt>
                <c:pt idx="276">
                  <c:v>2.4E-2</c:v>
                </c:pt>
                <c:pt idx="277">
                  <c:v>2.41E-2</c:v>
                </c:pt>
                <c:pt idx="278">
                  <c:v>2.4300000000000002E-2</c:v>
                </c:pt>
                <c:pt idx="279">
                  <c:v>2.4700000000000003E-2</c:v>
                </c:pt>
                <c:pt idx="280">
                  <c:v>2.5099999999999997E-2</c:v>
                </c:pt>
                <c:pt idx="281">
                  <c:v>2.4500000000000001E-2</c:v>
                </c:pt>
                <c:pt idx="282">
                  <c:v>2.4199999999999999E-2</c:v>
                </c:pt>
                <c:pt idx="283">
                  <c:v>2.4300000000000002E-2</c:v>
                </c:pt>
                <c:pt idx="284">
                  <c:v>2.4199999999999999E-2</c:v>
                </c:pt>
                <c:pt idx="285">
                  <c:v>2.3799999999999998E-2</c:v>
                </c:pt>
                <c:pt idx="286">
                  <c:v>2.3099999999999999E-2</c:v>
                </c:pt>
                <c:pt idx="287">
                  <c:v>2.3599999999999999E-2</c:v>
                </c:pt>
                <c:pt idx="288">
                  <c:v>2.3599999999999999E-2</c:v>
                </c:pt>
                <c:pt idx="289">
                  <c:v>2.46E-2</c:v>
                </c:pt>
                <c:pt idx="290">
                  <c:v>2.4900000000000002E-2</c:v>
                </c:pt>
                <c:pt idx="291">
                  <c:v>2.4900000000000002E-2</c:v>
                </c:pt>
                <c:pt idx="292">
                  <c:v>2.4900000000000002E-2</c:v>
                </c:pt>
                <c:pt idx="293">
                  <c:v>2.52E-2</c:v>
                </c:pt>
                <c:pt idx="294">
                  <c:v>2.5699999999999997E-2</c:v>
                </c:pt>
                <c:pt idx="295">
                  <c:v>2.6000000000000002E-2</c:v>
                </c:pt>
                <c:pt idx="296">
                  <c:v>2.58E-2</c:v>
                </c:pt>
                <c:pt idx="297">
                  <c:v>2.6200000000000001E-2</c:v>
                </c:pt>
                <c:pt idx="298">
                  <c:v>2.6000000000000002E-2</c:v>
                </c:pt>
                <c:pt idx="299">
                  <c:v>2.5099999999999997E-2</c:v>
                </c:pt>
                <c:pt idx="300">
                  <c:v>2.53E-2</c:v>
                </c:pt>
                <c:pt idx="301">
                  <c:v>2.5000000000000001E-2</c:v>
                </c:pt>
                <c:pt idx="302">
                  <c:v>2.4700000000000003E-2</c:v>
                </c:pt>
                <c:pt idx="303">
                  <c:v>2.4300000000000002E-2</c:v>
                </c:pt>
                <c:pt idx="304">
                  <c:v>2.4E-2</c:v>
                </c:pt>
                <c:pt idx="305">
                  <c:v>2.41E-2</c:v>
                </c:pt>
                <c:pt idx="306">
                  <c:v>2.4E-2</c:v>
                </c:pt>
                <c:pt idx="307">
                  <c:v>2.3799999999999998E-2</c:v>
                </c:pt>
                <c:pt idx="308">
                  <c:v>2.4199999999999999E-2</c:v>
                </c:pt>
                <c:pt idx="309">
                  <c:v>2.3900000000000001E-2</c:v>
                </c:pt>
                <c:pt idx="310">
                  <c:v>2.4199999999999999E-2</c:v>
                </c:pt>
                <c:pt idx="311">
                  <c:v>2.4E-2</c:v>
                </c:pt>
                <c:pt idx="312">
                  <c:v>2.35E-2</c:v>
                </c:pt>
                <c:pt idx="313">
                  <c:v>2.3599999999999999E-2</c:v>
                </c:pt>
                <c:pt idx="314">
                  <c:v>2.3399999999999997E-2</c:v>
                </c:pt>
                <c:pt idx="315">
                  <c:v>2.3399999999999997E-2</c:v>
                </c:pt>
                <c:pt idx="316">
                  <c:v>2.3799999999999998E-2</c:v>
                </c:pt>
                <c:pt idx="317">
                  <c:v>2.3700000000000002E-2</c:v>
                </c:pt>
                <c:pt idx="318">
                  <c:v>2.3199999999999998E-2</c:v>
                </c:pt>
                <c:pt idx="319">
                  <c:v>2.2799999999999997E-2</c:v>
                </c:pt>
                <c:pt idx="320">
                  <c:v>2.2400000000000003E-2</c:v>
                </c:pt>
                <c:pt idx="321">
                  <c:v>2.2599999999999999E-2</c:v>
                </c:pt>
                <c:pt idx="322">
                  <c:v>2.18E-2</c:v>
                </c:pt>
                <c:pt idx="323">
                  <c:v>2.2099999999999998E-2</c:v>
                </c:pt>
                <c:pt idx="324">
                  <c:v>2.2400000000000003E-2</c:v>
                </c:pt>
                <c:pt idx="325">
                  <c:v>2.2400000000000003E-2</c:v>
                </c:pt>
                <c:pt idx="326">
                  <c:v>2.2799999999999997E-2</c:v>
                </c:pt>
                <c:pt idx="327">
                  <c:v>2.35E-2</c:v>
                </c:pt>
                <c:pt idx="328">
                  <c:v>2.3199999999999998E-2</c:v>
                </c:pt>
                <c:pt idx="329">
                  <c:v>2.3E-2</c:v>
                </c:pt>
                <c:pt idx="330">
                  <c:v>2.29E-2</c:v>
                </c:pt>
                <c:pt idx="331">
                  <c:v>2.3300000000000001E-2</c:v>
                </c:pt>
                <c:pt idx="332">
                  <c:v>2.29E-2</c:v>
                </c:pt>
                <c:pt idx="333">
                  <c:v>2.3300000000000001E-2</c:v>
                </c:pt>
                <c:pt idx="334">
                  <c:v>2.3599999999999999E-2</c:v>
                </c:pt>
                <c:pt idx="335">
                  <c:v>2.3599999999999999E-2</c:v>
                </c:pt>
                <c:pt idx="336">
                  <c:v>2.3900000000000001E-2</c:v>
                </c:pt>
                <c:pt idx="337">
                  <c:v>2.4199999999999999E-2</c:v>
                </c:pt>
                <c:pt idx="338">
                  <c:v>2.41E-2</c:v>
                </c:pt>
                <c:pt idx="339">
                  <c:v>2.3900000000000001E-2</c:v>
                </c:pt>
                <c:pt idx="340">
                  <c:v>2.3300000000000001E-2</c:v>
                </c:pt>
                <c:pt idx="341">
                  <c:v>2.3399999999999997E-2</c:v>
                </c:pt>
                <c:pt idx="342">
                  <c:v>2.3300000000000001E-2</c:v>
                </c:pt>
                <c:pt idx="343">
                  <c:v>2.2200000000000001E-2</c:v>
                </c:pt>
                <c:pt idx="344">
                  <c:v>2.23E-2</c:v>
                </c:pt>
                <c:pt idx="345">
                  <c:v>2.23E-2</c:v>
                </c:pt>
                <c:pt idx="346">
                  <c:v>2.2499999999999999E-2</c:v>
                </c:pt>
                <c:pt idx="347">
                  <c:v>2.29E-2</c:v>
                </c:pt>
                <c:pt idx="348">
                  <c:v>2.2599999999999999E-2</c:v>
                </c:pt>
                <c:pt idx="349">
                  <c:v>2.2499999999999999E-2</c:v>
                </c:pt>
                <c:pt idx="350">
                  <c:v>2.2499999999999999E-2</c:v>
                </c:pt>
                <c:pt idx="351">
                  <c:v>2.2099999999999998E-2</c:v>
                </c:pt>
                <c:pt idx="352">
                  <c:v>2.2099999999999998E-2</c:v>
                </c:pt>
                <c:pt idx="353">
                  <c:v>2.2099999999999998E-2</c:v>
                </c:pt>
                <c:pt idx="354">
                  <c:v>2.1499999999999998E-2</c:v>
                </c:pt>
                <c:pt idx="355">
                  <c:v>2.18E-2</c:v>
                </c:pt>
                <c:pt idx="356">
                  <c:v>2.1400000000000002E-2</c:v>
                </c:pt>
                <c:pt idx="357">
                  <c:v>2.18E-2</c:v>
                </c:pt>
                <c:pt idx="358">
                  <c:v>2.1899999999999999E-2</c:v>
                </c:pt>
                <c:pt idx="359">
                  <c:v>2.2099999999999998E-2</c:v>
                </c:pt>
                <c:pt idx="360">
                  <c:v>2.2099999999999998E-2</c:v>
                </c:pt>
                <c:pt idx="361">
                  <c:v>2.2099999999999998E-2</c:v>
                </c:pt>
                <c:pt idx="362">
                  <c:v>2.1499999999999998E-2</c:v>
                </c:pt>
                <c:pt idx="363">
                  <c:v>2.1600000000000001E-2</c:v>
                </c:pt>
                <c:pt idx="364">
                  <c:v>2.1600000000000001E-2</c:v>
                </c:pt>
                <c:pt idx="365">
                  <c:v>2.1899999999999999E-2</c:v>
                </c:pt>
                <c:pt idx="366">
                  <c:v>2.1600000000000001E-2</c:v>
                </c:pt>
                <c:pt idx="367">
                  <c:v>2.1600000000000001E-2</c:v>
                </c:pt>
                <c:pt idx="368">
                  <c:v>2.1499999999999998E-2</c:v>
                </c:pt>
                <c:pt idx="369">
                  <c:v>2.1499999999999998E-2</c:v>
                </c:pt>
                <c:pt idx="370">
                  <c:v>2.1400000000000002E-2</c:v>
                </c:pt>
                <c:pt idx="371">
                  <c:v>2.2099999999999998E-2</c:v>
                </c:pt>
                <c:pt idx="372">
                  <c:v>2.2200000000000001E-2</c:v>
                </c:pt>
                <c:pt idx="373">
                  <c:v>2.2700000000000001E-2</c:v>
                </c:pt>
                <c:pt idx="374">
                  <c:v>2.3099999999999999E-2</c:v>
                </c:pt>
                <c:pt idx="375">
                  <c:v>2.35E-2</c:v>
                </c:pt>
                <c:pt idx="376">
                  <c:v>2.3300000000000001E-2</c:v>
                </c:pt>
                <c:pt idx="377">
                  <c:v>2.3700000000000002E-2</c:v>
                </c:pt>
                <c:pt idx="378">
                  <c:v>2.3900000000000001E-2</c:v>
                </c:pt>
                <c:pt idx="379">
                  <c:v>2.3799999999999998E-2</c:v>
                </c:pt>
                <c:pt idx="380">
                  <c:v>2.3700000000000002E-2</c:v>
                </c:pt>
                <c:pt idx="381">
                  <c:v>2.3300000000000001E-2</c:v>
                </c:pt>
                <c:pt idx="382">
                  <c:v>2.35E-2</c:v>
                </c:pt>
                <c:pt idx="383">
                  <c:v>2.3300000000000001E-2</c:v>
                </c:pt>
                <c:pt idx="384">
                  <c:v>2.3099999999999999E-2</c:v>
                </c:pt>
                <c:pt idx="385">
                  <c:v>2.2700000000000001E-2</c:v>
                </c:pt>
                <c:pt idx="386">
                  <c:v>2.2700000000000001E-2</c:v>
                </c:pt>
                <c:pt idx="387">
                  <c:v>2.2700000000000001E-2</c:v>
                </c:pt>
                <c:pt idx="388">
                  <c:v>2.2400000000000003E-2</c:v>
                </c:pt>
                <c:pt idx="389">
                  <c:v>2.2599999999999999E-2</c:v>
                </c:pt>
                <c:pt idx="390">
                  <c:v>2.3300000000000001E-2</c:v>
                </c:pt>
                <c:pt idx="391">
                  <c:v>2.29E-2</c:v>
                </c:pt>
                <c:pt idx="392">
                  <c:v>2.3199999999999998E-2</c:v>
                </c:pt>
                <c:pt idx="393">
                  <c:v>2.3E-2</c:v>
                </c:pt>
                <c:pt idx="394">
                  <c:v>2.3E-2</c:v>
                </c:pt>
                <c:pt idx="395">
                  <c:v>2.2599999999999999E-2</c:v>
                </c:pt>
                <c:pt idx="396">
                  <c:v>2.2700000000000001E-2</c:v>
                </c:pt>
                <c:pt idx="397">
                  <c:v>2.2400000000000003E-2</c:v>
                </c:pt>
                <c:pt idx="398">
                  <c:v>2.2700000000000001E-2</c:v>
                </c:pt>
                <c:pt idx="399">
                  <c:v>2.2599999999999999E-2</c:v>
                </c:pt>
                <c:pt idx="400">
                  <c:v>2.29E-2</c:v>
                </c:pt>
                <c:pt idx="401">
                  <c:v>2.2400000000000003E-2</c:v>
                </c:pt>
                <c:pt idx="402">
                  <c:v>2.2000000000000002E-2</c:v>
                </c:pt>
                <c:pt idx="403">
                  <c:v>2.1899999999999999E-2</c:v>
                </c:pt>
                <c:pt idx="404">
                  <c:v>2.2200000000000001E-2</c:v>
                </c:pt>
                <c:pt idx="405">
                  <c:v>2.2700000000000001E-2</c:v>
                </c:pt>
                <c:pt idx="406">
                  <c:v>2.23E-2</c:v>
                </c:pt>
                <c:pt idx="407">
                  <c:v>2.1899999999999999E-2</c:v>
                </c:pt>
                <c:pt idx="408">
                  <c:v>2.1899999999999999E-2</c:v>
                </c:pt>
                <c:pt idx="409">
                  <c:v>2.18E-2</c:v>
                </c:pt>
                <c:pt idx="410">
                  <c:v>2.2200000000000001E-2</c:v>
                </c:pt>
                <c:pt idx="411">
                  <c:v>2.1700000000000001E-2</c:v>
                </c:pt>
                <c:pt idx="412">
                  <c:v>2.1899999999999999E-2</c:v>
                </c:pt>
                <c:pt idx="413">
                  <c:v>2.1700000000000001E-2</c:v>
                </c:pt>
                <c:pt idx="414">
                  <c:v>2.1600000000000001E-2</c:v>
                </c:pt>
                <c:pt idx="415">
                  <c:v>2.1299999999999999E-2</c:v>
                </c:pt>
                <c:pt idx="416">
                  <c:v>2.1499999999999998E-2</c:v>
                </c:pt>
                <c:pt idx="417">
                  <c:v>2.12E-2</c:v>
                </c:pt>
                <c:pt idx="418">
                  <c:v>2.1600000000000001E-2</c:v>
                </c:pt>
                <c:pt idx="419">
                  <c:v>2.07E-2</c:v>
                </c:pt>
                <c:pt idx="420">
                  <c:v>2.1000000000000001E-2</c:v>
                </c:pt>
                <c:pt idx="421">
                  <c:v>2.0499999999999997E-2</c:v>
                </c:pt>
                <c:pt idx="422">
                  <c:v>2.06E-2</c:v>
                </c:pt>
                <c:pt idx="423">
                  <c:v>2.1400000000000002E-2</c:v>
                </c:pt>
                <c:pt idx="424">
                  <c:v>2.1700000000000001E-2</c:v>
                </c:pt>
                <c:pt idx="425">
                  <c:v>2.2000000000000002E-2</c:v>
                </c:pt>
                <c:pt idx="426">
                  <c:v>2.2000000000000002E-2</c:v>
                </c:pt>
                <c:pt idx="427">
                  <c:v>2.2000000000000002E-2</c:v>
                </c:pt>
                <c:pt idx="428">
                  <c:v>2.23E-2</c:v>
                </c:pt>
                <c:pt idx="429">
                  <c:v>2.2400000000000003E-2</c:v>
                </c:pt>
                <c:pt idx="430">
                  <c:v>2.2799999999999997E-2</c:v>
                </c:pt>
                <c:pt idx="431">
                  <c:v>2.2700000000000001E-2</c:v>
                </c:pt>
                <c:pt idx="432">
                  <c:v>2.2599999999999999E-2</c:v>
                </c:pt>
                <c:pt idx="433">
                  <c:v>2.2200000000000001E-2</c:v>
                </c:pt>
                <c:pt idx="434">
                  <c:v>2.2400000000000003E-2</c:v>
                </c:pt>
                <c:pt idx="435">
                  <c:v>2.3099999999999999E-2</c:v>
                </c:pt>
                <c:pt idx="436">
                  <c:v>2.3099999999999999E-2</c:v>
                </c:pt>
                <c:pt idx="437">
                  <c:v>2.3300000000000001E-2</c:v>
                </c:pt>
                <c:pt idx="438">
                  <c:v>2.3399999999999997E-2</c:v>
                </c:pt>
                <c:pt idx="439">
                  <c:v>2.3300000000000001E-2</c:v>
                </c:pt>
                <c:pt idx="440">
                  <c:v>2.3300000000000001E-2</c:v>
                </c:pt>
                <c:pt idx="441">
                  <c:v>2.35E-2</c:v>
                </c:pt>
                <c:pt idx="442">
                  <c:v>2.3700000000000002E-2</c:v>
                </c:pt>
                <c:pt idx="443">
                  <c:v>2.35E-2</c:v>
                </c:pt>
                <c:pt idx="444">
                  <c:v>2.35E-2</c:v>
                </c:pt>
                <c:pt idx="445">
                  <c:v>2.3300000000000001E-2</c:v>
                </c:pt>
                <c:pt idx="446">
                  <c:v>2.2799999999999997E-2</c:v>
                </c:pt>
                <c:pt idx="447">
                  <c:v>2.3E-2</c:v>
                </c:pt>
                <c:pt idx="448">
                  <c:v>2.3E-2</c:v>
                </c:pt>
                <c:pt idx="449">
                  <c:v>2.3399999999999997E-2</c:v>
                </c:pt>
                <c:pt idx="450">
                  <c:v>2.3300000000000001E-2</c:v>
                </c:pt>
                <c:pt idx="451">
                  <c:v>2.3900000000000001E-2</c:v>
                </c:pt>
                <c:pt idx="452">
                  <c:v>2.3799999999999998E-2</c:v>
                </c:pt>
                <c:pt idx="453">
                  <c:v>2.4199999999999999E-2</c:v>
                </c:pt>
                <c:pt idx="454">
                  <c:v>2.4399999999999998E-2</c:v>
                </c:pt>
                <c:pt idx="455">
                  <c:v>2.46E-2</c:v>
                </c:pt>
                <c:pt idx="456">
                  <c:v>2.4199999999999999E-2</c:v>
                </c:pt>
                <c:pt idx="457">
                  <c:v>2.3700000000000002E-2</c:v>
                </c:pt>
                <c:pt idx="458">
                  <c:v>2.3799999999999998E-2</c:v>
                </c:pt>
                <c:pt idx="459">
                  <c:v>2.3700000000000002E-2</c:v>
                </c:pt>
                <c:pt idx="460">
                  <c:v>2.35E-2</c:v>
                </c:pt>
                <c:pt idx="461">
                  <c:v>2.3399999999999997E-2</c:v>
                </c:pt>
                <c:pt idx="462">
                  <c:v>2.3199999999999998E-2</c:v>
                </c:pt>
                <c:pt idx="463">
                  <c:v>2.3199999999999998E-2</c:v>
                </c:pt>
                <c:pt idx="464">
                  <c:v>2.3199999999999998E-2</c:v>
                </c:pt>
                <c:pt idx="465">
                  <c:v>2.3300000000000001E-2</c:v>
                </c:pt>
                <c:pt idx="466">
                  <c:v>2.4E-2</c:v>
                </c:pt>
                <c:pt idx="467">
                  <c:v>2.4E-2</c:v>
                </c:pt>
                <c:pt idx="468">
                  <c:v>2.3799999999999998E-2</c:v>
                </c:pt>
                <c:pt idx="469">
                  <c:v>2.3300000000000001E-2</c:v>
                </c:pt>
                <c:pt idx="470">
                  <c:v>2.3700000000000002E-2</c:v>
                </c:pt>
                <c:pt idx="471">
                  <c:v>2.35E-2</c:v>
                </c:pt>
                <c:pt idx="472">
                  <c:v>2.3700000000000002E-2</c:v>
                </c:pt>
                <c:pt idx="473">
                  <c:v>2.3599999999999999E-2</c:v>
                </c:pt>
                <c:pt idx="474">
                  <c:v>2.3199999999999998E-2</c:v>
                </c:pt>
                <c:pt idx="475">
                  <c:v>2.3399999999999997E-2</c:v>
                </c:pt>
                <c:pt idx="476">
                  <c:v>2.3199999999999998E-2</c:v>
                </c:pt>
                <c:pt idx="477">
                  <c:v>2.3399999999999997E-2</c:v>
                </c:pt>
                <c:pt idx="478">
                  <c:v>2.3700000000000002E-2</c:v>
                </c:pt>
                <c:pt idx="479">
                  <c:v>2.4199999999999999E-2</c:v>
                </c:pt>
                <c:pt idx="480">
                  <c:v>2.3700000000000002E-2</c:v>
                </c:pt>
                <c:pt idx="481">
                  <c:v>2.3700000000000002E-2</c:v>
                </c:pt>
                <c:pt idx="482">
                  <c:v>2.3599999999999999E-2</c:v>
                </c:pt>
                <c:pt idx="483">
                  <c:v>2.3300000000000001E-2</c:v>
                </c:pt>
                <c:pt idx="484">
                  <c:v>2.3700000000000002E-2</c:v>
                </c:pt>
                <c:pt idx="485">
                  <c:v>2.3799999999999998E-2</c:v>
                </c:pt>
                <c:pt idx="486">
                  <c:v>2.3900000000000001E-2</c:v>
                </c:pt>
                <c:pt idx="487">
                  <c:v>2.4E-2</c:v>
                </c:pt>
                <c:pt idx="488">
                  <c:v>2.3599999999999999E-2</c:v>
                </c:pt>
                <c:pt idx="489">
                  <c:v>2.35E-2</c:v>
                </c:pt>
                <c:pt idx="490">
                  <c:v>2.35E-2</c:v>
                </c:pt>
                <c:pt idx="491">
                  <c:v>2.3900000000000001E-2</c:v>
                </c:pt>
                <c:pt idx="492">
                  <c:v>2.46E-2</c:v>
                </c:pt>
                <c:pt idx="493">
                  <c:v>2.4900000000000002E-2</c:v>
                </c:pt>
                <c:pt idx="494">
                  <c:v>2.4799999999999999E-2</c:v>
                </c:pt>
                <c:pt idx="495">
                  <c:v>2.4799999999999999E-2</c:v>
                </c:pt>
                <c:pt idx="496">
                  <c:v>2.4700000000000003E-2</c:v>
                </c:pt>
                <c:pt idx="497">
                  <c:v>2.4199999999999999E-2</c:v>
                </c:pt>
                <c:pt idx="498">
                  <c:v>2.4300000000000002E-2</c:v>
                </c:pt>
                <c:pt idx="499">
                  <c:v>2.4E-2</c:v>
                </c:pt>
                <c:pt idx="500">
                  <c:v>2.46E-2</c:v>
                </c:pt>
                <c:pt idx="501">
                  <c:v>2.4399999999999998E-2</c:v>
                </c:pt>
                <c:pt idx="502">
                  <c:v>2.46E-2</c:v>
                </c:pt>
                <c:pt idx="503">
                  <c:v>2.4700000000000003E-2</c:v>
                </c:pt>
                <c:pt idx="504">
                  <c:v>2.4900000000000002E-2</c:v>
                </c:pt>
                <c:pt idx="505">
                  <c:v>2.5499999999999998E-2</c:v>
                </c:pt>
                <c:pt idx="506">
                  <c:v>2.5499999999999998E-2</c:v>
                </c:pt>
                <c:pt idx="507">
                  <c:v>2.5399999999999999E-2</c:v>
                </c:pt>
                <c:pt idx="508">
                  <c:v>2.5499999999999998E-2</c:v>
                </c:pt>
                <c:pt idx="509">
                  <c:v>2.5399999999999999E-2</c:v>
                </c:pt>
                <c:pt idx="510">
                  <c:v>2.5699999999999997E-2</c:v>
                </c:pt>
                <c:pt idx="511">
                  <c:v>2.6200000000000001E-2</c:v>
                </c:pt>
                <c:pt idx="512">
                  <c:v>2.64E-2</c:v>
                </c:pt>
                <c:pt idx="513">
                  <c:v>2.6600000000000002E-2</c:v>
                </c:pt>
                <c:pt idx="514">
                  <c:v>2.63E-2</c:v>
                </c:pt>
                <c:pt idx="515">
                  <c:v>2.6499999999999999E-2</c:v>
                </c:pt>
                <c:pt idx="516">
                  <c:v>2.63E-2</c:v>
                </c:pt>
                <c:pt idx="517">
                  <c:v>2.6600000000000002E-2</c:v>
                </c:pt>
                <c:pt idx="518">
                  <c:v>2.7000000000000003E-2</c:v>
                </c:pt>
                <c:pt idx="519">
                  <c:v>2.7300000000000001E-2</c:v>
                </c:pt>
                <c:pt idx="520">
                  <c:v>2.7200000000000002E-2</c:v>
                </c:pt>
                <c:pt idx="521">
                  <c:v>2.7799999999999998E-2</c:v>
                </c:pt>
                <c:pt idx="522">
                  <c:v>2.8399999999999998E-2</c:v>
                </c:pt>
                <c:pt idx="523">
                  <c:v>2.7699999999999999E-2</c:v>
                </c:pt>
                <c:pt idx="524">
                  <c:v>2.7900000000000001E-2</c:v>
                </c:pt>
                <c:pt idx="525">
                  <c:v>2.8399999999999998E-2</c:v>
                </c:pt>
                <c:pt idx="526">
                  <c:v>2.8500000000000001E-2</c:v>
                </c:pt>
                <c:pt idx="527">
                  <c:v>2.8300000000000002E-2</c:v>
                </c:pt>
                <c:pt idx="528">
                  <c:v>2.86E-2</c:v>
                </c:pt>
                <c:pt idx="529">
                  <c:v>2.8300000000000002E-2</c:v>
                </c:pt>
                <c:pt idx="530">
                  <c:v>2.9100000000000001E-2</c:v>
                </c:pt>
                <c:pt idx="531">
                  <c:v>2.8999999999999998E-2</c:v>
                </c:pt>
                <c:pt idx="532">
                  <c:v>2.87E-2</c:v>
                </c:pt>
                <c:pt idx="533">
                  <c:v>2.8799999999999999E-2</c:v>
                </c:pt>
                <c:pt idx="534">
                  <c:v>2.9399999999999999E-2</c:v>
                </c:pt>
                <c:pt idx="535">
                  <c:v>2.92E-2</c:v>
                </c:pt>
                <c:pt idx="536">
                  <c:v>2.8799999999999999E-2</c:v>
                </c:pt>
                <c:pt idx="537">
                  <c:v>2.86E-2</c:v>
                </c:pt>
                <c:pt idx="538">
                  <c:v>2.8999999999999998E-2</c:v>
                </c:pt>
                <c:pt idx="539">
                  <c:v>2.87E-2</c:v>
                </c:pt>
                <c:pt idx="540">
                  <c:v>2.81E-2</c:v>
                </c:pt>
                <c:pt idx="541">
                  <c:v>2.86E-2</c:v>
                </c:pt>
                <c:pt idx="542">
                  <c:v>2.8799999999999999E-2</c:v>
                </c:pt>
                <c:pt idx="543">
                  <c:v>2.8799999999999999E-2</c:v>
                </c:pt>
                <c:pt idx="544">
                  <c:v>2.8900000000000002E-2</c:v>
                </c:pt>
                <c:pt idx="545">
                  <c:v>2.86E-2</c:v>
                </c:pt>
                <c:pt idx="546">
                  <c:v>2.8999999999999998E-2</c:v>
                </c:pt>
                <c:pt idx="547">
                  <c:v>2.87E-2</c:v>
                </c:pt>
                <c:pt idx="548">
                  <c:v>2.8399999999999998E-2</c:v>
                </c:pt>
                <c:pt idx="549">
                  <c:v>2.81E-2</c:v>
                </c:pt>
                <c:pt idx="550">
                  <c:v>2.8199999999999999E-2</c:v>
                </c:pt>
                <c:pt idx="551">
                  <c:v>2.8500000000000001E-2</c:v>
                </c:pt>
                <c:pt idx="552">
                  <c:v>2.8500000000000001E-2</c:v>
                </c:pt>
                <c:pt idx="553">
                  <c:v>2.8900000000000002E-2</c:v>
                </c:pt>
                <c:pt idx="554">
                  <c:v>2.8900000000000002E-2</c:v>
                </c:pt>
                <c:pt idx="555">
                  <c:v>2.8300000000000002E-2</c:v>
                </c:pt>
                <c:pt idx="556">
                  <c:v>2.8199999999999999E-2</c:v>
                </c:pt>
                <c:pt idx="557">
                  <c:v>2.8500000000000001E-2</c:v>
                </c:pt>
                <c:pt idx="558">
                  <c:v>2.7799999999999998E-2</c:v>
                </c:pt>
                <c:pt idx="559">
                  <c:v>2.7699999999999999E-2</c:v>
                </c:pt>
                <c:pt idx="560">
                  <c:v>2.7400000000000001E-2</c:v>
                </c:pt>
                <c:pt idx="561">
                  <c:v>2.7300000000000001E-2</c:v>
                </c:pt>
                <c:pt idx="562">
                  <c:v>2.7900000000000001E-2</c:v>
                </c:pt>
                <c:pt idx="563">
                  <c:v>2.7900000000000001E-2</c:v>
                </c:pt>
                <c:pt idx="564">
                  <c:v>2.8300000000000002E-2</c:v>
                </c:pt>
                <c:pt idx="565">
                  <c:v>2.7699999999999999E-2</c:v>
                </c:pt>
                <c:pt idx="566">
                  <c:v>2.7799999999999998E-2</c:v>
                </c:pt>
                <c:pt idx="567">
                  <c:v>2.7999999999999997E-2</c:v>
                </c:pt>
                <c:pt idx="568">
                  <c:v>2.7900000000000001E-2</c:v>
                </c:pt>
                <c:pt idx="569">
                  <c:v>2.8300000000000002E-2</c:v>
                </c:pt>
                <c:pt idx="570">
                  <c:v>2.8199999999999999E-2</c:v>
                </c:pt>
                <c:pt idx="571">
                  <c:v>2.8300000000000002E-2</c:v>
                </c:pt>
                <c:pt idx="572">
                  <c:v>2.8199999999999999E-2</c:v>
                </c:pt>
                <c:pt idx="573">
                  <c:v>2.87E-2</c:v>
                </c:pt>
                <c:pt idx="574">
                  <c:v>2.92E-2</c:v>
                </c:pt>
                <c:pt idx="575">
                  <c:v>2.9600000000000001E-2</c:v>
                </c:pt>
                <c:pt idx="576">
                  <c:v>2.98E-2</c:v>
                </c:pt>
                <c:pt idx="577">
                  <c:v>0.03</c:v>
                </c:pt>
                <c:pt idx="578">
                  <c:v>3.0299999999999997E-2</c:v>
                </c:pt>
                <c:pt idx="579">
                  <c:v>0.03</c:v>
                </c:pt>
                <c:pt idx="580">
                  <c:v>2.9600000000000001E-2</c:v>
                </c:pt>
                <c:pt idx="581">
                  <c:v>2.9500000000000002E-2</c:v>
                </c:pt>
                <c:pt idx="582">
                  <c:v>2.9700000000000001E-2</c:v>
                </c:pt>
                <c:pt idx="583">
                  <c:v>2.9700000000000001E-2</c:v>
                </c:pt>
                <c:pt idx="584">
                  <c:v>2.9399999999999999E-2</c:v>
                </c:pt>
                <c:pt idx="585">
                  <c:v>2.9500000000000002E-2</c:v>
                </c:pt>
                <c:pt idx="586">
                  <c:v>2.9500000000000002E-2</c:v>
                </c:pt>
                <c:pt idx="587">
                  <c:v>2.9700000000000001E-2</c:v>
                </c:pt>
                <c:pt idx="588">
                  <c:v>0.03</c:v>
                </c:pt>
                <c:pt idx="589">
                  <c:v>2.9700000000000001E-2</c:v>
                </c:pt>
                <c:pt idx="590">
                  <c:v>2.9700000000000001E-2</c:v>
                </c:pt>
                <c:pt idx="591">
                  <c:v>0.03</c:v>
                </c:pt>
                <c:pt idx="592">
                  <c:v>3.0800000000000001E-2</c:v>
                </c:pt>
                <c:pt idx="593">
                  <c:v>3.0899999999999997E-2</c:v>
                </c:pt>
                <c:pt idx="594">
                  <c:v>3.1099999999999999E-2</c:v>
                </c:pt>
                <c:pt idx="595">
                  <c:v>3.0600000000000002E-2</c:v>
                </c:pt>
                <c:pt idx="596">
                  <c:v>3.0600000000000002E-2</c:v>
                </c:pt>
                <c:pt idx="597">
                  <c:v>3.0600000000000002E-2</c:v>
                </c:pt>
                <c:pt idx="598">
                  <c:v>3.0099999999999998E-2</c:v>
                </c:pt>
                <c:pt idx="599">
                  <c:v>2.98E-2</c:v>
                </c:pt>
                <c:pt idx="600">
                  <c:v>2.9300000000000003E-2</c:v>
                </c:pt>
                <c:pt idx="601">
                  <c:v>2.7699999999999999E-2</c:v>
                </c:pt>
                <c:pt idx="602">
                  <c:v>2.8399999999999998E-2</c:v>
                </c:pt>
                <c:pt idx="603">
                  <c:v>2.8300000000000002E-2</c:v>
                </c:pt>
                <c:pt idx="604">
                  <c:v>2.8900000000000002E-2</c:v>
                </c:pt>
                <c:pt idx="605">
                  <c:v>2.9399999999999999E-2</c:v>
                </c:pt>
                <c:pt idx="606">
                  <c:v>2.92E-2</c:v>
                </c:pt>
                <c:pt idx="607">
                  <c:v>2.9700000000000001E-2</c:v>
                </c:pt>
                <c:pt idx="608">
                  <c:v>2.9300000000000003E-2</c:v>
                </c:pt>
                <c:pt idx="609">
                  <c:v>2.9300000000000003E-2</c:v>
                </c:pt>
                <c:pt idx="610">
                  <c:v>2.9600000000000001E-2</c:v>
                </c:pt>
                <c:pt idx="611">
                  <c:v>2.9600000000000001E-2</c:v>
                </c:pt>
                <c:pt idx="612">
                  <c:v>2.98E-2</c:v>
                </c:pt>
                <c:pt idx="613">
                  <c:v>2.9399999999999999E-2</c:v>
                </c:pt>
                <c:pt idx="614">
                  <c:v>2.9300000000000003E-2</c:v>
                </c:pt>
                <c:pt idx="615">
                  <c:v>2.92E-2</c:v>
                </c:pt>
                <c:pt idx="616">
                  <c:v>2.8900000000000002E-2</c:v>
                </c:pt>
                <c:pt idx="617">
                  <c:v>2.9300000000000003E-2</c:v>
                </c:pt>
                <c:pt idx="618">
                  <c:v>2.8999999999999998E-2</c:v>
                </c:pt>
                <c:pt idx="619">
                  <c:v>2.8999999999999998E-2</c:v>
                </c:pt>
                <c:pt idx="620">
                  <c:v>2.87E-2</c:v>
                </c:pt>
                <c:pt idx="621">
                  <c:v>2.8799999999999999E-2</c:v>
                </c:pt>
                <c:pt idx="622">
                  <c:v>2.8300000000000002E-2</c:v>
                </c:pt>
                <c:pt idx="623">
                  <c:v>2.8399999999999998E-2</c:v>
                </c:pt>
                <c:pt idx="624">
                  <c:v>2.8500000000000001E-2</c:v>
                </c:pt>
                <c:pt idx="625">
                  <c:v>2.87E-2</c:v>
                </c:pt>
                <c:pt idx="626">
                  <c:v>2.8300000000000002E-2</c:v>
                </c:pt>
                <c:pt idx="627">
                  <c:v>2.8399999999999998E-2</c:v>
                </c:pt>
                <c:pt idx="628">
                  <c:v>2.8199999999999999E-2</c:v>
                </c:pt>
                <c:pt idx="629">
                  <c:v>2.86E-2</c:v>
                </c:pt>
                <c:pt idx="630">
                  <c:v>2.87E-2</c:v>
                </c:pt>
                <c:pt idx="631">
                  <c:v>2.8500000000000001E-2</c:v>
                </c:pt>
                <c:pt idx="632">
                  <c:v>2.8500000000000001E-2</c:v>
                </c:pt>
                <c:pt idx="633">
                  <c:v>2.8300000000000002E-2</c:v>
                </c:pt>
                <c:pt idx="634">
                  <c:v>2.8500000000000001E-2</c:v>
                </c:pt>
                <c:pt idx="635">
                  <c:v>2.86E-2</c:v>
                </c:pt>
                <c:pt idx="636">
                  <c:v>2.8799999999999999E-2</c:v>
                </c:pt>
                <c:pt idx="637">
                  <c:v>2.8399999999999998E-2</c:v>
                </c:pt>
                <c:pt idx="638">
                  <c:v>2.8900000000000002E-2</c:v>
                </c:pt>
                <c:pt idx="639">
                  <c:v>2.9600000000000001E-2</c:v>
                </c:pt>
                <c:pt idx="640">
                  <c:v>2.9500000000000002E-2</c:v>
                </c:pt>
                <c:pt idx="641">
                  <c:v>2.9399999999999999E-2</c:v>
                </c:pt>
                <c:pt idx="642">
                  <c:v>2.98E-2</c:v>
                </c:pt>
                <c:pt idx="643">
                  <c:v>2.9600000000000001E-2</c:v>
                </c:pt>
                <c:pt idx="644">
                  <c:v>2.98E-2</c:v>
                </c:pt>
                <c:pt idx="645">
                  <c:v>2.9600000000000001E-2</c:v>
                </c:pt>
                <c:pt idx="646">
                  <c:v>0.03</c:v>
                </c:pt>
                <c:pt idx="647">
                  <c:v>2.98E-2</c:v>
                </c:pt>
                <c:pt idx="648">
                  <c:v>2.9500000000000002E-2</c:v>
                </c:pt>
                <c:pt idx="649">
                  <c:v>2.9399999999999999E-2</c:v>
                </c:pt>
                <c:pt idx="650">
                  <c:v>2.98E-2</c:v>
                </c:pt>
                <c:pt idx="651">
                  <c:v>2.9600000000000001E-2</c:v>
                </c:pt>
                <c:pt idx="652">
                  <c:v>2.9300000000000003E-2</c:v>
                </c:pt>
                <c:pt idx="653">
                  <c:v>2.87E-2</c:v>
                </c:pt>
                <c:pt idx="654">
                  <c:v>2.8799999999999999E-2</c:v>
                </c:pt>
                <c:pt idx="655">
                  <c:v>2.8900000000000002E-2</c:v>
                </c:pt>
                <c:pt idx="656">
                  <c:v>2.86E-2</c:v>
                </c:pt>
                <c:pt idx="657">
                  <c:v>2.87E-2</c:v>
                </c:pt>
                <c:pt idx="658">
                  <c:v>2.87E-2</c:v>
                </c:pt>
                <c:pt idx="659">
                  <c:v>2.8199999999999999E-2</c:v>
                </c:pt>
                <c:pt idx="660">
                  <c:v>2.8500000000000001E-2</c:v>
                </c:pt>
                <c:pt idx="661">
                  <c:v>2.8199999999999999E-2</c:v>
                </c:pt>
                <c:pt idx="662">
                  <c:v>2.8199999999999999E-2</c:v>
                </c:pt>
                <c:pt idx="663">
                  <c:v>2.8199999999999999E-2</c:v>
                </c:pt>
                <c:pt idx="664">
                  <c:v>2.8500000000000001E-2</c:v>
                </c:pt>
                <c:pt idx="665">
                  <c:v>2.8799999999999999E-2</c:v>
                </c:pt>
                <c:pt idx="666">
                  <c:v>2.8900000000000002E-2</c:v>
                </c:pt>
                <c:pt idx="667">
                  <c:v>2.86E-2</c:v>
                </c:pt>
                <c:pt idx="668">
                  <c:v>2.86E-2</c:v>
                </c:pt>
                <c:pt idx="669">
                  <c:v>2.8999999999999998E-2</c:v>
                </c:pt>
                <c:pt idx="670">
                  <c:v>2.8999999999999998E-2</c:v>
                </c:pt>
                <c:pt idx="671">
                  <c:v>2.8799999999999999E-2</c:v>
                </c:pt>
                <c:pt idx="672">
                  <c:v>2.9399999999999999E-2</c:v>
                </c:pt>
                <c:pt idx="673">
                  <c:v>2.9399999999999999E-2</c:v>
                </c:pt>
                <c:pt idx="674">
                  <c:v>2.98E-2</c:v>
                </c:pt>
                <c:pt idx="675">
                  <c:v>2.9700000000000001E-2</c:v>
                </c:pt>
                <c:pt idx="676">
                  <c:v>2.9700000000000001E-2</c:v>
                </c:pt>
                <c:pt idx="677">
                  <c:v>2.9900000000000003E-2</c:v>
                </c:pt>
                <c:pt idx="678">
                  <c:v>2.9900000000000003E-2</c:v>
                </c:pt>
                <c:pt idx="679">
                  <c:v>3.0499999999999999E-2</c:v>
                </c:pt>
                <c:pt idx="680">
                  <c:v>3.0800000000000001E-2</c:v>
                </c:pt>
                <c:pt idx="681">
                  <c:v>3.0699999999999998E-2</c:v>
                </c:pt>
                <c:pt idx="682">
                  <c:v>3.0699999999999998E-2</c:v>
                </c:pt>
                <c:pt idx="683">
                  <c:v>3.0800000000000001E-2</c:v>
                </c:pt>
                <c:pt idx="684">
                  <c:v>3.1E-2</c:v>
                </c:pt>
                <c:pt idx="685">
                  <c:v>3.0600000000000002E-2</c:v>
                </c:pt>
                <c:pt idx="686">
                  <c:v>3.0600000000000002E-2</c:v>
                </c:pt>
                <c:pt idx="687">
                  <c:v>3.0499999999999999E-2</c:v>
                </c:pt>
                <c:pt idx="688">
                  <c:v>3.0899999999999997E-2</c:v>
                </c:pt>
                <c:pt idx="689">
                  <c:v>3.0499999999999999E-2</c:v>
                </c:pt>
                <c:pt idx="690">
                  <c:v>3.15E-2</c:v>
                </c:pt>
                <c:pt idx="691">
                  <c:v>3.1899999999999998E-2</c:v>
                </c:pt>
                <c:pt idx="692">
                  <c:v>3.2300000000000002E-2</c:v>
                </c:pt>
                <c:pt idx="693">
                  <c:v>3.2099999999999997E-2</c:v>
                </c:pt>
                <c:pt idx="694">
                  <c:v>3.2199999999999999E-2</c:v>
                </c:pt>
                <c:pt idx="695">
                  <c:v>3.1400000000000004E-2</c:v>
                </c:pt>
                <c:pt idx="696">
                  <c:v>3.15E-2</c:v>
                </c:pt>
                <c:pt idx="697">
                  <c:v>3.1600000000000003E-2</c:v>
                </c:pt>
                <c:pt idx="698">
                  <c:v>3.1600000000000003E-2</c:v>
                </c:pt>
                <c:pt idx="699">
                  <c:v>3.1899999999999998E-2</c:v>
                </c:pt>
                <c:pt idx="700">
                  <c:v>3.1699999999999999E-2</c:v>
                </c:pt>
                <c:pt idx="701">
                  <c:v>3.2000000000000001E-2</c:v>
                </c:pt>
                <c:pt idx="702">
                  <c:v>3.2000000000000001E-2</c:v>
                </c:pt>
                <c:pt idx="703">
                  <c:v>3.1699999999999999E-2</c:v>
                </c:pt>
                <c:pt idx="704">
                  <c:v>3.1E-2</c:v>
                </c:pt>
                <c:pt idx="705">
                  <c:v>3.1400000000000004E-2</c:v>
                </c:pt>
                <c:pt idx="706">
                  <c:v>3.0800000000000001E-2</c:v>
                </c:pt>
                <c:pt idx="707">
                  <c:v>3.0800000000000001E-2</c:v>
                </c:pt>
                <c:pt idx="708">
                  <c:v>3.1200000000000002E-2</c:v>
                </c:pt>
                <c:pt idx="709">
                  <c:v>3.15E-2</c:v>
                </c:pt>
                <c:pt idx="710">
                  <c:v>3.1400000000000004E-2</c:v>
                </c:pt>
                <c:pt idx="711">
                  <c:v>3.2199999999999999E-2</c:v>
                </c:pt>
                <c:pt idx="712">
                  <c:v>3.2000000000000001E-2</c:v>
                </c:pt>
                <c:pt idx="713">
                  <c:v>3.2199999999999999E-2</c:v>
                </c:pt>
                <c:pt idx="714">
                  <c:v>3.2199999999999999E-2</c:v>
                </c:pt>
                <c:pt idx="715">
                  <c:v>3.2400000000000005E-2</c:v>
                </c:pt>
                <c:pt idx="716">
                  <c:v>3.1899999999999998E-2</c:v>
                </c:pt>
                <c:pt idx="717">
                  <c:v>3.1400000000000004E-2</c:v>
                </c:pt>
                <c:pt idx="718">
                  <c:v>3.1200000000000002E-2</c:v>
                </c:pt>
                <c:pt idx="719">
                  <c:v>3.1099999999999999E-2</c:v>
                </c:pt>
                <c:pt idx="720">
                  <c:v>3.0800000000000001E-2</c:v>
                </c:pt>
                <c:pt idx="721">
                  <c:v>3.0600000000000002E-2</c:v>
                </c:pt>
                <c:pt idx="722">
                  <c:v>3.0600000000000002E-2</c:v>
                </c:pt>
                <c:pt idx="723">
                  <c:v>3.0600000000000002E-2</c:v>
                </c:pt>
                <c:pt idx="724">
                  <c:v>3.0499999999999999E-2</c:v>
                </c:pt>
                <c:pt idx="725">
                  <c:v>3.0699999999999998E-2</c:v>
                </c:pt>
                <c:pt idx="726">
                  <c:v>3.0600000000000002E-2</c:v>
                </c:pt>
                <c:pt idx="727">
                  <c:v>3.0600000000000002E-2</c:v>
                </c:pt>
                <c:pt idx="728">
                  <c:v>3.0299999999999997E-2</c:v>
                </c:pt>
                <c:pt idx="729">
                  <c:v>3.0099999999999998E-2</c:v>
                </c:pt>
                <c:pt idx="730">
                  <c:v>2.98E-2</c:v>
                </c:pt>
                <c:pt idx="731">
                  <c:v>2.9100000000000001E-2</c:v>
                </c:pt>
                <c:pt idx="732">
                  <c:v>2.87E-2</c:v>
                </c:pt>
                <c:pt idx="733">
                  <c:v>2.8500000000000001E-2</c:v>
                </c:pt>
                <c:pt idx="734">
                  <c:v>2.8500000000000001E-2</c:v>
                </c:pt>
                <c:pt idx="735">
                  <c:v>2.8900000000000002E-2</c:v>
                </c:pt>
                <c:pt idx="736">
                  <c:v>2.9100000000000001E-2</c:v>
                </c:pt>
                <c:pt idx="737">
                  <c:v>2.9100000000000001E-2</c:v>
                </c:pt>
                <c:pt idx="738">
                  <c:v>2.8900000000000002E-2</c:v>
                </c:pt>
                <c:pt idx="739">
                  <c:v>2.86E-2</c:v>
                </c:pt>
                <c:pt idx="740">
                  <c:v>2.8199999999999999E-2</c:v>
                </c:pt>
                <c:pt idx="741">
                  <c:v>2.7699999999999999E-2</c:v>
                </c:pt>
                <c:pt idx="742">
                  <c:v>2.7900000000000001E-2</c:v>
                </c:pt>
                <c:pt idx="743">
                  <c:v>2.7900000000000001E-2</c:v>
                </c:pt>
                <c:pt idx="744">
                  <c:v>2.7400000000000001E-2</c:v>
                </c:pt>
                <c:pt idx="745">
                  <c:v>2.81E-2</c:v>
                </c:pt>
                <c:pt idx="746">
                  <c:v>2.7699999999999999E-2</c:v>
                </c:pt>
                <c:pt idx="747">
                  <c:v>2.7200000000000002E-2</c:v>
                </c:pt>
                <c:pt idx="748">
                  <c:v>2.69E-2</c:v>
                </c:pt>
                <c:pt idx="749">
                  <c:v>2.6600000000000002E-2</c:v>
                </c:pt>
                <c:pt idx="750">
                  <c:v>2.5600000000000001E-2</c:v>
                </c:pt>
                <c:pt idx="751">
                  <c:v>2.6699999999999998E-2</c:v>
                </c:pt>
                <c:pt idx="752">
                  <c:v>2.7000000000000003E-2</c:v>
                </c:pt>
                <c:pt idx="753">
                  <c:v>2.7300000000000001E-2</c:v>
                </c:pt>
                <c:pt idx="754">
                  <c:v>2.7400000000000001E-2</c:v>
                </c:pt>
                <c:pt idx="755">
                  <c:v>2.7400000000000001E-2</c:v>
                </c:pt>
                <c:pt idx="756">
                  <c:v>2.7099999999999999E-2</c:v>
                </c:pt>
                <c:pt idx="757">
                  <c:v>2.7099999999999999E-2</c:v>
                </c:pt>
                <c:pt idx="758">
                  <c:v>2.7200000000000002E-2</c:v>
                </c:pt>
                <c:pt idx="759">
                  <c:v>2.7300000000000001E-2</c:v>
                </c:pt>
                <c:pt idx="760">
                  <c:v>2.75E-2</c:v>
                </c:pt>
                <c:pt idx="761">
                  <c:v>2.7900000000000001E-2</c:v>
                </c:pt>
                <c:pt idx="762">
                  <c:v>2.7400000000000001E-2</c:v>
                </c:pt>
                <c:pt idx="763">
                  <c:v>2.76E-2</c:v>
                </c:pt>
                <c:pt idx="764">
                  <c:v>2.7200000000000002E-2</c:v>
                </c:pt>
                <c:pt idx="765">
                  <c:v>2.76E-2</c:v>
                </c:pt>
                <c:pt idx="766">
                  <c:v>2.75E-2</c:v>
                </c:pt>
                <c:pt idx="767">
                  <c:v>2.7200000000000002E-2</c:v>
                </c:pt>
                <c:pt idx="768">
                  <c:v>2.7000000000000003E-2</c:v>
                </c:pt>
                <c:pt idx="769">
                  <c:v>2.63E-2</c:v>
                </c:pt>
                <c:pt idx="770">
                  <c:v>2.7000000000000003E-2</c:v>
                </c:pt>
                <c:pt idx="771">
                  <c:v>2.7300000000000001E-2</c:v>
                </c:pt>
                <c:pt idx="772">
                  <c:v>2.7099999999999999E-2</c:v>
                </c:pt>
                <c:pt idx="773">
                  <c:v>2.7000000000000003E-2</c:v>
                </c:pt>
                <c:pt idx="774">
                  <c:v>2.6499999999999999E-2</c:v>
                </c:pt>
                <c:pt idx="775">
                  <c:v>2.63E-2</c:v>
                </c:pt>
                <c:pt idx="776">
                  <c:v>2.6499999999999999E-2</c:v>
                </c:pt>
                <c:pt idx="777">
                  <c:v>2.6800000000000001E-2</c:v>
                </c:pt>
                <c:pt idx="778">
                  <c:v>2.7099999999999999E-2</c:v>
                </c:pt>
                <c:pt idx="779">
                  <c:v>2.6600000000000002E-2</c:v>
                </c:pt>
                <c:pt idx="780">
                  <c:v>2.6600000000000002E-2</c:v>
                </c:pt>
                <c:pt idx="781">
                  <c:v>2.6499999999999999E-2</c:v>
                </c:pt>
                <c:pt idx="782">
                  <c:v>2.6499999999999999E-2</c:v>
                </c:pt>
                <c:pt idx="783">
                  <c:v>2.69E-2</c:v>
                </c:pt>
                <c:pt idx="784">
                  <c:v>2.6499999999999999E-2</c:v>
                </c:pt>
                <c:pt idx="785">
                  <c:v>2.6699999999999998E-2</c:v>
                </c:pt>
                <c:pt idx="786">
                  <c:v>2.64E-2</c:v>
                </c:pt>
                <c:pt idx="787">
                  <c:v>2.69E-2</c:v>
                </c:pt>
                <c:pt idx="788">
                  <c:v>2.7300000000000001E-2</c:v>
                </c:pt>
                <c:pt idx="789">
                  <c:v>2.76E-2</c:v>
                </c:pt>
                <c:pt idx="790">
                  <c:v>2.7200000000000002E-2</c:v>
                </c:pt>
                <c:pt idx="791">
                  <c:v>2.7200000000000002E-2</c:v>
                </c:pt>
                <c:pt idx="792">
                  <c:v>2.69E-2</c:v>
                </c:pt>
                <c:pt idx="793">
                  <c:v>2.64E-2</c:v>
                </c:pt>
                <c:pt idx="794">
                  <c:v>2.6200000000000001E-2</c:v>
                </c:pt>
                <c:pt idx="795">
                  <c:v>2.64E-2</c:v>
                </c:pt>
                <c:pt idx="796">
                  <c:v>2.6099999999999998E-2</c:v>
                </c:pt>
                <c:pt idx="797">
                  <c:v>2.6099999999999998E-2</c:v>
                </c:pt>
                <c:pt idx="798">
                  <c:v>2.63E-2</c:v>
                </c:pt>
                <c:pt idx="799">
                  <c:v>2.5899999999999999E-2</c:v>
                </c:pt>
                <c:pt idx="800">
                  <c:v>2.6000000000000002E-2</c:v>
                </c:pt>
                <c:pt idx="801">
                  <c:v>2.6099999999999998E-2</c:v>
                </c:pt>
                <c:pt idx="802">
                  <c:v>2.5399999999999999E-2</c:v>
                </c:pt>
                <c:pt idx="803">
                  <c:v>2.5399999999999999E-2</c:v>
                </c:pt>
                <c:pt idx="804">
                  <c:v>2.4399999999999998E-2</c:v>
                </c:pt>
                <c:pt idx="805">
                  <c:v>2.4300000000000002E-2</c:v>
                </c:pt>
                <c:pt idx="806">
                  <c:v>2.41E-2</c:v>
                </c:pt>
                <c:pt idx="807">
                  <c:v>2.3900000000000001E-2</c:v>
                </c:pt>
                <c:pt idx="808">
                  <c:v>2.3900000000000001E-2</c:v>
                </c:pt>
                <c:pt idx="809">
                  <c:v>2.41E-2</c:v>
                </c:pt>
                <c:pt idx="810">
                  <c:v>2.4900000000000002E-2</c:v>
                </c:pt>
                <c:pt idx="811">
                  <c:v>2.4799999999999999E-2</c:v>
                </c:pt>
                <c:pt idx="812">
                  <c:v>2.52E-2</c:v>
                </c:pt>
                <c:pt idx="813">
                  <c:v>2.5099999999999997E-2</c:v>
                </c:pt>
                <c:pt idx="814">
                  <c:v>2.5000000000000001E-2</c:v>
                </c:pt>
                <c:pt idx="815">
                  <c:v>2.52E-2</c:v>
                </c:pt>
                <c:pt idx="816">
                  <c:v>2.5099999999999997E-2</c:v>
                </c:pt>
                <c:pt idx="817">
                  <c:v>2.4799999999999999E-2</c:v>
                </c:pt>
                <c:pt idx="818">
                  <c:v>2.5099999999999997E-2</c:v>
                </c:pt>
                <c:pt idx="819">
                  <c:v>2.5600000000000001E-2</c:v>
                </c:pt>
                <c:pt idx="820">
                  <c:v>2.5499999999999998E-2</c:v>
                </c:pt>
                <c:pt idx="821">
                  <c:v>2.6000000000000002E-2</c:v>
                </c:pt>
                <c:pt idx="822">
                  <c:v>2.5899999999999999E-2</c:v>
                </c:pt>
                <c:pt idx="823">
                  <c:v>2.5699999999999997E-2</c:v>
                </c:pt>
                <c:pt idx="824">
                  <c:v>2.5899999999999999E-2</c:v>
                </c:pt>
                <c:pt idx="825">
                  <c:v>2.5699999999999997E-2</c:v>
                </c:pt>
                <c:pt idx="826">
                  <c:v>2.53E-2</c:v>
                </c:pt>
                <c:pt idx="827">
                  <c:v>2.5399999999999999E-2</c:v>
                </c:pt>
                <c:pt idx="828">
                  <c:v>2.5099999999999997E-2</c:v>
                </c:pt>
                <c:pt idx="829">
                  <c:v>2.5399999999999999E-2</c:v>
                </c:pt>
                <c:pt idx="830">
                  <c:v>2.5099999999999997E-2</c:v>
                </c:pt>
                <c:pt idx="831">
                  <c:v>2.52E-2</c:v>
                </c:pt>
                <c:pt idx="832">
                  <c:v>2.5499999999999998E-2</c:v>
                </c:pt>
                <c:pt idx="833">
                  <c:v>2.5399999999999999E-2</c:v>
                </c:pt>
                <c:pt idx="834">
                  <c:v>2.5099999999999997E-2</c:v>
                </c:pt>
                <c:pt idx="835">
                  <c:v>2.4500000000000001E-2</c:v>
                </c:pt>
                <c:pt idx="836">
                  <c:v>2.4900000000000002E-2</c:v>
                </c:pt>
                <c:pt idx="837">
                  <c:v>2.4500000000000001E-2</c:v>
                </c:pt>
                <c:pt idx="838">
                  <c:v>2.4700000000000003E-2</c:v>
                </c:pt>
                <c:pt idx="839">
                  <c:v>2.4E-2</c:v>
                </c:pt>
                <c:pt idx="840">
                  <c:v>2.4199999999999999E-2</c:v>
                </c:pt>
                <c:pt idx="841">
                  <c:v>2.3700000000000002E-2</c:v>
                </c:pt>
                <c:pt idx="842">
                  <c:v>2.4E-2</c:v>
                </c:pt>
                <c:pt idx="843">
                  <c:v>2.3900000000000001E-2</c:v>
                </c:pt>
                <c:pt idx="844">
                  <c:v>2.41E-2</c:v>
                </c:pt>
                <c:pt idx="845">
                  <c:v>2.4300000000000002E-2</c:v>
                </c:pt>
                <c:pt idx="846">
                  <c:v>2.3900000000000001E-2</c:v>
                </c:pt>
                <c:pt idx="847">
                  <c:v>2.3099999999999999E-2</c:v>
                </c:pt>
                <c:pt idx="848">
                  <c:v>2.3199999999999998E-2</c:v>
                </c:pt>
                <c:pt idx="849">
                  <c:v>2.2599999999999999E-2</c:v>
                </c:pt>
                <c:pt idx="850">
                  <c:v>2.2499999999999999E-2</c:v>
                </c:pt>
                <c:pt idx="851">
                  <c:v>2.2200000000000001E-2</c:v>
                </c:pt>
                <c:pt idx="852">
                  <c:v>2.1400000000000002E-2</c:v>
                </c:pt>
                <c:pt idx="853">
                  <c:v>2.07E-2</c:v>
                </c:pt>
                <c:pt idx="854">
                  <c:v>2.12E-2</c:v>
                </c:pt>
                <c:pt idx="855">
                  <c:v>2.12E-2</c:v>
                </c:pt>
                <c:pt idx="856">
                  <c:v>2.12E-2</c:v>
                </c:pt>
                <c:pt idx="857">
                  <c:v>2.0899999999999998E-2</c:v>
                </c:pt>
                <c:pt idx="858">
                  <c:v>2.1499999999999998E-2</c:v>
                </c:pt>
                <c:pt idx="859">
                  <c:v>2.1499999999999998E-2</c:v>
                </c:pt>
                <c:pt idx="860">
                  <c:v>2.1299999999999999E-2</c:v>
                </c:pt>
                <c:pt idx="861">
                  <c:v>2.1000000000000001E-2</c:v>
                </c:pt>
                <c:pt idx="862">
                  <c:v>2.0899999999999998E-2</c:v>
                </c:pt>
                <c:pt idx="863">
                  <c:v>2.0899999999999998E-2</c:v>
                </c:pt>
                <c:pt idx="864">
                  <c:v>2.06E-2</c:v>
                </c:pt>
                <c:pt idx="865">
                  <c:v>2.0299999999999999E-2</c:v>
                </c:pt>
                <c:pt idx="866">
                  <c:v>2.0099999999999996E-2</c:v>
                </c:pt>
                <c:pt idx="867">
                  <c:v>2.07E-2</c:v>
                </c:pt>
                <c:pt idx="868">
                  <c:v>2.0199999999999999E-2</c:v>
                </c:pt>
                <c:pt idx="869">
                  <c:v>0.02</c:v>
                </c:pt>
                <c:pt idx="870">
                  <c:v>2.0499999999999997E-2</c:v>
                </c:pt>
                <c:pt idx="871">
                  <c:v>2.0099999999999996E-2</c:v>
                </c:pt>
                <c:pt idx="872">
                  <c:v>0.02</c:v>
                </c:pt>
                <c:pt idx="873">
                  <c:v>2.0299999999999999E-2</c:v>
                </c:pt>
                <c:pt idx="874">
                  <c:v>1.9799999999999998E-2</c:v>
                </c:pt>
                <c:pt idx="875">
                  <c:v>1.9599999999999999E-2</c:v>
                </c:pt>
                <c:pt idx="876">
                  <c:v>2.0400000000000001E-2</c:v>
                </c:pt>
                <c:pt idx="877">
                  <c:v>2.0499999999999997E-2</c:v>
                </c:pt>
                <c:pt idx="878">
                  <c:v>2.07E-2</c:v>
                </c:pt>
                <c:pt idx="879">
                  <c:v>2.07E-2</c:v>
                </c:pt>
                <c:pt idx="880">
                  <c:v>2.1299999999999999E-2</c:v>
                </c:pt>
                <c:pt idx="881">
                  <c:v>2.12E-2</c:v>
                </c:pt>
                <c:pt idx="882">
                  <c:v>2.0899999999999998E-2</c:v>
                </c:pt>
                <c:pt idx="883">
                  <c:v>2.1299999999999999E-2</c:v>
                </c:pt>
                <c:pt idx="884">
                  <c:v>2.06E-2</c:v>
                </c:pt>
                <c:pt idx="885">
                  <c:v>2.0400000000000001E-2</c:v>
                </c:pt>
                <c:pt idx="886">
                  <c:v>2.0499999999999997E-2</c:v>
                </c:pt>
                <c:pt idx="887">
                  <c:v>2.0499999999999997E-2</c:v>
                </c:pt>
                <c:pt idx="888">
                  <c:v>2.0799999999999999E-2</c:v>
                </c:pt>
                <c:pt idx="889">
                  <c:v>2.0499999999999997E-2</c:v>
                </c:pt>
                <c:pt idx="890">
                  <c:v>2.0799999999999999E-2</c:v>
                </c:pt>
                <c:pt idx="891">
                  <c:v>2.0799999999999999E-2</c:v>
                </c:pt>
                <c:pt idx="892">
                  <c:v>2.06E-2</c:v>
                </c:pt>
                <c:pt idx="893">
                  <c:v>2.06E-2</c:v>
                </c:pt>
                <c:pt idx="894">
                  <c:v>2.0199999999999999E-2</c:v>
                </c:pt>
                <c:pt idx="895">
                  <c:v>1.9E-2</c:v>
                </c:pt>
                <c:pt idx="896">
                  <c:v>1.8600000000000002E-2</c:v>
                </c:pt>
                <c:pt idx="897">
                  <c:v>1.7500000000000002E-2</c:v>
                </c:pt>
                <c:pt idx="898">
                  <c:v>1.7299999999999999E-2</c:v>
                </c:pt>
                <c:pt idx="899">
                  <c:v>1.7100000000000001E-2</c:v>
                </c:pt>
                <c:pt idx="900">
                  <c:v>1.72E-2</c:v>
                </c:pt>
                <c:pt idx="901">
                  <c:v>1.7399999999999999E-2</c:v>
                </c:pt>
                <c:pt idx="902">
                  <c:v>1.6500000000000001E-2</c:v>
                </c:pt>
                <c:pt idx="903">
                  <c:v>1.6799999999999999E-2</c:v>
                </c:pt>
                <c:pt idx="904">
                  <c:v>1.5900000000000001E-2</c:v>
                </c:pt>
                <c:pt idx="905">
                  <c:v>1.52E-2</c:v>
                </c:pt>
                <c:pt idx="906">
                  <c:v>1.55E-2</c:v>
                </c:pt>
                <c:pt idx="907">
                  <c:v>1.6E-2</c:v>
                </c:pt>
                <c:pt idx="908">
                  <c:v>1.55E-2</c:v>
                </c:pt>
                <c:pt idx="909">
                  <c:v>1.5900000000000001E-2</c:v>
                </c:pt>
                <c:pt idx="910">
                  <c:v>1.6200000000000003E-2</c:v>
                </c:pt>
                <c:pt idx="911">
                  <c:v>1.52E-2</c:v>
                </c:pt>
                <c:pt idx="912">
                  <c:v>1.54E-2</c:v>
                </c:pt>
                <c:pt idx="913">
                  <c:v>1.49E-2</c:v>
                </c:pt>
                <c:pt idx="914">
                  <c:v>1.47E-2</c:v>
                </c:pt>
                <c:pt idx="915">
                  <c:v>1.4999999999999999E-2</c:v>
                </c:pt>
                <c:pt idx="916">
                  <c:v>1.4999999999999999E-2</c:v>
                </c:pt>
                <c:pt idx="917">
                  <c:v>1.47E-2</c:v>
                </c:pt>
                <c:pt idx="918">
                  <c:v>1.47E-2</c:v>
                </c:pt>
                <c:pt idx="919">
                  <c:v>1.5700000000000002E-2</c:v>
                </c:pt>
                <c:pt idx="920">
                  <c:v>1.55E-2</c:v>
                </c:pt>
                <c:pt idx="921">
                  <c:v>1.6299999999999999E-2</c:v>
                </c:pt>
                <c:pt idx="922">
                  <c:v>1.72E-2</c:v>
                </c:pt>
                <c:pt idx="923">
                  <c:v>1.7500000000000002E-2</c:v>
                </c:pt>
                <c:pt idx="924">
                  <c:v>1.7899999999999999E-2</c:v>
                </c:pt>
                <c:pt idx="925">
                  <c:v>1.9E-2</c:v>
                </c:pt>
                <c:pt idx="926">
                  <c:v>1.84E-2</c:v>
                </c:pt>
                <c:pt idx="927">
                  <c:v>1.8100000000000002E-2</c:v>
                </c:pt>
                <c:pt idx="928">
                  <c:v>1.8000000000000002E-2</c:v>
                </c:pt>
                <c:pt idx="929">
                  <c:v>1.7899999999999999E-2</c:v>
                </c:pt>
                <c:pt idx="930">
                  <c:v>1.7399999999999999E-2</c:v>
                </c:pt>
                <c:pt idx="931">
                  <c:v>1.72E-2</c:v>
                </c:pt>
                <c:pt idx="932">
                  <c:v>1.6399999999999998E-2</c:v>
                </c:pt>
                <c:pt idx="933">
                  <c:v>1.7299999999999999E-2</c:v>
                </c:pt>
                <c:pt idx="934">
                  <c:v>1.7000000000000001E-2</c:v>
                </c:pt>
                <c:pt idx="935">
                  <c:v>1.6899999999999998E-2</c:v>
                </c:pt>
                <c:pt idx="936">
                  <c:v>1.6799999999999999E-2</c:v>
                </c:pt>
                <c:pt idx="937">
                  <c:v>1.6500000000000001E-2</c:v>
                </c:pt>
                <c:pt idx="938">
                  <c:v>1.6E-2</c:v>
                </c:pt>
                <c:pt idx="939">
                  <c:v>1.54E-2</c:v>
                </c:pt>
                <c:pt idx="940">
                  <c:v>1.52E-2</c:v>
                </c:pt>
                <c:pt idx="941">
                  <c:v>1.5600000000000001E-2</c:v>
                </c:pt>
                <c:pt idx="942">
                  <c:v>1.54E-2</c:v>
                </c:pt>
                <c:pt idx="943">
                  <c:v>1.5900000000000001E-2</c:v>
                </c:pt>
                <c:pt idx="944">
                  <c:v>1.67E-2</c:v>
                </c:pt>
                <c:pt idx="945">
                  <c:v>1.7600000000000001E-2</c:v>
                </c:pt>
                <c:pt idx="946">
                  <c:v>1.77E-2</c:v>
                </c:pt>
                <c:pt idx="947">
                  <c:v>1.7500000000000002E-2</c:v>
                </c:pt>
                <c:pt idx="948">
                  <c:v>1.7600000000000001E-2</c:v>
                </c:pt>
                <c:pt idx="949">
                  <c:v>1.7600000000000001E-2</c:v>
                </c:pt>
                <c:pt idx="950">
                  <c:v>1.8000000000000002E-2</c:v>
                </c:pt>
                <c:pt idx="951">
                  <c:v>1.78E-2</c:v>
                </c:pt>
                <c:pt idx="952">
                  <c:v>1.77E-2</c:v>
                </c:pt>
                <c:pt idx="953">
                  <c:v>1.77E-2</c:v>
                </c:pt>
                <c:pt idx="954">
                  <c:v>1.8000000000000002E-2</c:v>
                </c:pt>
                <c:pt idx="955">
                  <c:v>1.8500000000000003E-2</c:v>
                </c:pt>
                <c:pt idx="956">
                  <c:v>1.84E-2</c:v>
                </c:pt>
                <c:pt idx="957">
                  <c:v>1.78E-2</c:v>
                </c:pt>
                <c:pt idx="958">
                  <c:v>1.6899999999999998E-2</c:v>
                </c:pt>
                <c:pt idx="959">
                  <c:v>1.7299999999999999E-2</c:v>
                </c:pt>
                <c:pt idx="960">
                  <c:v>1.7899999999999999E-2</c:v>
                </c:pt>
                <c:pt idx="961">
                  <c:v>1.8600000000000002E-2</c:v>
                </c:pt>
                <c:pt idx="962">
                  <c:v>1.8100000000000002E-2</c:v>
                </c:pt>
                <c:pt idx="963">
                  <c:v>1.9199999999999998E-2</c:v>
                </c:pt>
                <c:pt idx="964">
                  <c:v>1.9400000000000001E-2</c:v>
                </c:pt>
                <c:pt idx="965">
                  <c:v>1.9199999999999998E-2</c:v>
                </c:pt>
                <c:pt idx="966">
                  <c:v>1.8799999999999997E-2</c:v>
                </c:pt>
                <c:pt idx="967">
                  <c:v>1.8200000000000001E-2</c:v>
                </c:pt>
                <c:pt idx="968">
                  <c:v>1.84E-2</c:v>
                </c:pt>
                <c:pt idx="969">
                  <c:v>1.8100000000000002E-2</c:v>
                </c:pt>
                <c:pt idx="970">
                  <c:v>1.7899999999999999E-2</c:v>
                </c:pt>
                <c:pt idx="971">
                  <c:v>1.7299999999999999E-2</c:v>
                </c:pt>
                <c:pt idx="972">
                  <c:v>1.77E-2</c:v>
                </c:pt>
                <c:pt idx="973">
                  <c:v>1.77E-2</c:v>
                </c:pt>
                <c:pt idx="974">
                  <c:v>1.7600000000000001E-2</c:v>
                </c:pt>
                <c:pt idx="975">
                  <c:v>1.7399999999999999E-2</c:v>
                </c:pt>
                <c:pt idx="976">
                  <c:v>1.77E-2</c:v>
                </c:pt>
                <c:pt idx="977">
                  <c:v>1.78E-2</c:v>
                </c:pt>
                <c:pt idx="978">
                  <c:v>1.83E-2</c:v>
                </c:pt>
                <c:pt idx="979">
                  <c:v>1.72E-2</c:v>
                </c:pt>
                <c:pt idx="980">
                  <c:v>1.77E-2</c:v>
                </c:pt>
                <c:pt idx="981">
                  <c:v>1.8000000000000002E-2</c:v>
                </c:pt>
                <c:pt idx="982">
                  <c:v>1.84E-2</c:v>
                </c:pt>
                <c:pt idx="983">
                  <c:v>1.83E-2</c:v>
                </c:pt>
                <c:pt idx="984">
                  <c:v>1.8500000000000003E-2</c:v>
                </c:pt>
                <c:pt idx="985">
                  <c:v>1.7899999999999999E-2</c:v>
                </c:pt>
                <c:pt idx="986">
                  <c:v>1.9E-2</c:v>
                </c:pt>
                <c:pt idx="987">
                  <c:v>1.8200000000000001E-2</c:v>
                </c:pt>
                <c:pt idx="988">
                  <c:v>1.89E-2</c:v>
                </c:pt>
                <c:pt idx="989">
                  <c:v>1.89E-2</c:v>
                </c:pt>
                <c:pt idx="990">
                  <c:v>1.9199999999999998E-2</c:v>
                </c:pt>
                <c:pt idx="991">
                  <c:v>1.9199999999999998E-2</c:v>
                </c:pt>
                <c:pt idx="992">
                  <c:v>1.9199999999999998E-2</c:v>
                </c:pt>
                <c:pt idx="993">
                  <c:v>1.9299999999999998E-2</c:v>
                </c:pt>
                <c:pt idx="994">
                  <c:v>1.9E-2</c:v>
                </c:pt>
                <c:pt idx="995">
                  <c:v>1.9E-2</c:v>
                </c:pt>
                <c:pt idx="996">
                  <c:v>1.8799999999999997E-2</c:v>
                </c:pt>
                <c:pt idx="997">
                  <c:v>1.9E-2</c:v>
                </c:pt>
                <c:pt idx="998">
                  <c:v>1.9199999999999998E-2</c:v>
                </c:pt>
                <c:pt idx="999">
                  <c:v>1.8799999999999997E-2</c:v>
                </c:pt>
                <c:pt idx="1000">
                  <c:v>1.8000000000000002E-2</c:v>
                </c:pt>
                <c:pt idx="1001">
                  <c:v>1.8100000000000002E-2</c:v>
                </c:pt>
                <c:pt idx="1002">
                  <c:v>1.83E-2</c:v>
                </c:pt>
                <c:pt idx="1003">
                  <c:v>1.8700000000000001E-2</c:v>
                </c:pt>
                <c:pt idx="1004">
                  <c:v>1.8500000000000003E-2</c:v>
                </c:pt>
                <c:pt idx="1005">
                  <c:v>1.83E-2</c:v>
                </c:pt>
                <c:pt idx="1006">
                  <c:v>1.8500000000000003E-2</c:v>
                </c:pt>
                <c:pt idx="1007">
                  <c:v>1.8200000000000001E-2</c:v>
                </c:pt>
                <c:pt idx="1008">
                  <c:v>1.7899999999999999E-2</c:v>
                </c:pt>
                <c:pt idx="1009">
                  <c:v>1.8100000000000002E-2</c:v>
                </c:pt>
                <c:pt idx="1010">
                  <c:v>1.84E-2</c:v>
                </c:pt>
                <c:pt idx="1011">
                  <c:v>1.78E-2</c:v>
                </c:pt>
                <c:pt idx="1012">
                  <c:v>1.77E-2</c:v>
                </c:pt>
                <c:pt idx="1013">
                  <c:v>1.7399999999999999E-2</c:v>
                </c:pt>
                <c:pt idx="1014">
                  <c:v>1.7000000000000001E-2</c:v>
                </c:pt>
                <c:pt idx="1015">
                  <c:v>1.61E-2</c:v>
                </c:pt>
                <c:pt idx="1016">
                  <c:v>1.6500000000000001E-2</c:v>
                </c:pt>
                <c:pt idx="1017">
                  <c:v>1.6E-2</c:v>
                </c:pt>
                <c:pt idx="1018">
                  <c:v>1.5700000000000002E-2</c:v>
                </c:pt>
                <c:pt idx="1019">
                  <c:v>1.5100000000000001E-2</c:v>
                </c:pt>
                <c:pt idx="1020">
                  <c:v>1.54E-2</c:v>
                </c:pt>
                <c:pt idx="1021">
                  <c:v>1.61E-2</c:v>
                </c:pt>
                <c:pt idx="1022">
                  <c:v>1.66E-2</c:v>
                </c:pt>
                <c:pt idx="1023">
                  <c:v>1.6500000000000001E-2</c:v>
                </c:pt>
                <c:pt idx="1024">
                  <c:v>1.5900000000000001E-2</c:v>
                </c:pt>
                <c:pt idx="1025">
                  <c:v>1.5600000000000001E-2</c:v>
                </c:pt>
                <c:pt idx="1026">
                  <c:v>1.5900000000000001E-2</c:v>
                </c:pt>
                <c:pt idx="1027">
                  <c:v>1.6200000000000003E-2</c:v>
                </c:pt>
                <c:pt idx="1028">
                  <c:v>1.61E-2</c:v>
                </c:pt>
                <c:pt idx="1029">
                  <c:v>1.5900000000000001E-2</c:v>
                </c:pt>
                <c:pt idx="1030">
                  <c:v>1.55E-2</c:v>
                </c:pt>
                <c:pt idx="1031">
                  <c:v>1.5600000000000001E-2</c:v>
                </c:pt>
                <c:pt idx="1032">
                  <c:v>1.52E-2</c:v>
                </c:pt>
                <c:pt idx="1033">
                  <c:v>1.46E-2</c:v>
                </c:pt>
                <c:pt idx="1034">
                  <c:v>1.38E-2</c:v>
                </c:pt>
                <c:pt idx="1035">
                  <c:v>1.3300000000000001E-2</c:v>
                </c:pt>
                <c:pt idx="1036">
                  <c:v>1.3300000000000001E-2</c:v>
                </c:pt>
                <c:pt idx="1037">
                  <c:v>1.3000000000000001E-2</c:v>
                </c:pt>
                <c:pt idx="1038">
                  <c:v>1.1299999999999999E-2</c:v>
                </c:pt>
                <c:pt idx="1039">
                  <c:v>1.1000000000000001E-2</c:v>
                </c:pt>
                <c:pt idx="1040">
                  <c:v>1.0200000000000001E-2</c:v>
                </c:pt>
                <c:pt idx="1041">
                  <c:v>1.0200000000000001E-2</c:v>
                </c:pt>
                <c:pt idx="1042">
                  <c:v>9.1999999999999998E-3</c:v>
                </c:pt>
                <c:pt idx="1043">
                  <c:v>7.4000000000000003E-3</c:v>
                </c:pt>
                <c:pt idx="1044">
                  <c:v>5.4000000000000003E-3</c:v>
                </c:pt>
                <c:pt idx="1045">
                  <c:v>7.6E-3</c:v>
                </c:pt>
                <c:pt idx="1046">
                  <c:v>8.199999999999999E-3</c:v>
                </c:pt>
                <c:pt idx="1047">
                  <c:v>8.8000000000000005E-3</c:v>
                </c:pt>
                <c:pt idx="1048">
                  <c:v>9.3999999999999986E-3</c:v>
                </c:pt>
                <c:pt idx="1049">
                  <c:v>7.3000000000000001E-3</c:v>
                </c:pt>
                <c:pt idx="1050">
                  <c:v>1.0200000000000001E-2</c:v>
                </c:pt>
                <c:pt idx="1051">
                  <c:v>1.18E-2</c:v>
                </c:pt>
                <c:pt idx="1052">
                  <c:v>1.1200000000000002E-2</c:v>
                </c:pt>
                <c:pt idx="1053">
                  <c:v>9.1999999999999998E-3</c:v>
                </c:pt>
                <c:pt idx="1054">
                  <c:v>7.6E-3</c:v>
                </c:pt>
                <c:pt idx="1055">
                  <c:v>8.3999999999999995E-3</c:v>
                </c:pt>
                <c:pt idx="1056">
                  <c:v>8.8000000000000005E-3</c:v>
                </c:pt>
                <c:pt idx="1057">
                  <c:v>8.3000000000000001E-3</c:v>
                </c:pt>
                <c:pt idx="1058">
                  <c:v>7.1999999999999998E-3</c:v>
                </c:pt>
                <c:pt idx="1059">
                  <c:v>6.9999999999999993E-3</c:v>
                </c:pt>
                <c:pt idx="1060">
                  <c:v>6.9999999999999993E-3</c:v>
                </c:pt>
                <c:pt idx="1061">
                  <c:v>6.1999999999999998E-3</c:v>
                </c:pt>
                <c:pt idx="1062">
                  <c:v>6.3E-3</c:v>
                </c:pt>
                <c:pt idx="1063">
                  <c:v>6.1999999999999998E-3</c:v>
                </c:pt>
                <c:pt idx="1064">
                  <c:v>6.7000000000000002E-3</c:v>
                </c:pt>
                <c:pt idx="1065">
                  <c:v>7.4999999999999997E-3</c:v>
                </c:pt>
                <c:pt idx="1066">
                  <c:v>7.7000000000000002E-3</c:v>
                </c:pt>
                <c:pt idx="1067">
                  <c:v>7.3000000000000001E-3</c:v>
                </c:pt>
                <c:pt idx="1068">
                  <c:v>7.6E-3</c:v>
                </c:pt>
                <c:pt idx="1069">
                  <c:v>7.6E-3</c:v>
                </c:pt>
                <c:pt idx="1070">
                  <c:v>6.3E-3</c:v>
                </c:pt>
                <c:pt idx="1071">
                  <c:v>6.0999999999999995E-3</c:v>
                </c:pt>
                <c:pt idx="1072">
                  <c:v>6.5000000000000006E-3</c:v>
                </c:pt>
                <c:pt idx="1073">
                  <c:v>6.3E-3</c:v>
                </c:pt>
                <c:pt idx="1074">
                  <c:v>5.7999999999999996E-3</c:v>
                </c:pt>
                <c:pt idx="1075">
                  <c:v>6.3E-3</c:v>
                </c:pt>
                <c:pt idx="1076">
                  <c:v>6.0999999999999995E-3</c:v>
                </c:pt>
                <c:pt idx="1077">
                  <c:v>6.0000000000000001E-3</c:v>
                </c:pt>
                <c:pt idx="1078">
                  <c:v>6.7000000000000002E-3</c:v>
                </c:pt>
                <c:pt idx="1079">
                  <c:v>6.1999999999999998E-3</c:v>
                </c:pt>
                <c:pt idx="1080">
                  <c:v>6.3E-3</c:v>
                </c:pt>
                <c:pt idx="1081">
                  <c:v>6.4000000000000003E-3</c:v>
                </c:pt>
                <c:pt idx="1082">
                  <c:v>6.4000000000000003E-3</c:v>
                </c:pt>
                <c:pt idx="1083">
                  <c:v>6.4000000000000003E-3</c:v>
                </c:pt>
                <c:pt idx="1084">
                  <c:v>6.6E-3</c:v>
                </c:pt>
                <c:pt idx="1085">
                  <c:v>7.1999999999999998E-3</c:v>
                </c:pt>
                <c:pt idx="1086">
                  <c:v>6.3E-3</c:v>
                </c:pt>
                <c:pt idx="1087">
                  <c:v>6.8999999999999999E-3</c:v>
                </c:pt>
                <c:pt idx="1088">
                  <c:v>7.3000000000000001E-3</c:v>
                </c:pt>
                <c:pt idx="1089">
                  <c:v>6.8999999999999999E-3</c:v>
                </c:pt>
                <c:pt idx="1090">
                  <c:v>6.4000000000000003E-3</c:v>
                </c:pt>
                <c:pt idx="1091">
                  <c:v>6.3E-3</c:v>
                </c:pt>
                <c:pt idx="1092">
                  <c:v>6.4000000000000003E-3</c:v>
                </c:pt>
                <c:pt idx="1093">
                  <c:v>7.3000000000000001E-3</c:v>
                </c:pt>
                <c:pt idx="1094">
                  <c:v>6.9999999999999993E-3</c:v>
                </c:pt>
                <c:pt idx="1095">
                  <c:v>6.8000000000000005E-3</c:v>
                </c:pt>
                <c:pt idx="1096">
                  <c:v>6.8000000000000005E-3</c:v>
                </c:pt>
                <c:pt idx="1097">
                  <c:v>6.6E-3</c:v>
                </c:pt>
                <c:pt idx="1098">
                  <c:v>6.8999999999999999E-3</c:v>
                </c:pt>
                <c:pt idx="1099">
                  <c:v>6.8000000000000005E-3</c:v>
                </c:pt>
                <c:pt idx="1100">
                  <c:v>6.9999999999999993E-3</c:v>
                </c:pt>
                <c:pt idx="1101">
                  <c:v>6.5000000000000006E-3</c:v>
                </c:pt>
                <c:pt idx="1102">
                  <c:v>6.6E-3</c:v>
                </c:pt>
                <c:pt idx="1103">
                  <c:v>6.8000000000000005E-3</c:v>
                </c:pt>
                <c:pt idx="1104">
                  <c:v>7.7000000000000002E-3</c:v>
                </c:pt>
                <c:pt idx="1105">
                  <c:v>8.199999999999999E-3</c:v>
                </c:pt>
                <c:pt idx="1106">
                  <c:v>9.1000000000000004E-3</c:v>
                </c:pt>
                <c:pt idx="1107">
                  <c:v>8.8000000000000005E-3</c:v>
                </c:pt>
                <c:pt idx="1108">
                  <c:v>8.3999999999999995E-3</c:v>
                </c:pt>
                <c:pt idx="1109">
                  <c:v>7.4999999999999997E-3</c:v>
                </c:pt>
                <c:pt idx="1110">
                  <c:v>6.6E-3</c:v>
                </c:pt>
                <c:pt idx="1111">
                  <c:v>7.0999999999999995E-3</c:v>
                </c:pt>
                <c:pt idx="1112">
                  <c:v>7.0999999999999995E-3</c:v>
                </c:pt>
                <c:pt idx="1113">
                  <c:v>7.4999999999999997E-3</c:v>
                </c:pt>
                <c:pt idx="1114">
                  <c:v>7.4000000000000003E-3</c:v>
                </c:pt>
                <c:pt idx="1115">
                  <c:v>7.0999999999999995E-3</c:v>
                </c:pt>
                <c:pt idx="1116">
                  <c:v>6.9999999999999993E-3</c:v>
                </c:pt>
                <c:pt idx="1117">
                  <c:v>7.0999999999999995E-3</c:v>
                </c:pt>
                <c:pt idx="1118">
                  <c:v>7.1999999999999998E-3</c:v>
                </c:pt>
                <c:pt idx="1119">
                  <c:v>6.8999999999999999E-3</c:v>
                </c:pt>
                <c:pt idx="1120">
                  <c:v>6.8000000000000005E-3</c:v>
                </c:pt>
                <c:pt idx="1121">
                  <c:v>6.4000000000000003E-3</c:v>
                </c:pt>
                <c:pt idx="1122">
                  <c:v>6.4000000000000003E-3</c:v>
                </c:pt>
                <c:pt idx="1123">
                  <c:v>6.6E-3</c:v>
                </c:pt>
                <c:pt idx="1124">
                  <c:v>6.8999999999999999E-3</c:v>
                </c:pt>
                <c:pt idx="1125">
                  <c:v>6.8000000000000005E-3</c:v>
                </c:pt>
                <c:pt idx="1126">
                  <c:v>6.8999999999999999E-3</c:v>
                </c:pt>
                <c:pt idx="1127">
                  <c:v>6.5000000000000006E-3</c:v>
                </c:pt>
                <c:pt idx="1128">
                  <c:v>6.7000000000000002E-3</c:v>
                </c:pt>
                <c:pt idx="1129">
                  <c:v>6.1999999999999998E-3</c:v>
                </c:pt>
                <c:pt idx="1130">
                  <c:v>6.5000000000000006E-3</c:v>
                </c:pt>
                <c:pt idx="1131">
                  <c:v>6.4000000000000003E-3</c:v>
                </c:pt>
                <c:pt idx="1132">
                  <c:v>6.3E-3</c:v>
                </c:pt>
                <c:pt idx="1133">
                  <c:v>6.4000000000000003E-3</c:v>
                </c:pt>
                <c:pt idx="1134">
                  <c:v>6.1999999999999998E-3</c:v>
                </c:pt>
                <c:pt idx="1135">
                  <c:v>6.4000000000000003E-3</c:v>
                </c:pt>
                <c:pt idx="1136">
                  <c:v>6.1999999999999998E-3</c:v>
                </c:pt>
                <c:pt idx="1137">
                  <c:v>6.0999999999999995E-3</c:v>
                </c:pt>
                <c:pt idx="1138">
                  <c:v>6.0000000000000001E-3</c:v>
                </c:pt>
                <c:pt idx="1139">
                  <c:v>5.8999999999999999E-3</c:v>
                </c:pt>
                <c:pt idx="1140">
                  <c:v>5.8999999999999999E-3</c:v>
                </c:pt>
                <c:pt idx="1141">
                  <c:v>6.1999999999999998E-3</c:v>
                </c:pt>
                <c:pt idx="1142">
                  <c:v>5.8999999999999999E-3</c:v>
                </c:pt>
                <c:pt idx="1143">
                  <c:v>5.7999999999999996E-3</c:v>
                </c:pt>
                <c:pt idx="1144">
                  <c:v>5.5000000000000005E-3</c:v>
                </c:pt>
                <c:pt idx="1145">
                  <c:v>5.5000000000000005E-3</c:v>
                </c:pt>
                <c:pt idx="1146">
                  <c:v>5.6000000000000008E-3</c:v>
                </c:pt>
                <c:pt idx="1147">
                  <c:v>5.1999999999999998E-3</c:v>
                </c:pt>
                <c:pt idx="1148">
                  <c:v>5.5000000000000005E-3</c:v>
                </c:pt>
                <c:pt idx="1149">
                  <c:v>5.5000000000000005E-3</c:v>
                </c:pt>
                <c:pt idx="1150">
                  <c:v>5.6999999999999993E-3</c:v>
                </c:pt>
                <c:pt idx="1151">
                  <c:v>5.8999999999999999E-3</c:v>
                </c:pt>
                <c:pt idx="1152">
                  <c:v>6.4000000000000003E-3</c:v>
                </c:pt>
                <c:pt idx="1153">
                  <c:v>6.8999999999999999E-3</c:v>
                </c:pt>
                <c:pt idx="1154">
                  <c:v>7.0999999999999995E-3</c:v>
                </c:pt>
                <c:pt idx="1155">
                  <c:v>7.0999999999999995E-3</c:v>
                </c:pt>
                <c:pt idx="1156">
                  <c:v>6.8999999999999999E-3</c:v>
                </c:pt>
                <c:pt idx="1157">
                  <c:v>6.7000000000000002E-3</c:v>
                </c:pt>
                <c:pt idx="1158">
                  <c:v>6.8000000000000005E-3</c:v>
                </c:pt>
                <c:pt idx="1159">
                  <c:v>6.5000000000000006E-3</c:v>
                </c:pt>
                <c:pt idx="1160">
                  <c:v>6.4000000000000003E-3</c:v>
                </c:pt>
                <c:pt idx="1161">
                  <c:v>6.5000000000000006E-3</c:v>
                </c:pt>
                <c:pt idx="1162">
                  <c:v>6.8999999999999999E-3</c:v>
                </c:pt>
                <c:pt idx="1163">
                  <c:v>6.8999999999999999E-3</c:v>
                </c:pt>
                <c:pt idx="1164">
                  <c:v>7.4000000000000003E-3</c:v>
                </c:pt>
                <c:pt idx="1165">
                  <c:v>7.4000000000000003E-3</c:v>
                </c:pt>
                <c:pt idx="1166">
                  <c:v>7.1999999999999998E-3</c:v>
                </c:pt>
                <c:pt idx="1167">
                  <c:v>6.8000000000000005E-3</c:v>
                </c:pt>
                <c:pt idx="1168">
                  <c:v>6.6E-3</c:v>
                </c:pt>
                <c:pt idx="1169">
                  <c:v>6.3E-3</c:v>
                </c:pt>
                <c:pt idx="1170">
                  <c:v>7.1999999999999998E-3</c:v>
                </c:pt>
                <c:pt idx="1171">
                  <c:v>6.8999999999999999E-3</c:v>
                </c:pt>
                <c:pt idx="1172">
                  <c:v>7.0999999999999995E-3</c:v>
                </c:pt>
                <c:pt idx="1173">
                  <c:v>6.8000000000000005E-3</c:v>
                </c:pt>
                <c:pt idx="1174">
                  <c:v>6.7000000000000002E-3</c:v>
                </c:pt>
                <c:pt idx="1175">
                  <c:v>6.8000000000000005E-3</c:v>
                </c:pt>
                <c:pt idx="1176">
                  <c:v>6.8000000000000005E-3</c:v>
                </c:pt>
                <c:pt idx="1177">
                  <c:v>6.8999999999999999E-3</c:v>
                </c:pt>
                <c:pt idx="1178">
                  <c:v>6.8999999999999999E-3</c:v>
                </c:pt>
                <c:pt idx="1179">
                  <c:v>6.9999999999999993E-3</c:v>
                </c:pt>
                <c:pt idx="1180">
                  <c:v>6.8000000000000005E-3</c:v>
                </c:pt>
                <c:pt idx="1181">
                  <c:v>6.8000000000000005E-3</c:v>
                </c:pt>
                <c:pt idx="1182">
                  <c:v>6.8000000000000005E-3</c:v>
                </c:pt>
                <c:pt idx="1183">
                  <c:v>6.7000000000000002E-3</c:v>
                </c:pt>
                <c:pt idx="1184">
                  <c:v>6.6E-3</c:v>
                </c:pt>
                <c:pt idx="1185">
                  <c:v>6.7000000000000002E-3</c:v>
                </c:pt>
                <c:pt idx="1186">
                  <c:v>6.6E-3</c:v>
                </c:pt>
                <c:pt idx="1187">
                  <c:v>6.8999999999999999E-3</c:v>
                </c:pt>
                <c:pt idx="1188">
                  <c:v>6.8000000000000005E-3</c:v>
                </c:pt>
                <c:pt idx="1189">
                  <c:v>6.9999999999999993E-3</c:v>
                </c:pt>
                <c:pt idx="1190">
                  <c:v>7.8000000000000005E-3</c:v>
                </c:pt>
                <c:pt idx="1191">
                  <c:v>7.6E-3</c:v>
                </c:pt>
                <c:pt idx="1192">
                  <c:v>8.1000000000000013E-3</c:v>
                </c:pt>
                <c:pt idx="1193">
                  <c:v>7.8000000000000005E-3</c:v>
                </c:pt>
                <c:pt idx="1194">
                  <c:v>7.9000000000000008E-3</c:v>
                </c:pt>
                <c:pt idx="1195">
                  <c:v>7.4000000000000003E-3</c:v>
                </c:pt>
                <c:pt idx="1196">
                  <c:v>7.3000000000000001E-3</c:v>
                </c:pt>
                <c:pt idx="1197">
                  <c:v>7.4000000000000003E-3</c:v>
                </c:pt>
                <c:pt idx="1198">
                  <c:v>7.6E-3</c:v>
                </c:pt>
                <c:pt idx="1199">
                  <c:v>7.8000000000000005E-3</c:v>
                </c:pt>
                <c:pt idx="1200">
                  <c:v>8.1000000000000013E-3</c:v>
                </c:pt>
                <c:pt idx="1201">
                  <c:v>8.3000000000000001E-3</c:v>
                </c:pt>
                <c:pt idx="1202">
                  <c:v>8.6999999999999994E-3</c:v>
                </c:pt>
                <c:pt idx="1203">
                  <c:v>8.5000000000000006E-3</c:v>
                </c:pt>
                <c:pt idx="1204">
                  <c:v>8.1000000000000013E-3</c:v>
                </c:pt>
                <c:pt idx="1205">
                  <c:v>7.9000000000000008E-3</c:v>
                </c:pt>
                <c:pt idx="1206">
                  <c:v>7.9000000000000008E-3</c:v>
                </c:pt>
                <c:pt idx="1207">
                  <c:v>8.5000000000000006E-3</c:v>
                </c:pt>
                <c:pt idx="1208">
                  <c:v>8.8000000000000005E-3</c:v>
                </c:pt>
                <c:pt idx="1209">
                  <c:v>8.6999999999999994E-3</c:v>
                </c:pt>
                <c:pt idx="1210">
                  <c:v>9.0000000000000011E-3</c:v>
                </c:pt>
                <c:pt idx="1211">
                  <c:v>7.8000000000000005E-3</c:v>
                </c:pt>
                <c:pt idx="1212">
                  <c:v>7.9000000000000008E-3</c:v>
                </c:pt>
                <c:pt idx="1213">
                  <c:v>8.3000000000000001E-3</c:v>
                </c:pt>
                <c:pt idx="1214">
                  <c:v>9.5999999999999992E-3</c:v>
                </c:pt>
                <c:pt idx="1215">
                  <c:v>9.7999999999999997E-3</c:v>
                </c:pt>
                <c:pt idx="1216">
                  <c:v>8.8000000000000005E-3</c:v>
                </c:pt>
                <c:pt idx="1217">
                  <c:v>8.8999999999999999E-3</c:v>
                </c:pt>
                <c:pt idx="1218">
                  <c:v>9.1000000000000004E-3</c:v>
                </c:pt>
                <c:pt idx="1219">
                  <c:v>8.6999999999999994E-3</c:v>
                </c:pt>
                <c:pt idx="1220">
                  <c:v>8.8000000000000005E-3</c:v>
                </c:pt>
                <c:pt idx="1221">
                  <c:v>8.6E-3</c:v>
                </c:pt>
                <c:pt idx="1222">
                  <c:v>8.3000000000000001E-3</c:v>
                </c:pt>
                <c:pt idx="1223">
                  <c:v>8.6E-3</c:v>
                </c:pt>
                <c:pt idx="1224">
                  <c:v>8.8000000000000005E-3</c:v>
                </c:pt>
                <c:pt idx="1225">
                  <c:v>8.8000000000000005E-3</c:v>
                </c:pt>
                <c:pt idx="1226">
                  <c:v>8.3999999999999995E-3</c:v>
                </c:pt>
                <c:pt idx="1227">
                  <c:v>8.3999999999999995E-3</c:v>
                </c:pt>
                <c:pt idx="1228">
                  <c:v>9.1999999999999998E-3</c:v>
                </c:pt>
                <c:pt idx="1229">
                  <c:v>9.4999999999999998E-3</c:v>
                </c:pt>
                <c:pt idx="1230">
                  <c:v>9.1999999999999998E-3</c:v>
                </c:pt>
                <c:pt idx="1231">
                  <c:v>9.7000000000000003E-3</c:v>
                </c:pt>
                <c:pt idx="1232">
                  <c:v>9.3999999999999986E-3</c:v>
                </c:pt>
                <c:pt idx="1233">
                  <c:v>9.1999999999999998E-3</c:v>
                </c:pt>
                <c:pt idx="1234">
                  <c:v>9.4999999999999998E-3</c:v>
                </c:pt>
                <c:pt idx="1235">
                  <c:v>9.1999999999999998E-3</c:v>
                </c:pt>
                <c:pt idx="1236">
                  <c:v>9.0000000000000011E-3</c:v>
                </c:pt>
                <c:pt idx="1237">
                  <c:v>9.0000000000000011E-3</c:v>
                </c:pt>
                <c:pt idx="1238">
                  <c:v>9.1999999999999998E-3</c:v>
                </c:pt>
                <c:pt idx="1239">
                  <c:v>9.1999999999999998E-3</c:v>
                </c:pt>
                <c:pt idx="1240">
                  <c:v>9.3999999999999986E-3</c:v>
                </c:pt>
                <c:pt idx="1241">
                  <c:v>9.4999999999999998E-3</c:v>
                </c:pt>
                <c:pt idx="1242">
                  <c:v>9.4999999999999998E-3</c:v>
                </c:pt>
                <c:pt idx="1243">
                  <c:v>9.300000000000001E-3</c:v>
                </c:pt>
                <c:pt idx="1244">
                  <c:v>9.5999999999999992E-3</c:v>
                </c:pt>
                <c:pt idx="1245">
                  <c:v>9.3999999999999986E-3</c:v>
                </c:pt>
                <c:pt idx="1246">
                  <c:v>9.3999999999999986E-3</c:v>
                </c:pt>
                <c:pt idx="1247">
                  <c:v>9.3999999999999986E-3</c:v>
                </c:pt>
                <c:pt idx="1248">
                  <c:v>9.300000000000001E-3</c:v>
                </c:pt>
                <c:pt idx="1249">
                  <c:v>9.300000000000001E-3</c:v>
                </c:pt>
                <c:pt idx="1250">
                  <c:v>9.300000000000001E-3</c:v>
                </c:pt>
                <c:pt idx="1251">
                  <c:v>9.5999999999999992E-3</c:v>
                </c:pt>
                <c:pt idx="1252">
                  <c:v>1.04E-2</c:v>
                </c:pt>
                <c:pt idx="1253">
                  <c:v>1.0800000000000001E-2</c:v>
                </c:pt>
                <c:pt idx="1254">
                  <c:v>1.1299999999999999E-2</c:v>
                </c:pt>
                <c:pt idx="1255">
                  <c:v>1.15E-2</c:v>
                </c:pt>
                <c:pt idx="1256">
                  <c:v>1.15E-2</c:v>
                </c:pt>
                <c:pt idx="1257">
                  <c:v>1.1000000000000001E-2</c:v>
                </c:pt>
                <c:pt idx="1258">
                  <c:v>1.15E-2</c:v>
                </c:pt>
                <c:pt idx="1259">
                  <c:v>1.11E-2</c:v>
                </c:pt>
                <c:pt idx="1260">
                  <c:v>1.1000000000000001E-2</c:v>
                </c:pt>
                <c:pt idx="1261">
                  <c:v>1.1000000000000001E-2</c:v>
                </c:pt>
                <c:pt idx="1262">
                  <c:v>1.1200000000000002E-2</c:v>
                </c:pt>
                <c:pt idx="1263">
                  <c:v>1.1000000000000001E-2</c:v>
                </c:pt>
                <c:pt idx="1264">
                  <c:v>1.0500000000000001E-2</c:v>
                </c:pt>
                <c:pt idx="1265">
                  <c:v>1.0500000000000001E-2</c:v>
                </c:pt>
                <c:pt idx="1266">
                  <c:v>1.04E-2</c:v>
                </c:pt>
                <c:pt idx="1267">
                  <c:v>1.0700000000000001E-2</c:v>
                </c:pt>
                <c:pt idx="1268">
                  <c:v>1.11E-2</c:v>
                </c:pt>
                <c:pt idx="1269">
                  <c:v>1.09E-2</c:v>
                </c:pt>
                <c:pt idx="1270">
                  <c:v>1.1200000000000002E-2</c:v>
                </c:pt>
                <c:pt idx="1271">
                  <c:v>1.15E-2</c:v>
                </c:pt>
                <c:pt idx="1272">
                  <c:v>1.15E-2</c:v>
                </c:pt>
                <c:pt idx="1273">
                  <c:v>1.1899999999999999E-2</c:v>
                </c:pt>
                <c:pt idx="1274">
                  <c:v>1.1899999999999999E-2</c:v>
                </c:pt>
                <c:pt idx="1275">
                  <c:v>1.18E-2</c:v>
                </c:pt>
                <c:pt idx="1276">
                  <c:v>1.15E-2</c:v>
                </c:pt>
                <c:pt idx="1277">
                  <c:v>1.1599999999999999E-2</c:v>
                </c:pt>
                <c:pt idx="1278">
                  <c:v>1.2E-2</c:v>
                </c:pt>
                <c:pt idx="1279">
                  <c:v>1.3000000000000001E-2</c:v>
                </c:pt>
                <c:pt idx="1280">
                  <c:v>1.29E-2</c:v>
                </c:pt>
                <c:pt idx="1281">
                  <c:v>1.29E-2</c:v>
                </c:pt>
                <c:pt idx="1282">
                  <c:v>1.34E-2</c:v>
                </c:pt>
                <c:pt idx="1283">
                  <c:v>1.37E-2</c:v>
                </c:pt>
                <c:pt idx="1284">
                  <c:v>1.37E-2</c:v>
                </c:pt>
                <c:pt idx="1285">
                  <c:v>1.38E-2</c:v>
                </c:pt>
                <c:pt idx="1286">
                  <c:v>1.54E-2</c:v>
                </c:pt>
                <c:pt idx="1287">
                  <c:v>1.44E-2</c:v>
                </c:pt>
                <c:pt idx="1288">
                  <c:v>1.4499999999999999E-2</c:v>
                </c:pt>
                <c:pt idx="1289">
                  <c:v>1.4199999999999999E-2</c:v>
                </c:pt>
                <c:pt idx="1290">
                  <c:v>1.47E-2</c:v>
                </c:pt>
                <c:pt idx="1291">
                  <c:v>1.54E-2</c:v>
                </c:pt>
                <c:pt idx="1292">
                  <c:v>1.5600000000000001E-2</c:v>
                </c:pt>
                <c:pt idx="1293">
                  <c:v>1.5900000000000001E-2</c:v>
                </c:pt>
                <c:pt idx="1294">
                  <c:v>1.55E-2</c:v>
                </c:pt>
                <c:pt idx="1295">
                  <c:v>1.5300000000000001E-2</c:v>
                </c:pt>
                <c:pt idx="1296">
                  <c:v>1.54E-2</c:v>
                </c:pt>
                <c:pt idx="1297">
                  <c:v>1.6399999999999998E-2</c:v>
                </c:pt>
                <c:pt idx="1298">
                  <c:v>1.6200000000000003E-2</c:v>
                </c:pt>
                <c:pt idx="1299">
                  <c:v>1.6200000000000003E-2</c:v>
                </c:pt>
                <c:pt idx="1300">
                  <c:v>1.6299999999999999E-2</c:v>
                </c:pt>
                <c:pt idx="1301">
                  <c:v>1.7100000000000001E-2</c:v>
                </c:pt>
                <c:pt idx="1302">
                  <c:v>1.7399999999999999E-2</c:v>
                </c:pt>
                <c:pt idx="1303">
                  <c:v>1.6899999999999998E-2</c:v>
                </c:pt>
                <c:pt idx="1304">
                  <c:v>1.6299999999999999E-2</c:v>
                </c:pt>
                <c:pt idx="1305">
                  <c:v>1.6200000000000003E-2</c:v>
                </c:pt>
                <c:pt idx="1306">
                  <c:v>1.6299999999999999E-2</c:v>
                </c:pt>
                <c:pt idx="1307">
                  <c:v>1.67E-2</c:v>
                </c:pt>
                <c:pt idx="1308">
                  <c:v>1.7299999999999999E-2</c:v>
                </c:pt>
                <c:pt idx="1309">
                  <c:v>1.7299999999999999E-2</c:v>
                </c:pt>
                <c:pt idx="1310">
                  <c:v>1.7399999999999999E-2</c:v>
                </c:pt>
                <c:pt idx="1311">
                  <c:v>1.6899999999999998E-2</c:v>
                </c:pt>
                <c:pt idx="1312">
                  <c:v>1.72E-2</c:v>
                </c:pt>
                <c:pt idx="1313">
                  <c:v>1.7299999999999999E-2</c:v>
                </c:pt>
                <c:pt idx="1314">
                  <c:v>1.67E-2</c:v>
                </c:pt>
                <c:pt idx="1315">
                  <c:v>1.6799999999999999E-2</c:v>
                </c:pt>
                <c:pt idx="1316">
                  <c:v>1.6399999999999998E-2</c:v>
                </c:pt>
                <c:pt idx="1317">
                  <c:v>1.67E-2</c:v>
                </c:pt>
                <c:pt idx="1318">
                  <c:v>1.6899999999999998E-2</c:v>
                </c:pt>
                <c:pt idx="1319">
                  <c:v>1.6399999999999998E-2</c:v>
                </c:pt>
                <c:pt idx="1320">
                  <c:v>1.6399999999999998E-2</c:v>
                </c:pt>
                <c:pt idx="1321">
                  <c:v>1.5600000000000001E-2</c:v>
                </c:pt>
                <c:pt idx="1322">
                  <c:v>1.5900000000000001E-2</c:v>
                </c:pt>
                <c:pt idx="1323">
                  <c:v>1.61E-2</c:v>
                </c:pt>
                <c:pt idx="1324">
                  <c:v>1.5800000000000002E-2</c:v>
                </c:pt>
                <c:pt idx="1325">
                  <c:v>1.5700000000000002E-2</c:v>
                </c:pt>
                <c:pt idx="1326">
                  <c:v>1.5700000000000002E-2</c:v>
                </c:pt>
                <c:pt idx="1327">
                  <c:v>1.5800000000000002E-2</c:v>
                </c:pt>
                <c:pt idx="1328">
                  <c:v>1.5800000000000002E-2</c:v>
                </c:pt>
                <c:pt idx="1329">
                  <c:v>1.6299999999999999E-2</c:v>
                </c:pt>
                <c:pt idx="1330">
                  <c:v>1.6299999999999999E-2</c:v>
                </c:pt>
                <c:pt idx="1331">
                  <c:v>1.6500000000000001E-2</c:v>
                </c:pt>
                <c:pt idx="1332">
                  <c:v>1.6500000000000001E-2</c:v>
                </c:pt>
                <c:pt idx="1333">
                  <c:v>1.6299999999999999E-2</c:v>
                </c:pt>
                <c:pt idx="1334">
                  <c:v>1.61E-2</c:v>
                </c:pt>
                <c:pt idx="1335">
                  <c:v>1.5900000000000001E-2</c:v>
                </c:pt>
                <c:pt idx="1336">
                  <c:v>1.5800000000000002E-2</c:v>
                </c:pt>
                <c:pt idx="1337">
                  <c:v>1.6E-2</c:v>
                </c:pt>
                <c:pt idx="1338">
                  <c:v>1.6299999999999999E-2</c:v>
                </c:pt>
                <c:pt idx="1339">
                  <c:v>1.6399999999999998E-2</c:v>
                </c:pt>
                <c:pt idx="1340">
                  <c:v>1.6899999999999998E-2</c:v>
                </c:pt>
                <c:pt idx="1341">
                  <c:v>1.66E-2</c:v>
                </c:pt>
                <c:pt idx="1342">
                  <c:v>1.6299999999999999E-2</c:v>
                </c:pt>
                <c:pt idx="1343">
                  <c:v>1.6399999999999998E-2</c:v>
                </c:pt>
                <c:pt idx="1344">
                  <c:v>1.6399999999999998E-2</c:v>
                </c:pt>
                <c:pt idx="1345">
                  <c:v>1.6799999999999999E-2</c:v>
                </c:pt>
                <c:pt idx="1346">
                  <c:v>1.6299999999999999E-2</c:v>
                </c:pt>
                <c:pt idx="1347">
                  <c:v>1.6299999999999999E-2</c:v>
                </c:pt>
                <c:pt idx="1348">
                  <c:v>1.61E-2</c:v>
                </c:pt>
                <c:pt idx="1349">
                  <c:v>1.5600000000000001E-2</c:v>
                </c:pt>
                <c:pt idx="1350">
                  <c:v>1.5800000000000002E-2</c:v>
                </c:pt>
                <c:pt idx="1351">
                  <c:v>1.61E-2</c:v>
                </c:pt>
                <c:pt idx="1352">
                  <c:v>1.5800000000000002E-2</c:v>
                </c:pt>
                <c:pt idx="1353">
                  <c:v>1.6200000000000003E-2</c:v>
                </c:pt>
                <c:pt idx="1354">
                  <c:v>1.5900000000000001E-2</c:v>
                </c:pt>
                <c:pt idx="1355">
                  <c:v>1.6299999999999999E-2</c:v>
                </c:pt>
                <c:pt idx="1356">
                  <c:v>1.5600000000000001E-2</c:v>
                </c:pt>
                <c:pt idx="1357">
                  <c:v>1.5700000000000002E-2</c:v>
                </c:pt>
                <c:pt idx="1358">
                  <c:v>1.5300000000000001E-2</c:v>
                </c:pt>
                <c:pt idx="1359">
                  <c:v>1.4999999999999999E-2</c:v>
                </c:pt>
                <c:pt idx="1360">
                  <c:v>1.4499999999999999E-2</c:v>
                </c:pt>
                <c:pt idx="1361">
                  <c:v>1.47E-2</c:v>
                </c:pt>
                <c:pt idx="1362">
                  <c:v>1.5100000000000001E-2</c:v>
                </c:pt>
                <c:pt idx="1363">
                  <c:v>1.5100000000000001E-2</c:v>
                </c:pt>
                <c:pt idx="1364">
                  <c:v>1.5700000000000002E-2</c:v>
                </c:pt>
                <c:pt idx="1365">
                  <c:v>1.52E-2</c:v>
                </c:pt>
                <c:pt idx="1366">
                  <c:v>1.4499999999999999E-2</c:v>
                </c:pt>
                <c:pt idx="1367">
                  <c:v>1.4999999999999999E-2</c:v>
                </c:pt>
                <c:pt idx="1368">
                  <c:v>1.4800000000000001E-2</c:v>
                </c:pt>
                <c:pt idx="1369">
                  <c:v>1.4999999999999999E-2</c:v>
                </c:pt>
                <c:pt idx="1370">
                  <c:v>1.49E-2</c:v>
                </c:pt>
                <c:pt idx="1371">
                  <c:v>1.54E-2</c:v>
                </c:pt>
                <c:pt idx="1372">
                  <c:v>1.49E-2</c:v>
                </c:pt>
                <c:pt idx="1373">
                  <c:v>1.49E-2</c:v>
                </c:pt>
                <c:pt idx="1374">
                  <c:v>1.4499999999999999E-2</c:v>
                </c:pt>
                <c:pt idx="1375">
                  <c:v>1.4800000000000001E-2</c:v>
                </c:pt>
                <c:pt idx="1376">
                  <c:v>1.44E-2</c:v>
                </c:pt>
                <c:pt idx="1377">
                  <c:v>1.37E-2</c:v>
                </c:pt>
                <c:pt idx="1378">
                  <c:v>1.3300000000000001E-2</c:v>
                </c:pt>
                <c:pt idx="1379">
                  <c:v>1.3000000000000001E-2</c:v>
                </c:pt>
                <c:pt idx="1380">
                  <c:v>1.37E-2</c:v>
                </c:pt>
                <c:pt idx="1381">
                  <c:v>1.38E-2</c:v>
                </c:pt>
                <c:pt idx="1382">
                  <c:v>1.4199999999999999E-2</c:v>
                </c:pt>
                <c:pt idx="1383">
                  <c:v>1.37E-2</c:v>
                </c:pt>
                <c:pt idx="1384">
                  <c:v>1.3100000000000001E-2</c:v>
                </c:pt>
                <c:pt idx="1385">
                  <c:v>1.3100000000000001E-2</c:v>
                </c:pt>
                <c:pt idx="1386">
                  <c:v>1.1899999999999999E-2</c:v>
                </c:pt>
                <c:pt idx="1387">
                  <c:v>1.23E-2</c:v>
                </c:pt>
                <c:pt idx="1388">
                  <c:v>1.3000000000000001E-2</c:v>
                </c:pt>
                <c:pt idx="1389">
                  <c:v>1.2699999999999999E-2</c:v>
                </c:pt>
                <c:pt idx="1390">
                  <c:v>1.3000000000000001E-2</c:v>
                </c:pt>
                <c:pt idx="1391">
                  <c:v>1.29E-2</c:v>
                </c:pt>
                <c:pt idx="1392">
                  <c:v>1.2500000000000001E-2</c:v>
                </c:pt>
                <c:pt idx="1393">
                  <c:v>1.26E-2</c:v>
                </c:pt>
                <c:pt idx="1394">
                  <c:v>1.2800000000000001E-2</c:v>
                </c:pt>
                <c:pt idx="1395">
                  <c:v>1.24E-2</c:v>
                </c:pt>
                <c:pt idx="1396">
                  <c:v>1.2E-2</c:v>
                </c:pt>
                <c:pt idx="1397">
                  <c:v>1.1899999999999999E-2</c:v>
                </c:pt>
                <c:pt idx="1398">
                  <c:v>1.1899999999999999E-2</c:v>
                </c:pt>
                <c:pt idx="1399">
                  <c:v>1.23E-2</c:v>
                </c:pt>
                <c:pt idx="1400">
                  <c:v>1.3100000000000001E-2</c:v>
                </c:pt>
                <c:pt idx="1401">
                  <c:v>1.3300000000000001E-2</c:v>
                </c:pt>
                <c:pt idx="1402">
                  <c:v>1.3600000000000001E-2</c:v>
                </c:pt>
                <c:pt idx="1403">
                  <c:v>1.3500000000000002E-2</c:v>
                </c:pt>
                <c:pt idx="1404">
                  <c:v>1.3600000000000001E-2</c:v>
                </c:pt>
                <c:pt idx="1405">
                  <c:v>1.29E-2</c:v>
                </c:pt>
                <c:pt idx="1406">
                  <c:v>1.26E-2</c:v>
                </c:pt>
                <c:pt idx="1407">
                  <c:v>1.26E-2</c:v>
                </c:pt>
                <c:pt idx="1408">
                  <c:v>1.2699999999999999E-2</c:v>
                </c:pt>
                <c:pt idx="1409">
                  <c:v>1.24E-2</c:v>
                </c:pt>
                <c:pt idx="1410">
                  <c:v>1.26E-2</c:v>
                </c:pt>
                <c:pt idx="1411">
                  <c:v>1.2500000000000001E-2</c:v>
                </c:pt>
                <c:pt idx="1412">
                  <c:v>1.29E-2</c:v>
                </c:pt>
                <c:pt idx="1413">
                  <c:v>1.3500000000000002E-2</c:v>
                </c:pt>
                <c:pt idx="1414">
                  <c:v>1.34E-2</c:v>
                </c:pt>
                <c:pt idx="1415">
                  <c:v>1.3100000000000001E-2</c:v>
                </c:pt>
                <c:pt idx="1416">
                  <c:v>1.29E-2</c:v>
                </c:pt>
                <c:pt idx="1417">
                  <c:v>1.3000000000000001E-2</c:v>
                </c:pt>
                <c:pt idx="1418">
                  <c:v>1.3100000000000001E-2</c:v>
                </c:pt>
                <c:pt idx="1419">
                  <c:v>1.29E-2</c:v>
                </c:pt>
                <c:pt idx="1420">
                  <c:v>1.3300000000000001E-2</c:v>
                </c:pt>
                <c:pt idx="1421">
                  <c:v>1.38E-2</c:v>
                </c:pt>
                <c:pt idx="1422">
                  <c:v>1.3500000000000002E-2</c:v>
                </c:pt>
                <c:pt idx="1423">
                  <c:v>1.3000000000000001E-2</c:v>
                </c:pt>
                <c:pt idx="1424">
                  <c:v>1.3500000000000002E-2</c:v>
                </c:pt>
                <c:pt idx="1425">
                  <c:v>1.3300000000000001E-2</c:v>
                </c:pt>
                <c:pt idx="1426">
                  <c:v>1.2800000000000001E-2</c:v>
                </c:pt>
                <c:pt idx="1427">
                  <c:v>1.3100000000000001E-2</c:v>
                </c:pt>
                <c:pt idx="1428">
                  <c:v>1.34E-2</c:v>
                </c:pt>
                <c:pt idx="1429">
                  <c:v>1.37E-2</c:v>
                </c:pt>
                <c:pt idx="1430">
                  <c:v>1.3100000000000001E-2</c:v>
                </c:pt>
                <c:pt idx="1431">
                  <c:v>1.3300000000000001E-2</c:v>
                </c:pt>
                <c:pt idx="1432">
                  <c:v>1.32E-2</c:v>
                </c:pt>
                <c:pt idx="1433">
                  <c:v>1.41E-2</c:v>
                </c:pt>
                <c:pt idx="1434">
                  <c:v>1.47E-2</c:v>
                </c:pt>
                <c:pt idx="1435">
                  <c:v>1.4800000000000001E-2</c:v>
                </c:pt>
                <c:pt idx="1436">
                  <c:v>1.54E-2</c:v>
                </c:pt>
                <c:pt idx="1437">
                  <c:v>1.55E-2</c:v>
                </c:pt>
                <c:pt idx="1438">
                  <c:v>1.52E-2</c:v>
                </c:pt>
                <c:pt idx="1439">
                  <c:v>1.4800000000000001E-2</c:v>
                </c:pt>
                <c:pt idx="1440">
                  <c:v>1.49E-2</c:v>
                </c:pt>
                <c:pt idx="1441">
                  <c:v>1.54E-2</c:v>
                </c:pt>
                <c:pt idx="1442">
                  <c:v>1.5300000000000001E-2</c:v>
                </c:pt>
                <c:pt idx="1443">
                  <c:v>1.5800000000000002E-2</c:v>
                </c:pt>
                <c:pt idx="1444">
                  <c:v>1.61E-2</c:v>
                </c:pt>
                <c:pt idx="1445">
                  <c:v>1.5900000000000001E-2</c:v>
                </c:pt>
                <c:pt idx="1446">
                  <c:v>1.5600000000000001E-2</c:v>
                </c:pt>
                <c:pt idx="1447">
                  <c:v>1.52E-2</c:v>
                </c:pt>
                <c:pt idx="1448">
                  <c:v>1.5900000000000001E-2</c:v>
                </c:pt>
                <c:pt idx="1449">
                  <c:v>1.5900000000000001E-2</c:v>
                </c:pt>
                <c:pt idx="1450">
                  <c:v>1.6500000000000001E-2</c:v>
                </c:pt>
                <c:pt idx="1451">
                  <c:v>1.6500000000000001E-2</c:v>
                </c:pt>
                <c:pt idx="1452">
                  <c:v>1.6799999999999999E-2</c:v>
                </c:pt>
                <c:pt idx="1453">
                  <c:v>1.66E-2</c:v>
                </c:pt>
                <c:pt idx="1454">
                  <c:v>1.6399999999999998E-2</c:v>
                </c:pt>
                <c:pt idx="1455">
                  <c:v>1.6299999999999999E-2</c:v>
                </c:pt>
                <c:pt idx="1456">
                  <c:v>1.54E-2</c:v>
                </c:pt>
                <c:pt idx="1457">
                  <c:v>1.5700000000000002E-2</c:v>
                </c:pt>
                <c:pt idx="1458">
                  <c:v>1.55E-2</c:v>
                </c:pt>
                <c:pt idx="1459">
                  <c:v>1.5800000000000002E-2</c:v>
                </c:pt>
                <c:pt idx="1460">
                  <c:v>1.5600000000000001E-2</c:v>
                </c:pt>
                <c:pt idx="1461">
                  <c:v>1.6E-2</c:v>
                </c:pt>
                <c:pt idx="1462">
                  <c:v>1.5300000000000001E-2</c:v>
                </c:pt>
                <c:pt idx="1463">
                  <c:v>1.4499999999999999E-2</c:v>
                </c:pt>
                <c:pt idx="1464">
                  <c:v>1.5100000000000001E-2</c:v>
                </c:pt>
                <c:pt idx="1465">
                  <c:v>1.46E-2</c:v>
                </c:pt>
                <c:pt idx="1466">
                  <c:v>1.5600000000000001E-2</c:v>
                </c:pt>
                <c:pt idx="1467">
                  <c:v>1.5800000000000002E-2</c:v>
                </c:pt>
                <c:pt idx="1468">
                  <c:v>1.6299999999999999E-2</c:v>
                </c:pt>
                <c:pt idx="1469">
                  <c:v>1.6299999999999999E-2</c:v>
                </c:pt>
                <c:pt idx="1470">
                  <c:v>1.6E-2</c:v>
                </c:pt>
                <c:pt idx="1471">
                  <c:v>1.5900000000000001E-2</c:v>
                </c:pt>
                <c:pt idx="1472">
                  <c:v>1.54E-2</c:v>
                </c:pt>
                <c:pt idx="1473">
                  <c:v>1.6299999999999999E-2</c:v>
                </c:pt>
                <c:pt idx="1474">
                  <c:v>1.67E-2</c:v>
                </c:pt>
                <c:pt idx="1475">
                  <c:v>1.6399999999999998E-2</c:v>
                </c:pt>
                <c:pt idx="1476">
                  <c:v>1.4800000000000001E-2</c:v>
                </c:pt>
                <c:pt idx="1477">
                  <c:v>1.52E-2</c:v>
                </c:pt>
                <c:pt idx="1478">
                  <c:v>1.43E-2</c:v>
                </c:pt>
                <c:pt idx="1479">
                  <c:v>1.43E-2</c:v>
                </c:pt>
                <c:pt idx="1480">
                  <c:v>1.44E-2</c:v>
                </c:pt>
                <c:pt idx="1481">
                  <c:v>1.3500000000000002E-2</c:v>
                </c:pt>
                <c:pt idx="1482">
                  <c:v>1.43E-2</c:v>
                </c:pt>
                <c:pt idx="1483">
                  <c:v>1.4800000000000001E-2</c:v>
                </c:pt>
                <c:pt idx="1484">
                  <c:v>1.52E-2</c:v>
                </c:pt>
                <c:pt idx="1485">
                  <c:v>1.49E-2</c:v>
                </c:pt>
                <c:pt idx="1486">
                  <c:v>1.4800000000000001E-2</c:v>
                </c:pt>
                <c:pt idx="1487">
                  <c:v>1.4199999999999999E-2</c:v>
                </c:pt>
                <c:pt idx="1488">
                  <c:v>1.44E-2</c:v>
                </c:pt>
                <c:pt idx="1489">
                  <c:v>1.47E-2</c:v>
                </c:pt>
                <c:pt idx="1490">
                  <c:v>1.44E-2</c:v>
                </c:pt>
                <c:pt idx="1491">
                  <c:v>1.41E-2</c:v>
                </c:pt>
                <c:pt idx="1492">
                  <c:v>1.43E-2</c:v>
                </c:pt>
                <c:pt idx="1493">
                  <c:v>1.4800000000000001E-2</c:v>
                </c:pt>
                <c:pt idx="1494">
                  <c:v>1.46E-2</c:v>
                </c:pt>
                <c:pt idx="1495">
                  <c:v>1.4999999999999999E-2</c:v>
                </c:pt>
                <c:pt idx="1496">
                  <c:v>1.4800000000000001E-2</c:v>
                </c:pt>
                <c:pt idx="1497">
                  <c:v>1.49E-2</c:v>
                </c:pt>
                <c:pt idx="1498">
                  <c:v>1.55E-2</c:v>
                </c:pt>
                <c:pt idx="1499">
                  <c:v>1.52E-2</c:v>
                </c:pt>
                <c:pt idx="1500">
                  <c:v>1.52E-2</c:v>
                </c:pt>
                <c:pt idx="1501">
                  <c:v>1.6299999999999999E-2</c:v>
                </c:pt>
                <c:pt idx="1502">
                  <c:v>1.66E-2</c:v>
                </c:pt>
                <c:pt idx="1503">
                  <c:v>1.7100000000000001E-2</c:v>
                </c:pt>
                <c:pt idx="1504">
                  <c:v>1.7299999999999999E-2</c:v>
                </c:pt>
                <c:pt idx="1505">
                  <c:v>1.7600000000000001E-2</c:v>
                </c:pt>
                <c:pt idx="1506">
                  <c:v>1.78E-2</c:v>
                </c:pt>
                <c:pt idx="1507">
                  <c:v>1.7500000000000002E-2</c:v>
                </c:pt>
                <c:pt idx="1508">
                  <c:v>1.7399999999999999E-2</c:v>
                </c:pt>
                <c:pt idx="1509">
                  <c:v>1.7000000000000001E-2</c:v>
                </c:pt>
                <c:pt idx="1510">
                  <c:v>1.78E-2</c:v>
                </c:pt>
                <c:pt idx="1511">
                  <c:v>1.8700000000000001E-2</c:v>
                </c:pt>
                <c:pt idx="1512">
                  <c:v>1.83E-2</c:v>
                </c:pt>
                <c:pt idx="1513">
                  <c:v>1.83E-2</c:v>
                </c:pt>
                <c:pt idx="1514">
                  <c:v>1.7500000000000002E-2</c:v>
                </c:pt>
                <c:pt idx="1515">
                  <c:v>1.7500000000000002E-2</c:v>
                </c:pt>
                <c:pt idx="1516">
                  <c:v>1.78E-2</c:v>
                </c:pt>
                <c:pt idx="1517">
                  <c:v>1.8500000000000003E-2</c:v>
                </c:pt>
                <c:pt idx="1518">
                  <c:v>1.8100000000000002E-2</c:v>
                </c:pt>
                <c:pt idx="1519">
                  <c:v>1.78E-2</c:v>
                </c:pt>
                <c:pt idx="1520">
                  <c:v>1.7899999999999999E-2</c:v>
                </c:pt>
                <c:pt idx="1521">
                  <c:v>1.8100000000000002E-2</c:v>
                </c:pt>
                <c:pt idx="1522">
                  <c:v>1.78E-2</c:v>
                </c:pt>
                <c:pt idx="1523">
                  <c:v>1.8200000000000001E-2</c:v>
                </c:pt>
                <c:pt idx="1524">
                  <c:v>1.9299999999999998E-2</c:v>
                </c:pt>
                <c:pt idx="1525">
                  <c:v>1.9199999999999998E-2</c:v>
                </c:pt>
                <c:pt idx="1526">
                  <c:v>1.9599999999999999E-2</c:v>
                </c:pt>
                <c:pt idx="1527">
                  <c:v>1.9400000000000001E-2</c:v>
                </c:pt>
                <c:pt idx="1528">
                  <c:v>2.0299999999999999E-2</c:v>
                </c:pt>
                <c:pt idx="1529">
                  <c:v>1.9199999999999998E-2</c:v>
                </c:pt>
                <c:pt idx="1530">
                  <c:v>1.9799999999999998E-2</c:v>
                </c:pt>
                <c:pt idx="1531">
                  <c:v>2.0499999999999997E-2</c:v>
                </c:pt>
                <c:pt idx="1532">
                  <c:v>2.0299999999999999E-2</c:v>
                </c:pt>
                <c:pt idx="1533">
                  <c:v>1.9699999999999999E-2</c:v>
                </c:pt>
                <c:pt idx="1534">
                  <c:v>1.9199999999999998E-2</c:v>
                </c:pt>
                <c:pt idx="1535">
                  <c:v>1.9400000000000001E-2</c:v>
                </c:pt>
                <c:pt idx="1536">
                  <c:v>1.9900000000000001E-2</c:v>
                </c:pt>
                <c:pt idx="1537">
                  <c:v>1.9599999999999999E-2</c:v>
                </c:pt>
                <c:pt idx="1538">
                  <c:v>1.9699999999999999E-2</c:v>
                </c:pt>
                <c:pt idx="1539">
                  <c:v>1.83E-2</c:v>
                </c:pt>
                <c:pt idx="1540">
                  <c:v>1.72E-2</c:v>
                </c:pt>
                <c:pt idx="1541">
                  <c:v>1.8600000000000002E-2</c:v>
                </c:pt>
                <c:pt idx="1542">
                  <c:v>1.8600000000000002E-2</c:v>
                </c:pt>
                <c:pt idx="1543">
                  <c:v>1.7399999999999999E-2</c:v>
                </c:pt>
                <c:pt idx="1544">
                  <c:v>1.78E-2</c:v>
                </c:pt>
                <c:pt idx="1545">
                  <c:v>1.8600000000000002E-2</c:v>
                </c:pt>
                <c:pt idx="1546">
                  <c:v>1.9400000000000001E-2</c:v>
                </c:pt>
                <c:pt idx="1547">
                  <c:v>1.9799999999999998E-2</c:v>
                </c:pt>
                <c:pt idx="1548">
                  <c:v>0.02</c:v>
                </c:pt>
                <c:pt idx="1549">
                  <c:v>2.1400000000000002E-2</c:v>
                </c:pt>
                <c:pt idx="1550">
                  <c:v>2.1499999999999998E-2</c:v>
                </c:pt>
                <c:pt idx="1551">
                  <c:v>2.1899999999999999E-2</c:v>
                </c:pt>
                <c:pt idx="1552">
                  <c:v>2.2000000000000002E-2</c:v>
                </c:pt>
                <c:pt idx="1553">
                  <c:v>2.1400000000000002E-2</c:v>
                </c:pt>
                <c:pt idx="1554">
                  <c:v>2.3199999999999998E-2</c:v>
                </c:pt>
                <c:pt idx="1555">
                  <c:v>2.3799999999999998E-2</c:v>
                </c:pt>
                <c:pt idx="1556">
                  <c:v>2.3199999999999998E-2</c:v>
                </c:pt>
                <c:pt idx="1557">
                  <c:v>2.3399999999999997E-2</c:v>
                </c:pt>
                <c:pt idx="1558">
                  <c:v>2.4799999999999999E-2</c:v>
                </c:pt>
                <c:pt idx="1559">
                  <c:v>2.46E-2</c:v>
                </c:pt>
                <c:pt idx="1560">
                  <c:v>2.41E-2</c:v>
                </c:pt>
                <c:pt idx="1561">
                  <c:v>2.35E-2</c:v>
                </c:pt>
                <c:pt idx="1562">
                  <c:v>2.3199999999999998E-2</c:v>
                </c:pt>
                <c:pt idx="1563">
                  <c:v>2.3900000000000001E-2</c:v>
                </c:pt>
                <c:pt idx="1564">
                  <c:v>2.4199999999999999E-2</c:v>
                </c:pt>
                <c:pt idx="1565">
                  <c:v>2.5399999999999999E-2</c:v>
                </c:pt>
                <c:pt idx="1566">
                  <c:v>2.6099999999999998E-2</c:v>
                </c:pt>
                <c:pt idx="1567">
                  <c:v>2.6600000000000002E-2</c:v>
                </c:pt>
                <c:pt idx="1568">
                  <c:v>2.7200000000000002E-2</c:v>
                </c:pt>
                <c:pt idx="1569">
                  <c:v>2.7900000000000001E-2</c:v>
                </c:pt>
                <c:pt idx="1570">
                  <c:v>2.7200000000000002E-2</c:v>
                </c:pt>
                <c:pt idx="1571">
                  <c:v>2.7000000000000003E-2</c:v>
                </c:pt>
                <c:pt idx="1572">
                  <c:v>2.8300000000000002E-2</c:v>
                </c:pt>
                <c:pt idx="1573">
                  <c:v>2.8500000000000001E-2</c:v>
                </c:pt>
                <c:pt idx="1574">
                  <c:v>2.9300000000000003E-2</c:v>
                </c:pt>
                <c:pt idx="1575">
                  <c:v>2.8500000000000001E-2</c:v>
                </c:pt>
                <c:pt idx="1576">
                  <c:v>2.8999999999999998E-2</c:v>
                </c:pt>
                <c:pt idx="1577">
                  <c:v>2.8999999999999998E-2</c:v>
                </c:pt>
                <c:pt idx="1578">
                  <c:v>2.81E-2</c:v>
                </c:pt>
                <c:pt idx="1579">
                  <c:v>2.7699999999999999E-2</c:v>
                </c:pt>
                <c:pt idx="1580">
                  <c:v>2.8199999999999999E-2</c:v>
                </c:pt>
                <c:pt idx="1581">
                  <c:v>2.8500000000000001E-2</c:v>
                </c:pt>
                <c:pt idx="1582">
                  <c:v>2.8900000000000002E-2</c:v>
                </c:pt>
                <c:pt idx="1583">
                  <c:v>2.9900000000000003E-2</c:v>
                </c:pt>
                <c:pt idx="1584">
                  <c:v>2.9700000000000001E-2</c:v>
                </c:pt>
                <c:pt idx="1585">
                  <c:v>2.9300000000000003E-2</c:v>
                </c:pt>
                <c:pt idx="1586">
                  <c:v>3.0499999999999999E-2</c:v>
                </c:pt>
                <c:pt idx="1587">
                  <c:v>3.1200000000000002E-2</c:v>
                </c:pt>
                <c:pt idx="1588">
                  <c:v>3.0499999999999999E-2</c:v>
                </c:pt>
                <c:pt idx="1589">
                  <c:v>2.9900000000000003E-2</c:v>
                </c:pt>
                <c:pt idx="1590">
                  <c:v>2.9100000000000001E-2</c:v>
                </c:pt>
                <c:pt idx="1591">
                  <c:v>2.8399999999999998E-2</c:v>
                </c:pt>
                <c:pt idx="1592">
                  <c:v>2.9300000000000003E-2</c:v>
                </c:pt>
                <c:pt idx="1593">
                  <c:v>2.8799999999999999E-2</c:v>
                </c:pt>
                <c:pt idx="1594">
                  <c:v>2.98E-2</c:v>
                </c:pt>
                <c:pt idx="1595">
                  <c:v>2.8799999999999999E-2</c:v>
                </c:pt>
                <c:pt idx="1596">
                  <c:v>2.8399999999999998E-2</c:v>
                </c:pt>
                <c:pt idx="1597">
                  <c:v>2.7799999999999998E-2</c:v>
                </c:pt>
                <c:pt idx="1598">
                  <c:v>2.86E-2</c:v>
                </c:pt>
                <c:pt idx="1599">
                  <c:v>2.76E-2</c:v>
                </c:pt>
                <c:pt idx="1600">
                  <c:v>2.75E-2</c:v>
                </c:pt>
                <c:pt idx="1601">
                  <c:v>2.75E-2</c:v>
                </c:pt>
                <c:pt idx="1602">
                  <c:v>2.7400000000000001E-2</c:v>
                </c:pt>
                <c:pt idx="1603">
                  <c:v>2.8500000000000001E-2</c:v>
                </c:pt>
                <c:pt idx="1604">
                  <c:v>2.9399999999999999E-2</c:v>
                </c:pt>
                <c:pt idx="1605">
                  <c:v>2.92E-2</c:v>
                </c:pt>
                <c:pt idx="1606">
                  <c:v>2.9600000000000001E-2</c:v>
                </c:pt>
                <c:pt idx="1607">
                  <c:v>3.04E-2</c:v>
                </c:pt>
                <c:pt idx="1608">
                  <c:v>2.98E-2</c:v>
                </c:pt>
                <c:pt idx="1609">
                  <c:v>3.0299999999999997E-2</c:v>
                </c:pt>
                <c:pt idx="1610">
                  <c:v>3.04E-2</c:v>
                </c:pt>
                <c:pt idx="1611">
                  <c:v>3.15E-2</c:v>
                </c:pt>
                <c:pt idx="1612">
                  <c:v>3.4300000000000004E-2</c:v>
                </c:pt>
                <c:pt idx="1613">
                  <c:v>3.49E-2</c:v>
                </c:pt>
                <c:pt idx="1614">
                  <c:v>3.3300000000000003E-2</c:v>
                </c:pt>
                <c:pt idx="1615">
                  <c:v>3.2799999999999996E-2</c:v>
                </c:pt>
                <c:pt idx="1616">
                  <c:v>3.2500000000000001E-2</c:v>
                </c:pt>
                <c:pt idx="1617">
                  <c:v>3.3099999999999997E-2</c:v>
                </c:pt>
                <c:pt idx="1618">
                  <c:v>3.1600000000000003E-2</c:v>
                </c:pt>
                <c:pt idx="1619">
                  <c:v>3.0899999999999997E-2</c:v>
                </c:pt>
                <c:pt idx="1620">
                  <c:v>3.1300000000000001E-2</c:v>
                </c:pt>
                <c:pt idx="1621">
                  <c:v>3.2000000000000001E-2</c:v>
                </c:pt>
                <c:pt idx="1622">
                  <c:v>3.2000000000000001E-2</c:v>
                </c:pt>
                <c:pt idx="1623">
                  <c:v>3.1E-2</c:v>
                </c:pt>
                <c:pt idx="1624">
                  <c:v>2.98E-2</c:v>
                </c:pt>
                <c:pt idx="1625">
                  <c:v>2.8799999999999999E-2</c:v>
                </c:pt>
                <c:pt idx="1626">
                  <c:v>2.8199999999999999E-2</c:v>
                </c:pt>
                <c:pt idx="1627">
                  <c:v>2.9300000000000003E-2</c:v>
                </c:pt>
                <c:pt idx="1628">
                  <c:v>3.0099999999999998E-2</c:v>
                </c:pt>
                <c:pt idx="1629">
                  <c:v>3.0899999999999997E-2</c:v>
                </c:pt>
                <c:pt idx="1630">
                  <c:v>2.9900000000000003E-2</c:v>
                </c:pt>
                <c:pt idx="1631">
                  <c:v>2.9600000000000001E-2</c:v>
                </c:pt>
                <c:pt idx="1632">
                  <c:v>2.9100000000000001E-2</c:v>
                </c:pt>
                <c:pt idx="1633">
                  <c:v>2.9600000000000001E-2</c:v>
                </c:pt>
                <c:pt idx="1634">
                  <c:v>2.9300000000000003E-2</c:v>
                </c:pt>
                <c:pt idx="1635">
                  <c:v>2.9600000000000001E-2</c:v>
                </c:pt>
                <c:pt idx="1636">
                  <c:v>3.0099999999999998E-2</c:v>
                </c:pt>
                <c:pt idx="1637">
                  <c:v>3.04E-2</c:v>
                </c:pt>
                <c:pt idx="1638">
                  <c:v>2.9100000000000001E-2</c:v>
                </c:pt>
                <c:pt idx="1639">
                  <c:v>2.7699999999999999E-2</c:v>
                </c:pt>
                <c:pt idx="1640">
                  <c:v>2.81E-2</c:v>
                </c:pt>
                <c:pt idx="1641">
                  <c:v>2.81E-2</c:v>
                </c:pt>
                <c:pt idx="1642">
                  <c:v>2.7799999999999998E-2</c:v>
                </c:pt>
                <c:pt idx="1643">
                  <c:v>2.6800000000000001E-2</c:v>
                </c:pt>
                <c:pt idx="1644">
                  <c:v>2.6699999999999998E-2</c:v>
                </c:pt>
                <c:pt idx="1645">
                  <c:v>2.6000000000000002E-2</c:v>
                </c:pt>
                <c:pt idx="1646">
                  <c:v>2.75E-2</c:v>
                </c:pt>
                <c:pt idx="1647">
                  <c:v>2.7300000000000001E-2</c:v>
                </c:pt>
                <c:pt idx="1648">
                  <c:v>2.6800000000000001E-2</c:v>
                </c:pt>
                <c:pt idx="1649">
                  <c:v>2.8300000000000002E-2</c:v>
                </c:pt>
                <c:pt idx="1650">
                  <c:v>2.7699999999999999E-2</c:v>
                </c:pt>
                <c:pt idx="1651">
                  <c:v>2.7999999999999997E-2</c:v>
                </c:pt>
                <c:pt idx="1652">
                  <c:v>2.7799999999999998E-2</c:v>
                </c:pt>
                <c:pt idx="1653">
                  <c:v>2.87E-2</c:v>
                </c:pt>
                <c:pt idx="1654">
                  <c:v>2.8399999999999998E-2</c:v>
                </c:pt>
                <c:pt idx="1655">
                  <c:v>2.7900000000000001E-2</c:v>
                </c:pt>
                <c:pt idx="1656">
                  <c:v>2.8199999999999999E-2</c:v>
                </c:pt>
                <c:pt idx="1657">
                  <c:v>2.8900000000000002E-2</c:v>
                </c:pt>
                <c:pt idx="1658">
                  <c:v>2.8799999999999999E-2</c:v>
                </c:pt>
                <c:pt idx="1659">
                  <c:v>2.98E-2</c:v>
                </c:pt>
                <c:pt idx="1660">
                  <c:v>3.0299999999999997E-2</c:v>
                </c:pt>
                <c:pt idx="1661">
                  <c:v>3.0499999999999999E-2</c:v>
                </c:pt>
                <c:pt idx="1662">
                  <c:v>3.1099999999999999E-2</c:v>
                </c:pt>
                <c:pt idx="1663">
                  <c:v>3.0299999999999997E-2</c:v>
                </c:pt>
                <c:pt idx="1664">
                  <c:v>3.04E-2</c:v>
                </c:pt>
                <c:pt idx="1665">
                  <c:v>3.1200000000000002E-2</c:v>
                </c:pt>
                <c:pt idx="1666">
                  <c:v>3.1099999999999999E-2</c:v>
                </c:pt>
                <c:pt idx="1667">
                  <c:v>3.15E-2</c:v>
                </c:pt>
                <c:pt idx="1668">
                  <c:v>3.2599999999999997E-2</c:v>
                </c:pt>
                <c:pt idx="1669">
                  <c:v>3.2000000000000001E-2</c:v>
                </c:pt>
                <c:pt idx="1670">
                  <c:v>3.3300000000000003E-2</c:v>
                </c:pt>
                <c:pt idx="1671">
                  <c:v>3.27E-2</c:v>
                </c:pt>
                <c:pt idx="1672">
                  <c:v>3.2899999999999999E-2</c:v>
                </c:pt>
                <c:pt idx="1673">
                  <c:v>3.3300000000000003E-2</c:v>
                </c:pt>
                <c:pt idx="1674">
                  <c:v>3.3700000000000001E-2</c:v>
                </c:pt>
                <c:pt idx="1675">
                  <c:v>3.4200000000000001E-2</c:v>
                </c:pt>
                <c:pt idx="1676">
                  <c:v>3.4099999999999998E-2</c:v>
                </c:pt>
                <c:pt idx="1677">
                  <c:v>3.4500000000000003E-2</c:v>
                </c:pt>
                <c:pt idx="1678">
                  <c:v>3.4500000000000003E-2</c:v>
                </c:pt>
                <c:pt idx="1679">
                  <c:v>3.49E-2</c:v>
                </c:pt>
                <c:pt idx="1680">
                  <c:v>3.5699999999999996E-2</c:v>
                </c:pt>
                <c:pt idx="1681">
                  <c:v>3.5099999999999999E-2</c:v>
                </c:pt>
                <c:pt idx="1682">
                  <c:v>3.7000000000000005E-2</c:v>
                </c:pt>
                <c:pt idx="1683">
                  <c:v>3.6900000000000002E-2</c:v>
                </c:pt>
                <c:pt idx="1684">
                  <c:v>3.8800000000000001E-2</c:v>
                </c:pt>
                <c:pt idx="1685">
                  <c:v>3.9699999999999999E-2</c:v>
                </c:pt>
                <c:pt idx="1686">
                  <c:v>3.7200000000000004E-2</c:v>
                </c:pt>
                <c:pt idx="1687">
                  <c:v>3.7599999999999995E-2</c:v>
                </c:pt>
                <c:pt idx="1688">
                  <c:v>3.8300000000000001E-2</c:v>
                </c:pt>
                <c:pt idx="1689">
                  <c:v>3.6699999999999997E-2</c:v>
                </c:pt>
                <c:pt idx="1690">
                  <c:v>3.6200000000000003E-2</c:v>
                </c:pt>
                <c:pt idx="1691">
                  <c:v>3.7599999999999995E-2</c:v>
                </c:pt>
                <c:pt idx="1692">
                  <c:v>3.8300000000000001E-2</c:v>
                </c:pt>
                <c:pt idx="1693">
                  <c:v>3.8900000000000004E-2</c:v>
                </c:pt>
                <c:pt idx="1694">
                  <c:v>3.9300000000000002E-2</c:v>
                </c:pt>
                <c:pt idx="1695">
                  <c:v>3.9100000000000003E-2</c:v>
                </c:pt>
                <c:pt idx="1696">
                  <c:v>3.9699999999999999E-2</c:v>
                </c:pt>
                <c:pt idx="1697">
                  <c:v>0.04</c:v>
                </c:pt>
                <c:pt idx="1698">
                  <c:v>4.0199999999999993E-2</c:v>
                </c:pt>
                <c:pt idx="1699">
                  <c:v>4.0099999999999997E-2</c:v>
                </c:pt>
                <c:pt idx="1700">
                  <c:v>4.1399999999999999E-2</c:v>
                </c:pt>
                <c:pt idx="1701">
                  <c:v>4.24E-2</c:v>
                </c:pt>
                <c:pt idx="1702">
                  <c:v>4.2099999999999999E-2</c:v>
                </c:pt>
                <c:pt idx="1703">
                  <c:v>4.2500000000000003E-2</c:v>
                </c:pt>
                <c:pt idx="1704">
                  <c:v>4.0999999999999995E-2</c:v>
                </c:pt>
                <c:pt idx="1705">
                  <c:v>4.0399999999999998E-2</c:v>
                </c:pt>
                <c:pt idx="1706">
                  <c:v>3.9599999999999996E-2</c:v>
                </c:pt>
                <c:pt idx="1707">
                  <c:v>4.0199999999999993E-2</c:v>
                </c:pt>
                <c:pt idx="1708">
                  <c:v>4.0999999999999995E-2</c:v>
                </c:pt>
                <c:pt idx="1709">
                  <c:v>4.07E-2</c:v>
                </c:pt>
                <c:pt idx="1710">
                  <c:v>4.0999999999999995E-2</c:v>
                </c:pt>
                <c:pt idx="1711">
                  <c:v>4.1399999999999999E-2</c:v>
                </c:pt>
                <c:pt idx="1712">
                  <c:v>4.1700000000000001E-2</c:v>
                </c:pt>
                <c:pt idx="1713">
                  <c:v>4.2199999999999994E-2</c:v>
                </c:pt>
                <c:pt idx="1714">
                  <c:v>4.1399999999999999E-2</c:v>
                </c:pt>
                <c:pt idx="1715">
                  <c:v>4.1200000000000001E-2</c:v>
                </c:pt>
                <c:pt idx="1716">
                  <c:v>3.8199999999999998E-2</c:v>
                </c:pt>
                <c:pt idx="1717">
                  <c:v>3.8800000000000001E-2</c:v>
                </c:pt>
                <c:pt idx="1718">
                  <c:v>3.7999999999999999E-2</c:v>
                </c:pt>
                <c:pt idx="1719">
                  <c:v>3.6699999999999997E-2</c:v>
                </c:pt>
                <c:pt idx="1720">
                  <c:v>3.7699999999999997E-2</c:v>
                </c:pt>
                <c:pt idx="1721">
                  <c:v>3.8199999999999998E-2</c:v>
                </c:pt>
                <c:pt idx="1722">
                  <c:v>3.8300000000000001E-2</c:v>
                </c:pt>
                <c:pt idx="1723">
                  <c:v>3.7599999999999995E-2</c:v>
                </c:pt>
                <c:pt idx="1724">
                  <c:v>3.7100000000000001E-2</c:v>
                </c:pt>
                <c:pt idx="1725">
                  <c:v>3.6799999999999999E-2</c:v>
                </c:pt>
                <c:pt idx="1726">
                  <c:v>3.6900000000000002E-2</c:v>
                </c:pt>
                <c:pt idx="1727">
                  <c:v>3.7499999999999999E-2</c:v>
                </c:pt>
                <c:pt idx="1728">
                  <c:v>3.6799999999999999E-2</c:v>
                </c:pt>
                <c:pt idx="1729">
                  <c:v>3.5299999999999998E-2</c:v>
                </c:pt>
                <c:pt idx="1730">
                  <c:v>3.5099999999999999E-2</c:v>
                </c:pt>
                <c:pt idx="1731">
                  <c:v>3.6000000000000004E-2</c:v>
                </c:pt>
                <c:pt idx="1732">
                  <c:v>3.5099999999999999E-2</c:v>
                </c:pt>
                <c:pt idx="1733">
                  <c:v>3.4200000000000001E-2</c:v>
                </c:pt>
                <c:pt idx="1734">
                  <c:v>3.4799999999999998E-2</c:v>
                </c:pt>
                <c:pt idx="1735">
                  <c:v>3.5699999999999996E-2</c:v>
                </c:pt>
                <c:pt idx="1736">
                  <c:v>3.61E-2</c:v>
                </c:pt>
                <c:pt idx="1737">
                  <c:v>3.5099999999999999E-2</c:v>
                </c:pt>
                <c:pt idx="1738">
                  <c:v>3.49E-2</c:v>
                </c:pt>
                <c:pt idx="1739">
                  <c:v>3.44E-2</c:v>
                </c:pt>
                <c:pt idx="1740">
                  <c:v>3.4799999999999998E-2</c:v>
                </c:pt>
                <c:pt idx="1741">
                  <c:v>3.5699999999999996E-2</c:v>
                </c:pt>
                <c:pt idx="1742">
                  <c:v>3.6900000000000002E-2</c:v>
                </c:pt>
                <c:pt idx="1743">
                  <c:v>3.6799999999999999E-2</c:v>
                </c:pt>
                <c:pt idx="1744">
                  <c:v>3.6699999999999997E-2</c:v>
                </c:pt>
                <c:pt idx="1745">
                  <c:v>3.7499999999999999E-2</c:v>
                </c:pt>
                <c:pt idx="1746">
                  <c:v>3.8399999999999997E-2</c:v>
                </c:pt>
                <c:pt idx="1747">
                  <c:v>3.8800000000000001E-2</c:v>
                </c:pt>
                <c:pt idx="1748">
                  <c:v>3.8300000000000001E-2</c:v>
                </c:pt>
                <c:pt idx="1749">
                  <c:v>3.8800000000000001E-2</c:v>
                </c:pt>
                <c:pt idx="1750">
                  <c:v>3.7900000000000003E-2</c:v>
                </c:pt>
                <c:pt idx="1751">
                  <c:v>3.6900000000000002E-2</c:v>
                </c:pt>
                <c:pt idx="1752">
                  <c:v>3.7100000000000001E-2</c:v>
                </c:pt>
                <c:pt idx="1753">
                  <c:v>3.5499999999999997E-2</c:v>
                </c:pt>
                <c:pt idx="1754">
                  <c:v>3.5299999999999998E-2</c:v>
                </c:pt>
                <c:pt idx="1755">
                  <c:v>3.61E-2</c:v>
                </c:pt>
                <c:pt idx="1756">
                  <c:v>3.5400000000000001E-2</c:v>
                </c:pt>
                <c:pt idx="1757">
                  <c:v>3.4300000000000004E-2</c:v>
                </c:pt>
                <c:pt idx="1758">
                  <c:v>3.49E-2</c:v>
                </c:pt>
                <c:pt idx="1759">
                  <c:v>3.5299999999999998E-2</c:v>
                </c:pt>
                <c:pt idx="1760">
                  <c:v>3.3700000000000001E-2</c:v>
                </c:pt>
                <c:pt idx="1761">
                  <c:v>3.39E-2</c:v>
                </c:pt>
                <c:pt idx="1762">
                  <c:v>3.4799999999999998E-2</c:v>
                </c:pt>
                <c:pt idx="1763">
                  <c:v>3.5200000000000002E-2</c:v>
                </c:pt>
                <c:pt idx="1764">
                  <c:v>3.4599999999999999E-2</c:v>
                </c:pt>
                <c:pt idx="1765">
                  <c:v>3.4599999999999999E-2</c:v>
                </c:pt>
                <c:pt idx="1766">
                  <c:v>3.49E-2</c:v>
                </c:pt>
                <c:pt idx="1767">
                  <c:v>3.5200000000000002E-2</c:v>
                </c:pt>
                <c:pt idx="1768">
                  <c:v>3.5499999999999997E-2</c:v>
                </c:pt>
                <c:pt idx="1769">
                  <c:v>3.5200000000000002E-2</c:v>
                </c:pt>
                <c:pt idx="1770">
                  <c:v>3.39E-2</c:v>
                </c:pt>
                <c:pt idx="1771">
                  <c:v>3.4000000000000002E-2</c:v>
                </c:pt>
                <c:pt idx="1772">
                  <c:v>3.5299999999999998E-2</c:v>
                </c:pt>
                <c:pt idx="1773">
                  <c:v>3.6299999999999999E-2</c:v>
                </c:pt>
                <c:pt idx="1774">
                  <c:v>3.6699999999999997E-2</c:v>
                </c:pt>
                <c:pt idx="1775">
                  <c:v>3.6299999999999999E-2</c:v>
                </c:pt>
                <c:pt idx="1776">
                  <c:v>3.6699999999999997E-2</c:v>
                </c:pt>
                <c:pt idx="1777">
                  <c:v>3.7400000000000003E-2</c:v>
                </c:pt>
                <c:pt idx="1778">
                  <c:v>3.7200000000000004E-2</c:v>
                </c:pt>
                <c:pt idx="1779">
                  <c:v>3.7699999999999997E-2</c:v>
                </c:pt>
                <c:pt idx="1780">
                  <c:v>3.8100000000000002E-2</c:v>
                </c:pt>
                <c:pt idx="1781">
                  <c:v>3.8599999999999995E-2</c:v>
                </c:pt>
                <c:pt idx="1782">
                  <c:v>3.8199999999999998E-2</c:v>
                </c:pt>
                <c:pt idx="1783">
                  <c:v>3.95E-2</c:v>
                </c:pt>
                <c:pt idx="1784">
                  <c:v>3.9300000000000002E-2</c:v>
                </c:pt>
                <c:pt idx="1785">
                  <c:v>3.8800000000000001E-2</c:v>
                </c:pt>
                <c:pt idx="1786">
                  <c:v>3.95E-2</c:v>
                </c:pt>
                <c:pt idx="1787">
                  <c:v>3.9199999999999999E-2</c:v>
                </c:pt>
                <c:pt idx="1788">
                  <c:v>3.9199999999999999E-2</c:v>
                </c:pt>
                <c:pt idx="1789">
                  <c:v>4.0099999999999997E-2</c:v>
                </c:pt>
                <c:pt idx="1790">
                  <c:v>4.0800000000000003E-2</c:v>
                </c:pt>
                <c:pt idx="1791">
                  <c:v>3.9699999999999999E-2</c:v>
                </c:pt>
                <c:pt idx="1792">
                  <c:v>3.9800000000000002E-2</c:v>
                </c:pt>
                <c:pt idx="1793">
                  <c:v>3.9699999999999999E-2</c:v>
                </c:pt>
                <c:pt idx="1794">
                  <c:v>3.9800000000000002E-2</c:v>
                </c:pt>
                <c:pt idx="1795">
                  <c:v>3.9300000000000002E-2</c:v>
                </c:pt>
                <c:pt idx="1796">
                  <c:v>3.7000000000000005E-2</c:v>
                </c:pt>
                <c:pt idx="1797">
                  <c:v>3.5499999999999997E-2</c:v>
                </c:pt>
                <c:pt idx="1798">
                  <c:v>3.6400000000000002E-2</c:v>
                </c:pt>
                <c:pt idx="1799">
                  <c:v>3.5099999999999999E-2</c:v>
                </c:pt>
                <c:pt idx="1800">
                  <c:v>3.56E-2</c:v>
                </c:pt>
                <c:pt idx="1801">
                  <c:v>3.39E-2</c:v>
                </c:pt>
                <c:pt idx="1802">
                  <c:v>3.4700000000000002E-2</c:v>
                </c:pt>
                <c:pt idx="1803">
                  <c:v>3.5900000000000001E-2</c:v>
                </c:pt>
                <c:pt idx="1804">
                  <c:v>3.4799999999999998E-2</c:v>
                </c:pt>
                <c:pt idx="1805">
                  <c:v>3.3799999999999997E-2</c:v>
                </c:pt>
                <c:pt idx="1806">
                  <c:v>3.3799999999999997E-2</c:v>
                </c:pt>
                <c:pt idx="1807">
                  <c:v>3.5299999999999998E-2</c:v>
                </c:pt>
                <c:pt idx="1808">
                  <c:v>3.5499999999999997E-2</c:v>
                </c:pt>
                <c:pt idx="1809">
                  <c:v>3.5699999999999996E-2</c:v>
                </c:pt>
                <c:pt idx="1810">
                  <c:v>3.5499999999999997E-2</c:v>
                </c:pt>
                <c:pt idx="1811">
                  <c:v>3.4799999999999998E-2</c:v>
                </c:pt>
                <c:pt idx="1812">
                  <c:v>3.4300000000000004E-2</c:v>
                </c:pt>
                <c:pt idx="1813">
                  <c:v>3.3500000000000002E-2</c:v>
                </c:pt>
                <c:pt idx="1814">
                  <c:v>3.3000000000000002E-2</c:v>
                </c:pt>
                <c:pt idx="1815">
                  <c:v>3.3000000000000002E-2</c:v>
                </c:pt>
                <c:pt idx="1816">
                  <c:v>3.39E-2</c:v>
                </c:pt>
                <c:pt idx="1817">
                  <c:v>3.4099999999999998E-2</c:v>
                </c:pt>
                <c:pt idx="1818">
                  <c:v>3.4300000000000004E-2</c:v>
                </c:pt>
                <c:pt idx="1819">
                  <c:v>3.4099999999999998E-2</c:v>
                </c:pt>
                <c:pt idx="1820">
                  <c:v>3.4500000000000003E-2</c:v>
                </c:pt>
                <c:pt idx="1821">
                  <c:v>3.5200000000000002E-2</c:v>
                </c:pt>
                <c:pt idx="1822">
                  <c:v>3.6000000000000004E-2</c:v>
                </c:pt>
                <c:pt idx="1823">
                  <c:v>3.5799999999999998E-2</c:v>
                </c:pt>
                <c:pt idx="1824">
                  <c:v>3.6000000000000004E-2</c:v>
                </c:pt>
                <c:pt idx="1825">
                  <c:v>3.5400000000000001E-2</c:v>
                </c:pt>
                <c:pt idx="1826">
                  <c:v>3.5699999999999996E-2</c:v>
                </c:pt>
                <c:pt idx="1827">
                  <c:v>3.5200000000000002E-2</c:v>
                </c:pt>
                <c:pt idx="1828">
                  <c:v>3.4000000000000002E-2</c:v>
                </c:pt>
                <c:pt idx="1829">
                  <c:v>3.4300000000000004E-2</c:v>
                </c:pt>
                <c:pt idx="1830">
                  <c:v>3.5299999999999998E-2</c:v>
                </c:pt>
                <c:pt idx="1831">
                  <c:v>3.44E-2</c:v>
                </c:pt>
                <c:pt idx="1832">
                  <c:v>3.5900000000000001E-2</c:v>
                </c:pt>
                <c:pt idx="1833">
                  <c:v>3.44E-2</c:v>
                </c:pt>
                <c:pt idx="1834">
                  <c:v>3.3799999999999997E-2</c:v>
                </c:pt>
                <c:pt idx="1835">
                  <c:v>3.3700000000000001E-2</c:v>
                </c:pt>
                <c:pt idx="1836">
                  <c:v>3.44E-2</c:v>
                </c:pt>
                <c:pt idx="1837">
                  <c:v>3.5200000000000002E-2</c:v>
                </c:pt>
                <c:pt idx="1838">
                  <c:v>3.5299999999999998E-2</c:v>
                </c:pt>
                <c:pt idx="1839">
                  <c:v>3.4300000000000004E-2</c:v>
                </c:pt>
                <c:pt idx="1840">
                  <c:v>3.39E-2</c:v>
                </c:pt>
                <c:pt idx="1841">
                  <c:v>3.4599999999999999E-2</c:v>
                </c:pt>
                <c:pt idx="1842">
                  <c:v>3.5000000000000003E-2</c:v>
                </c:pt>
                <c:pt idx="1843">
                  <c:v>3.5400000000000001E-2</c:v>
                </c:pt>
                <c:pt idx="1844">
                  <c:v>3.5699999999999996E-2</c:v>
                </c:pt>
                <c:pt idx="1845">
                  <c:v>3.6499999999999998E-2</c:v>
                </c:pt>
                <c:pt idx="1846">
                  <c:v>3.7000000000000005E-2</c:v>
                </c:pt>
                <c:pt idx="1847">
                  <c:v>3.7200000000000004E-2</c:v>
                </c:pt>
                <c:pt idx="1848">
                  <c:v>3.7000000000000005E-2</c:v>
                </c:pt>
                <c:pt idx="1849">
                  <c:v>3.73E-2</c:v>
                </c:pt>
                <c:pt idx="1850">
                  <c:v>3.8300000000000001E-2</c:v>
                </c:pt>
                <c:pt idx="1851">
                  <c:v>3.7999999999999999E-2</c:v>
                </c:pt>
                <c:pt idx="1852">
                  <c:v>3.6900000000000002E-2</c:v>
                </c:pt>
                <c:pt idx="1853">
                  <c:v>3.6400000000000002E-2</c:v>
                </c:pt>
                <c:pt idx="1854">
                  <c:v>3.61E-2</c:v>
                </c:pt>
                <c:pt idx="1855">
                  <c:v>3.6900000000000002E-2</c:v>
                </c:pt>
                <c:pt idx="1856">
                  <c:v>3.6900000000000002E-2</c:v>
                </c:pt>
                <c:pt idx="1857">
                  <c:v>3.7000000000000005E-2</c:v>
                </c:pt>
                <c:pt idx="1858">
                  <c:v>3.7900000000000003E-2</c:v>
                </c:pt>
                <c:pt idx="1859">
                  <c:v>3.73E-2</c:v>
                </c:pt>
                <c:pt idx="1860">
                  <c:v>3.7499999999999999E-2</c:v>
                </c:pt>
                <c:pt idx="1861">
                  <c:v>3.73E-2</c:v>
                </c:pt>
                <c:pt idx="1862">
                  <c:v>3.8399999999999997E-2</c:v>
                </c:pt>
                <c:pt idx="1863">
                  <c:v>3.8300000000000001E-2</c:v>
                </c:pt>
                <c:pt idx="1864">
                  <c:v>3.7200000000000004E-2</c:v>
                </c:pt>
                <c:pt idx="1865">
                  <c:v>3.7699999999999997E-2</c:v>
                </c:pt>
                <c:pt idx="1866">
                  <c:v>3.7400000000000003E-2</c:v>
                </c:pt>
                <c:pt idx="1867">
                  <c:v>3.7200000000000004E-2</c:v>
                </c:pt>
                <c:pt idx="1868">
                  <c:v>3.7999999999999999E-2</c:v>
                </c:pt>
                <c:pt idx="1869">
                  <c:v>3.7400000000000003E-2</c:v>
                </c:pt>
                <c:pt idx="1870">
                  <c:v>3.7200000000000004E-2</c:v>
                </c:pt>
                <c:pt idx="1871">
                  <c:v>3.7699999999999997E-2</c:v>
                </c:pt>
                <c:pt idx="1872">
                  <c:v>3.7100000000000001E-2</c:v>
                </c:pt>
                <c:pt idx="1873">
                  <c:v>3.85E-2</c:v>
                </c:pt>
                <c:pt idx="1874">
                  <c:v>3.8100000000000002E-2</c:v>
                </c:pt>
                <c:pt idx="1875">
                  <c:v>3.8599999999999995E-2</c:v>
                </c:pt>
                <c:pt idx="1876">
                  <c:v>3.95E-2</c:v>
                </c:pt>
                <c:pt idx="1877">
                  <c:v>4.0500000000000001E-2</c:v>
                </c:pt>
                <c:pt idx="1878">
                  <c:v>4.0599999999999997E-2</c:v>
                </c:pt>
                <c:pt idx="1879">
                  <c:v>4.0099999999999997E-2</c:v>
                </c:pt>
                <c:pt idx="1880">
                  <c:v>3.9900000000000005E-2</c:v>
                </c:pt>
                <c:pt idx="1881">
                  <c:v>3.8599999999999995E-2</c:v>
                </c:pt>
                <c:pt idx="1882">
                  <c:v>3.7599999999999995E-2</c:v>
                </c:pt>
                <c:pt idx="1883">
                  <c:v>3.8300000000000001E-2</c:v>
                </c:pt>
                <c:pt idx="1884">
                  <c:v>3.8100000000000002E-2</c:v>
                </c:pt>
                <c:pt idx="1885">
                  <c:v>3.7999999999999999E-2</c:v>
                </c:pt>
                <c:pt idx="1886">
                  <c:v>3.7499999999999999E-2</c:v>
                </c:pt>
                <c:pt idx="1887">
                  <c:v>3.85E-2</c:v>
                </c:pt>
                <c:pt idx="1888">
                  <c:v>3.8399999999999997E-2</c:v>
                </c:pt>
                <c:pt idx="1889">
                  <c:v>3.8599999999999995E-2</c:v>
                </c:pt>
                <c:pt idx="1890">
                  <c:v>3.9100000000000003E-2</c:v>
                </c:pt>
                <c:pt idx="1891">
                  <c:v>3.8599999999999995E-2</c:v>
                </c:pt>
                <c:pt idx="1892">
                  <c:v>4.0099999999999997E-2</c:v>
                </c:pt>
                <c:pt idx="1893">
                  <c:v>3.9599999999999996E-2</c:v>
                </c:pt>
                <c:pt idx="1894">
                  <c:v>3.9699999999999999E-2</c:v>
                </c:pt>
                <c:pt idx="1895">
                  <c:v>4.0500000000000001E-2</c:v>
                </c:pt>
                <c:pt idx="1896">
                  <c:v>4.0800000000000003E-2</c:v>
                </c:pt>
                <c:pt idx="1897">
                  <c:v>4.2000000000000003E-2</c:v>
                </c:pt>
                <c:pt idx="1898">
                  <c:v>4.0500000000000001E-2</c:v>
                </c:pt>
                <c:pt idx="1899">
                  <c:v>4.0899999999999999E-2</c:v>
                </c:pt>
                <c:pt idx="1900">
                  <c:v>4.0199999999999993E-2</c:v>
                </c:pt>
                <c:pt idx="1901">
                  <c:v>0.04</c:v>
                </c:pt>
                <c:pt idx="1902">
                  <c:v>4.0899999999999999E-2</c:v>
                </c:pt>
                <c:pt idx="1903">
                  <c:v>4.1599999999999998E-2</c:v>
                </c:pt>
                <c:pt idx="1904">
                  <c:v>4.1900000000000007E-2</c:v>
                </c:pt>
                <c:pt idx="1905">
                  <c:v>4.2099999999999999E-2</c:v>
                </c:pt>
                <c:pt idx="1906">
                  <c:v>4.2800000000000005E-2</c:v>
                </c:pt>
                <c:pt idx="1907">
                  <c:v>4.2999999999999997E-2</c:v>
                </c:pt>
                <c:pt idx="1908">
                  <c:v>4.2599999999999999E-2</c:v>
                </c:pt>
                <c:pt idx="1909">
                  <c:v>4.3400000000000001E-2</c:v>
                </c:pt>
                <c:pt idx="1910">
                  <c:v>4.3400000000000001E-2</c:v>
                </c:pt>
                <c:pt idx="1911">
                  <c:v>4.1900000000000007E-2</c:v>
                </c:pt>
                <c:pt idx="1912">
                  <c:v>4.2300000000000004E-2</c:v>
                </c:pt>
                <c:pt idx="1913">
                  <c:v>4.2500000000000003E-2</c:v>
                </c:pt>
                <c:pt idx="1914">
                  <c:v>4.2000000000000003E-2</c:v>
                </c:pt>
                <c:pt idx="1915">
                  <c:v>4.1200000000000001E-2</c:v>
                </c:pt>
                <c:pt idx="1916">
                  <c:v>4.1200000000000001E-2</c:v>
                </c:pt>
                <c:pt idx="1917">
                  <c:v>4.0899999999999999E-2</c:v>
                </c:pt>
                <c:pt idx="1918">
                  <c:v>4.1799999999999997E-2</c:v>
                </c:pt>
                <c:pt idx="1919">
                  <c:v>4.2699999999999995E-2</c:v>
                </c:pt>
                <c:pt idx="1920">
                  <c:v>4.2999999999999997E-2</c:v>
                </c:pt>
                <c:pt idx="1921">
                  <c:v>4.2699999999999995E-2</c:v>
                </c:pt>
                <c:pt idx="1922">
                  <c:v>4.2599999999999999E-2</c:v>
                </c:pt>
                <c:pt idx="1923">
                  <c:v>4.2900000000000001E-2</c:v>
                </c:pt>
                <c:pt idx="1924">
                  <c:v>4.2699999999999995E-2</c:v>
                </c:pt>
                <c:pt idx="1925">
                  <c:v>4.2500000000000003E-2</c:v>
                </c:pt>
                <c:pt idx="1926">
                  <c:v>4.2900000000000001E-2</c:v>
                </c:pt>
                <c:pt idx="1927">
                  <c:v>4.3299999999999998E-2</c:v>
                </c:pt>
                <c:pt idx="1928">
                  <c:v>4.3200000000000002E-2</c:v>
                </c:pt>
                <c:pt idx="1929">
                  <c:v>4.3700000000000003E-2</c:v>
                </c:pt>
                <c:pt idx="1930">
                  <c:v>4.3499999999999997E-2</c:v>
                </c:pt>
                <c:pt idx="1931">
                  <c:v>4.4900000000000002E-2</c:v>
                </c:pt>
                <c:pt idx="1932">
                  <c:v>4.4400000000000002E-2</c:v>
                </c:pt>
                <c:pt idx="1933">
                  <c:v>4.5499999999999999E-2</c:v>
                </c:pt>
                <c:pt idx="1934">
                  <c:v>4.5599999999999995E-2</c:v>
                </c:pt>
                <c:pt idx="1935">
                  <c:v>4.6100000000000002E-2</c:v>
                </c:pt>
                <c:pt idx="1936">
                  <c:v>4.5899999999999996E-2</c:v>
                </c:pt>
                <c:pt idx="1937">
                  <c:v>4.5899999999999996E-2</c:v>
                </c:pt>
                <c:pt idx="1938">
                  <c:v>4.6900000000000004E-2</c:v>
                </c:pt>
                <c:pt idx="1939">
                  <c:v>4.8099999999999997E-2</c:v>
                </c:pt>
                <c:pt idx="1940">
                  <c:v>4.7300000000000002E-2</c:v>
                </c:pt>
                <c:pt idx="1941">
                  <c:v>4.7199999999999999E-2</c:v>
                </c:pt>
                <c:pt idx="1942">
                  <c:v>4.7800000000000002E-2</c:v>
                </c:pt>
                <c:pt idx="1943">
                  <c:v>4.6600000000000003E-2</c:v>
                </c:pt>
                <c:pt idx="1944">
                  <c:v>4.58E-2</c:v>
                </c:pt>
                <c:pt idx="1945">
                  <c:v>4.7E-2</c:v>
                </c:pt>
                <c:pt idx="1946">
                  <c:v>4.6300000000000001E-2</c:v>
                </c:pt>
                <c:pt idx="1947">
                  <c:v>4.7100000000000003E-2</c:v>
                </c:pt>
                <c:pt idx="1948">
                  <c:v>4.8300000000000003E-2</c:v>
                </c:pt>
                <c:pt idx="1949">
                  <c:v>4.9100000000000005E-2</c:v>
                </c:pt>
                <c:pt idx="1950">
                  <c:v>4.9800000000000004E-2</c:v>
                </c:pt>
                <c:pt idx="1951">
                  <c:v>4.9299999999999997E-2</c:v>
                </c:pt>
                <c:pt idx="1952">
                  <c:v>4.8600000000000004E-2</c:v>
                </c:pt>
                <c:pt idx="1953">
                  <c:v>4.8300000000000003E-2</c:v>
                </c:pt>
                <c:pt idx="1954">
                  <c:v>4.9500000000000002E-2</c:v>
                </c:pt>
                <c:pt idx="1955">
                  <c:v>4.8600000000000004E-2</c:v>
                </c:pt>
                <c:pt idx="1956">
                  <c:v>4.8399999999999999E-2</c:v>
                </c:pt>
                <c:pt idx="1957">
                  <c:v>4.8799999999999996E-2</c:v>
                </c:pt>
                <c:pt idx="1958">
                  <c:v>4.8799999999999996E-2</c:v>
                </c:pt>
                <c:pt idx="1959">
                  <c:v>4.7699999999999992E-2</c:v>
                </c:pt>
                <c:pt idx="1960">
                  <c:v>4.6699999999999998E-2</c:v>
                </c:pt>
                <c:pt idx="1961">
                  <c:v>4.5700000000000005E-2</c:v>
                </c:pt>
                <c:pt idx="1962">
                  <c:v>4.6699999999999998E-2</c:v>
                </c:pt>
                <c:pt idx="1963">
                  <c:v>4.58E-2</c:v>
                </c:pt>
                <c:pt idx="1964">
                  <c:v>4.4900000000000002E-2</c:v>
                </c:pt>
                <c:pt idx="1965">
                  <c:v>4.6199999999999998E-2</c:v>
                </c:pt>
                <c:pt idx="1966">
                  <c:v>4.6100000000000002E-2</c:v>
                </c:pt>
                <c:pt idx="1967">
                  <c:v>4.6300000000000001E-2</c:v>
                </c:pt>
                <c:pt idx="1968">
                  <c:v>4.4400000000000002E-2</c:v>
                </c:pt>
                <c:pt idx="1969">
                  <c:v>4.53E-2</c:v>
                </c:pt>
                <c:pt idx="1970">
                  <c:v>4.4500000000000005E-2</c:v>
                </c:pt>
                <c:pt idx="1971">
                  <c:v>4.4400000000000002E-2</c:v>
                </c:pt>
                <c:pt idx="1972">
                  <c:v>4.4199999999999996E-2</c:v>
                </c:pt>
                <c:pt idx="1973">
                  <c:v>4.41E-2</c:v>
                </c:pt>
                <c:pt idx="1974">
                  <c:v>4.4199999999999996E-2</c:v>
                </c:pt>
                <c:pt idx="1975">
                  <c:v>4.4699999999999997E-2</c:v>
                </c:pt>
                <c:pt idx="1976">
                  <c:v>4.3899999999999995E-2</c:v>
                </c:pt>
                <c:pt idx="1977">
                  <c:v>4.3400000000000001E-2</c:v>
                </c:pt>
                <c:pt idx="1978">
                  <c:v>4.2699999999999995E-2</c:v>
                </c:pt>
                <c:pt idx="1979">
                  <c:v>4.3700000000000003E-2</c:v>
                </c:pt>
                <c:pt idx="1980">
                  <c:v>4.2199999999999994E-2</c:v>
                </c:pt>
                <c:pt idx="1981">
                  <c:v>4.2800000000000005E-2</c:v>
                </c:pt>
                <c:pt idx="1982">
                  <c:v>4.1799999999999997E-2</c:v>
                </c:pt>
                <c:pt idx="1983">
                  <c:v>4.1200000000000001E-2</c:v>
                </c:pt>
                <c:pt idx="1984">
                  <c:v>4.1399999999999999E-2</c:v>
                </c:pt>
                <c:pt idx="1985">
                  <c:v>4.2300000000000004E-2</c:v>
                </c:pt>
                <c:pt idx="1986">
                  <c:v>4.2300000000000004E-2</c:v>
                </c:pt>
                <c:pt idx="1987">
                  <c:v>4.2000000000000003E-2</c:v>
                </c:pt>
                <c:pt idx="1988">
                  <c:v>4.0399999999999998E-2</c:v>
                </c:pt>
                <c:pt idx="1989">
                  <c:v>3.9199999999999999E-2</c:v>
                </c:pt>
                <c:pt idx="1990">
                  <c:v>3.9100000000000003E-2</c:v>
                </c:pt>
                <c:pt idx="1991">
                  <c:v>3.95E-2</c:v>
                </c:pt>
                <c:pt idx="1992">
                  <c:v>3.9300000000000002E-2</c:v>
                </c:pt>
                <c:pt idx="1993">
                  <c:v>3.8599999999999995E-2</c:v>
                </c:pt>
                <c:pt idx="1994">
                  <c:v>3.8900000000000004E-2</c:v>
                </c:pt>
                <c:pt idx="1995">
                  <c:v>3.9E-2</c:v>
                </c:pt>
                <c:pt idx="1996">
                  <c:v>3.8900000000000004E-2</c:v>
                </c:pt>
                <c:pt idx="1997">
                  <c:v>3.7900000000000003E-2</c:v>
                </c:pt>
                <c:pt idx="1998">
                  <c:v>3.8399999999999997E-2</c:v>
                </c:pt>
                <c:pt idx="1999">
                  <c:v>3.8800000000000001E-2</c:v>
                </c:pt>
                <c:pt idx="2000">
                  <c:v>3.95E-2</c:v>
                </c:pt>
                <c:pt idx="2001">
                  <c:v>3.9100000000000003E-2</c:v>
                </c:pt>
                <c:pt idx="2002">
                  <c:v>3.9900000000000005E-2</c:v>
                </c:pt>
                <c:pt idx="2003">
                  <c:v>4.0500000000000001E-2</c:v>
                </c:pt>
                <c:pt idx="2004">
                  <c:v>4.0099999999999997E-2</c:v>
                </c:pt>
                <c:pt idx="2005">
                  <c:v>4.0199999999999993E-2</c:v>
                </c:pt>
                <c:pt idx="2006">
                  <c:v>4.0399999999999998E-2</c:v>
                </c:pt>
                <c:pt idx="2007">
                  <c:v>3.9800000000000002E-2</c:v>
                </c:pt>
                <c:pt idx="2008">
                  <c:v>3.9599999999999996E-2</c:v>
                </c:pt>
                <c:pt idx="2009">
                  <c:v>4.07E-2</c:v>
                </c:pt>
                <c:pt idx="2010">
                  <c:v>4.0999999999999995E-2</c:v>
                </c:pt>
                <c:pt idx="2011">
                  <c:v>4.1399999999999999E-2</c:v>
                </c:pt>
                <c:pt idx="2012">
                  <c:v>4.1500000000000002E-2</c:v>
                </c:pt>
                <c:pt idx="2013">
                  <c:v>4.1100000000000005E-2</c:v>
                </c:pt>
                <c:pt idx="2014">
                  <c:v>4.1399999999999999E-2</c:v>
                </c:pt>
                <c:pt idx="2015">
                  <c:v>4.1799999999999997E-2</c:v>
                </c:pt>
                <c:pt idx="2016">
                  <c:v>4.1399999999999999E-2</c:v>
                </c:pt>
                <c:pt idx="2017">
                  <c:v>4.1500000000000002E-2</c:v>
                </c:pt>
                <c:pt idx="2018">
                  <c:v>4.0800000000000003E-2</c:v>
                </c:pt>
                <c:pt idx="2019">
                  <c:v>4.0599999999999997E-2</c:v>
                </c:pt>
                <c:pt idx="2020">
                  <c:v>3.9900000000000005E-2</c:v>
                </c:pt>
                <c:pt idx="2021">
                  <c:v>3.8699999999999998E-2</c:v>
                </c:pt>
                <c:pt idx="2022">
                  <c:v>4.0300000000000002E-2</c:v>
                </c:pt>
                <c:pt idx="2023">
                  <c:v>4.1700000000000001E-2</c:v>
                </c:pt>
                <c:pt idx="2024">
                  <c:v>4.0899999999999999E-2</c:v>
                </c:pt>
                <c:pt idx="2025">
                  <c:v>4.0899999999999999E-2</c:v>
                </c:pt>
                <c:pt idx="2026">
                  <c:v>4.1500000000000002E-2</c:v>
                </c:pt>
                <c:pt idx="2027">
                  <c:v>4.1700000000000001E-2</c:v>
                </c:pt>
                <c:pt idx="2028">
                  <c:v>4.1700000000000001E-2</c:v>
                </c:pt>
                <c:pt idx="2029">
                  <c:v>4.3099999999999999E-2</c:v>
                </c:pt>
                <c:pt idx="2030">
                  <c:v>4.2699999999999995E-2</c:v>
                </c:pt>
                <c:pt idx="2031">
                  <c:v>4.24E-2</c:v>
                </c:pt>
                <c:pt idx="2032">
                  <c:v>4.2999999999999997E-2</c:v>
                </c:pt>
                <c:pt idx="2033">
                  <c:v>4.2699999999999995E-2</c:v>
                </c:pt>
                <c:pt idx="2034">
                  <c:v>4.3200000000000002E-2</c:v>
                </c:pt>
                <c:pt idx="2035">
                  <c:v>4.3299999999999998E-2</c:v>
                </c:pt>
                <c:pt idx="2036">
                  <c:v>4.2599999999999999E-2</c:v>
                </c:pt>
                <c:pt idx="2037">
                  <c:v>4.2800000000000005E-2</c:v>
                </c:pt>
                <c:pt idx="2038">
                  <c:v>4.3099999999999999E-2</c:v>
                </c:pt>
                <c:pt idx="2039">
                  <c:v>4.2699999999999995E-2</c:v>
                </c:pt>
                <c:pt idx="2040">
                  <c:v>4.2500000000000003E-2</c:v>
                </c:pt>
                <c:pt idx="2041">
                  <c:v>4.1900000000000007E-2</c:v>
                </c:pt>
                <c:pt idx="2042">
                  <c:v>4.2199999999999994E-2</c:v>
                </c:pt>
                <c:pt idx="2043">
                  <c:v>4.1299999999999996E-2</c:v>
                </c:pt>
                <c:pt idx="2044">
                  <c:v>4.1100000000000005E-2</c:v>
                </c:pt>
                <c:pt idx="2045">
                  <c:v>4.0899999999999999E-2</c:v>
                </c:pt>
                <c:pt idx="2046">
                  <c:v>4.0899999999999999E-2</c:v>
                </c:pt>
                <c:pt idx="2047">
                  <c:v>4.0999999999999995E-2</c:v>
                </c:pt>
                <c:pt idx="2048">
                  <c:v>4.1599999999999998E-2</c:v>
                </c:pt>
                <c:pt idx="2049">
                  <c:v>4.1900000000000007E-2</c:v>
                </c:pt>
                <c:pt idx="2050">
                  <c:v>4.2900000000000001E-2</c:v>
                </c:pt>
                <c:pt idx="2051">
                  <c:v>4.3099999999999999E-2</c:v>
                </c:pt>
                <c:pt idx="2052">
                  <c:v>4.3400000000000001E-2</c:v>
                </c:pt>
                <c:pt idx="2053">
                  <c:v>4.2999999999999997E-2</c:v>
                </c:pt>
                <c:pt idx="2054">
                  <c:v>4.2699999999999995E-2</c:v>
                </c:pt>
                <c:pt idx="2055">
                  <c:v>4.2699999999999995E-2</c:v>
                </c:pt>
                <c:pt idx="2056">
                  <c:v>4.2199999999999994E-2</c:v>
                </c:pt>
                <c:pt idx="2057">
                  <c:v>4.2500000000000003E-2</c:v>
                </c:pt>
                <c:pt idx="2058">
                  <c:v>4.24E-2</c:v>
                </c:pt>
                <c:pt idx="2059">
                  <c:v>4.2000000000000003E-2</c:v>
                </c:pt>
                <c:pt idx="2060">
                  <c:v>4.2000000000000003E-2</c:v>
                </c:pt>
                <c:pt idx="2061">
                  <c:v>4.3299999999999998E-2</c:v>
                </c:pt>
                <c:pt idx="2062">
                  <c:v>4.36E-2</c:v>
                </c:pt>
                <c:pt idx="2063">
                  <c:v>4.36E-2</c:v>
                </c:pt>
                <c:pt idx="2064">
                  <c:v>4.3099999999999999E-2</c:v>
                </c:pt>
                <c:pt idx="2065">
                  <c:v>4.3899999999999995E-2</c:v>
                </c:pt>
                <c:pt idx="2066">
                  <c:v>4.4199999999999996E-2</c:v>
                </c:pt>
                <c:pt idx="2067">
                  <c:v>4.36E-2</c:v>
                </c:pt>
                <c:pt idx="2068">
                  <c:v>4.5499999999999999E-2</c:v>
                </c:pt>
                <c:pt idx="2069">
                  <c:v>4.5599999999999995E-2</c:v>
                </c:pt>
                <c:pt idx="2070">
                  <c:v>4.4999999999999998E-2</c:v>
                </c:pt>
                <c:pt idx="2071">
                  <c:v>4.6300000000000001E-2</c:v>
                </c:pt>
                <c:pt idx="2072">
                  <c:v>4.6699999999999998E-2</c:v>
                </c:pt>
                <c:pt idx="2073">
                  <c:v>4.5899999999999996E-2</c:v>
                </c:pt>
                <c:pt idx="2074">
                  <c:v>4.6399999999999997E-2</c:v>
                </c:pt>
                <c:pt idx="2075">
                  <c:v>4.6199999999999998E-2</c:v>
                </c:pt>
                <c:pt idx="2076">
                  <c:v>4.6199999999999998E-2</c:v>
                </c:pt>
                <c:pt idx="2077">
                  <c:v>4.6100000000000002E-2</c:v>
                </c:pt>
                <c:pt idx="2078">
                  <c:v>4.6500000000000007E-2</c:v>
                </c:pt>
                <c:pt idx="2079">
                  <c:v>4.7E-2</c:v>
                </c:pt>
                <c:pt idx="2080">
                  <c:v>4.6699999999999998E-2</c:v>
                </c:pt>
                <c:pt idx="2081">
                  <c:v>4.6300000000000001E-2</c:v>
                </c:pt>
                <c:pt idx="2082">
                  <c:v>4.6900000000000004E-2</c:v>
                </c:pt>
                <c:pt idx="2083">
                  <c:v>4.6300000000000001E-2</c:v>
                </c:pt>
                <c:pt idx="2084">
                  <c:v>4.58E-2</c:v>
                </c:pt>
                <c:pt idx="2085">
                  <c:v>4.4999999999999998E-2</c:v>
                </c:pt>
                <c:pt idx="2086">
                  <c:v>4.4900000000000002E-2</c:v>
                </c:pt>
                <c:pt idx="2087">
                  <c:v>4.4699999999999997E-2</c:v>
                </c:pt>
                <c:pt idx="2088">
                  <c:v>4.4800000000000006E-2</c:v>
                </c:pt>
                <c:pt idx="2089">
                  <c:v>4.4500000000000005E-2</c:v>
                </c:pt>
                <c:pt idx="2090">
                  <c:v>4.4999999999999998E-2</c:v>
                </c:pt>
                <c:pt idx="2091">
                  <c:v>4.4800000000000006E-2</c:v>
                </c:pt>
                <c:pt idx="2092">
                  <c:v>4.4500000000000005E-2</c:v>
                </c:pt>
                <c:pt idx="2093">
                  <c:v>4.36E-2</c:v>
                </c:pt>
                <c:pt idx="2094">
                  <c:v>4.3799999999999999E-2</c:v>
                </c:pt>
                <c:pt idx="2095">
                  <c:v>4.4199999999999996E-2</c:v>
                </c:pt>
                <c:pt idx="2096">
                  <c:v>4.4400000000000002E-2</c:v>
                </c:pt>
                <c:pt idx="2097">
                  <c:v>4.41E-2</c:v>
                </c:pt>
                <c:pt idx="2098">
                  <c:v>4.4299999999999999E-2</c:v>
                </c:pt>
                <c:pt idx="2099">
                  <c:v>4.4699999999999997E-2</c:v>
                </c:pt>
                <c:pt idx="2100">
                  <c:v>4.4600000000000001E-2</c:v>
                </c:pt>
                <c:pt idx="2101">
                  <c:v>4.5400000000000003E-2</c:v>
                </c:pt>
                <c:pt idx="2102">
                  <c:v>4.6100000000000002E-2</c:v>
                </c:pt>
                <c:pt idx="2103">
                  <c:v>4.5499999999999999E-2</c:v>
                </c:pt>
                <c:pt idx="2104">
                  <c:v>4.5100000000000001E-2</c:v>
                </c:pt>
                <c:pt idx="2105">
                  <c:v>4.41E-2</c:v>
                </c:pt>
                <c:pt idx="2106">
                  <c:v>4.3299999999999998E-2</c:v>
                </c:pt>
                <c:pt idx="2107">
                  <c:v>4.2900000000000001E-2</c:v>
                </c:pt>
                <c:pt idx="2108">
                  <c:v>4.2800000000000005E-2</c:v>
                </c:pt>
                <c:pt idx="2109">
                  <c:v>4.4299999999999999E-2</c:v>
                </c:pt>
                <c:pt idx="2110">
                  <c:v>4.4699999999999997E-2</c:v>
                </c:pt>
                <c:pt idx="2111">
                  <c:v>4.3899999999999995E-2</c:v>
                </c:pt>
                <c:pt idx="2112">
                  <c:v>4.3099999999999999E-2</c:v>
                </c:pt>
                <c:pt idx="2113">
                  <c:v>4.24E-2</c:v>
                </c:pt>
                <c:pt idx="2114">
                  <c:v>4.2000000000000003E-2</c:v>
                </c:pt>
                <c:pt idx="2115">
                  <c:v>4.2800000000000005E-2</c:v>
                </c:pt>
                <c:pt idx="2116">
                  <c:v>4.2199999999999994E-2</c:v>
                </c:pt>
                <c:pt idx="2117">
                  <c:v>4.2500000000000003E-2</c:v>
                </c:pt>
                <c:pt idx="2118">
                  <c:v>4.2500000000000003E-2</c:v>
                </c:pt>
                <c:pt idx="2119">
                  <c:v>4.2500000000000003E-2</c:v>
                </c:pt>
                <c:pt idx="2120">
                  <c:v>4.2300000000000004E-2</c:v>
                </c:pt>
                <c:pt idx="2121">
                  <c:v>4.3200000000000002E-2</c:v>
                </c:pt>
                <c:pt idx="2122">
                  <c:v>4.2900000000000001E-2</c:v>
                </c:pt>
                <c:pt idx="2123">
                  <c:v>4.36E-2</c:v>
                </c:pt>
                <c:pt idx="2124">
                  <c:v>4.4800000000000006E-2</c:v>
                </c:pt>
                <c:pt idx="2125">
                  <c:v>4.4299999999999999E-2</c:v>
                </c:pt>
                <c:pt idx="2126">
                  <c:v>4.36E-2</c:v>
                </c:pt>
                <c:pt idx="2127">
                  <c:v>4.2800000000000005E-2</c:v>
                </c:pt>
                <c:pt idx="2128">
                  <c:v>4.2800000000000005E-2</c:v>
                </c:pt>
                <c:pt idx="2129">
                  <c:v>4.2999999999999997E-2</c:v>
                </c:pt>
                <c:pt idx="2130">
                  <c:v>4.2800000000000005E-2</c:v>
                </c:pt>
                <c:pt idx="2131">
                  <c:v>4.2000000000000003E-2</c:v>
                </c:pt>
                <c:pt idx="2132">
                  <c:v>4.1799999999999997E-2</c:v>
                </c:pt>
                <c:pt idx="2133">
                  <c:v>4.2300000000000004E-2</c:v>
                </c:pt>
                <c:pt idx="2134">
                  <c:v>4.1700000000000001E-2</c:v>
                </c:pt>
                <c:pt idx="2135">
                  <c:v>4.1599999999999998E-2</c:v>
                </c:pt>
                <c:pt idx="2136">
                  <c:v>4.2000000000000003E-2</c:v>
                </c:pt>
                <c:pt idx="2137">
                  <c:v>4.2500000000000003E-2</c:v>
                </c:pt>
                <c:pt idx="2138">
                  <c:v>4.2599999999999999E-2</c:v>
                </c:pt>
                <c:pt idx="2139">
                  <c:v>4.2500000000000003E-2</c:v>
                </c:pt>
                <c:pt idx="2140">
                  <c:v>4.2800000000000005E-2</c:v>
                </c:pt>
                <c:pt idx="2141">
                  <c:v>4.2699999999999995E-2</c:v>
                </c:pt>
                <c:pt idx="2142">
                  <c:v>4.2000000000000003E-2</c:v>
                </c:pt>
                <c:pt idx="2143">
                  <c:v>4.1700000000000001E-2</c:v>
                </c:pt>
                <c:pt idx="2144">
                  <c:v>4.1500000000000002E-2</c:v>
                </c:pt>
                <c:pt idx="2145">
                  <c:v>4.0899999999999999E-2</c:v>
                </c:pt>
                <c:pt idx="2146">
                  <c:v>3.9900000000000005E-2</c:v>
                </c:pt>
                <c:pt idx="2147">
                  <c:v>3.7999999999999999E-2</c:v>
                </c:pt>
                <c:pt idx="2148">
                  <c:v>3.78E-2</c:v>
                </c:pt>
                <c:pt idx="2149">
                  <c:v>3.9E-2</c:v>
                </c:pt>
                <c:pt idx="2150">
                  <c:v>3.9599999999999996E-2</c:v>
                </c:pt>
                <c:pt idx="2151">
                  <c:v>3.9900000000000005E-2</c:v>
                </c:pt>
                <c:pt idx="2152">
                  <c:v>3.9399999999999998E-2</c:v>
                </c:pt>
                <c:pt idx="2153">
                  <c:v>3.9E-2</c:v>
                </c:pt>
                <c:pt idx="2154">
                  <c:v>3.85E-2</c:v>
                </c:pt>
                <c:pt idx="2155">
                  <c:v>3.8300000000000001E-2</c:v>
                </c:pt>
                <c:pt idx="2156">
                  <c:v>3.9199999999999999E-2</c:v>
                </c:pt>
                <c:pt idx="2157">
                  <c:v>3.8900000000000004E-2</c:v>
                </c:pt>
                <c:pt idx="2158">
                  <c:v>3.8599999999999995E-2</c:v>
                </c:pt>
                <c:pt idx="2159">
                  <c:v>3.8199999999999998E-2</c:v>
                </c:pt>
                <c:pt idx="2160">
                  <c:v>3.7900000000000003E-2</c:v>
                </c:pt>
                <c:pt idx="2161">
                  <c:v>3.8599999999999995E-2</c:v>
                </c:pt>
                <c:pt idx="2162">
                  <c:v>3.8100000000000002E-2</c:v>
                </c:pt>
                <c:pt idx="2163">
                  <c:v>3.8199999999999998E-2</c:v>
                </c:pt>
                <c:pt idx="2164">
                  <c:v>3.8300000000000001E-2</c:v>
                </c:pt>
                <c:pt idx="2165">
                  <c:v>3.8399999999999997E-2</c:v>
                </c:pt>
                <c:pt idx="2166">
                  <c:v>3.8699999999999998E-2</c:v>
                </c:pt>
                <c:pt idx="2167">
                  <c:v>3.9100000000000003E-2</c:v>
                </c:pt>
                <c:pt idx="2168">
                  <c:v>3.8399999999999997E-2</c:v>
                </c:pt>
                <c:pt idx="2169">
                  <c:v>3.7699999999999997E-2</c:v>
                </c:pt>
                <c:pt idx="2170">
                  <c:v>3.73E-2</c:v>
                </c:pt>
                <c:pt idx="2171">
                  <c:v>3.7200000000000004E-2</c:v>
                </c:pt>
                <c:pt idx="2172">
                  <c:v>3.7000000000000005E-2</c:v>
                </c:pt>
                <c:pt idx="2173">
                  <c:v>3.6499999999999998E-2</c:v>
                </c:pt>
                <c:pt idx="2174">
                  <c:v>3.6499999999999998E-2</c:v>
                </c:pt>
                <c:pt idx="2175">
                  <c:v>3.6799999999999999E-2</c:v>
                </c:pt>
                <c:pt idx="2176">
                  <c:v>3.6600000000000001E-2</c:v>
                </c:pt>
                <c:pt idx="2177">
                  <c:v>3.6299999999999999E-2</c:v>
                </c:pt>
                <c:pt idx="2178">
                  <c:v>3.6499999999999998E-2</c:v>
                </c:pt>
                <c:pt idx="2179">
                  <c:v>3.7000000000000005E-2</c:v>
                </c:pt>
                <c:pt idx="2180">
                  <c:v>3.73E-2</c:v>
                </c:pt>
                <c:pt idx="2181">
                  <c:v>3.73E-2</c:v>
                </c:pt>
                <c:pt idx="2182">
                  <c:v>3.7499999999999999E-2</c:v>
                </c:pt>
                <c:pt idx="2183">
                  <c:v>3.7400000000000003E-2</c:v>
                </c:pt>
                <c:pt idx="2184">
                  <c:v>3.7900000000000003E-2</c:v>
                </c:pt>
                <c:pt idx="2185">
                  <c:v>3.7900000000000003E-2</c:v>
                </c:pt>
                <c:pt idx="2186">
                  <c:v>3.7499999999999999E-2</c:v>
                </c:pt>
                <c:pt idx="2187">
                  <c:v>3.8100000000000002E-2</c:v>
                </c:pt>
                <c:pt idx="2188">
                  <c:v>3.7400000000000003E-2</c:v>
                </c:pt>
                <c:pt idx="2189">
                  <c:v>3.7900000000000003E-2</c:v>
                </c:pt>
                <c:pt idx="2190">
                  <c:v>3.85E-2</c:v>
                </c:pt>
                <c:pt idx="2191">
                  <c:v>3.9800000000000002E-2</c:v>
                </c:pt>
                <c:pt idx="2192">
                  <c:v>4.0300000000000002E-2</c:v>
                </c:pt>
                <c:pt idx="2193">
                  <c:v>4.0399999999999998E-2</c:v>
                </c:pt>
                <c:pt idx="2194">
                  <c:v>4.0599999999999997E-2</c:v>
                </c:pt>
                <c:pt idx="2195">
                  <c:v>4.0899999999999999E-2</c:v>
                </c:pt>
                <c:pt idx="2196">
                  <c:v>4.0800000000000003E-2</c:v>
                </c:pt>
                <c:pt idx="2197">
                  <c:v>4.0300000000000002E-2</c:v>
                </c:pt>
                <c:pt idx="2198">
                  <c:v>4.0199999999999993E-2</c:v>
                </c:pt>
                <c:pt idx="2199">
                  <c:v>4.0899999999999999E-2</c:v>
                </c:pt>
                <c:pt idx="2200">
                  <c:v>4.0800000000000003E-2</c:v>
                </c:pt>
                <c:pt idx="2201">
                  <c:v>4.1900000000000007E-2</c:v>
                </c:pt>
                <c:pt idx="2202">
                  <c:v>4.2000000000000003E-2</c:v>
                </c:pt>
                <c:pt idx="2203">
                  <c:v>4.24E-2</c:v>
                </c:pt>
                <c:pt idx="2204">
                  <c:v>4.2099999999999999E-2</c:v>
                </c:pt>
                <c:pt idx="2205">
                  <c:v>4.2500000000000003E-2</c:v>
                </c:pt>
                <c:pt idx="2206">
                  <c:v>4.2800000000000005E-2</c:v>
                </c:pt>
                <c:pt idx="2207">
                  <c:v>4.2800000000000005E-2</c:v>
                </c:pt>
                <c:pt idx="2208">
                  <c:v>4.2900000000000001E-2</c:v>
                </c:pt>
                <c:pt idx="2209">
                  <c:v>4.2800000000000005E-2</c:v>
                </c:pt>
                <c:pt idx="2210">
                  <c:v>4.3700000000000003E-2</c:v>
                </c:pt>
                <c:pt idx="2211">
                  <c:v>4.3099999999999999E-2</c:v>
                </c:pt>
                <c:pt idx="2212">
                  <c:v>4.2599999999999999E-2</c:v>
                </c:pt>
                <c:pt idx="2213">
                  <c:v>4.4199999999999996E-2</c:v>
                </c:pt>
                <c:pt idx="2214">
                  <c:v>4.3099999999999999E-2</c:v>
                </c:pt>
                <c:pt idx="2215">
                  <c:v>4.2999999999999997E-2</c:v>
                </c:pt>
                <c:pt idx="2216">
                  <c:v>4.4299999999999999E-2</c:v>
                </c:pt>
                <c:pt idx="2217">
                  <c:v>4.4400000000000002E-2</c:v>
                </c:pt>
                <c:pt idx="2218">
                  <c:v>4.4299999999999999E-2</c:v>
                </c:pt>
                <c:pt idx="2219">
                  <c:v>4.4299999999999999E-2</c:v>
                </c:pt>
                <c:pt idx="2220">
                  <c:v>4.4199999999999996E-2</c:v>
                </c:pt>
                <c:pt idx="2221">
                  <c:v>4.3899999999999995E-2</c:v>
                </c:pt>
                <c:pt idx="2222">
                  <c:v>4.41E-2</c:v>
                </c:pt>
                <c:pt idx="2223">
                  <c:v>4.4299999999999999E-2</c:v>
                </c:pt>
                <c:pt idx="2224">
                  <c:v>4.41E-2</c:v>
                </c:pt>
                <c:pt idx="2225">
                  <c:v>4.2699999999999995E-2</c:v>
                </c:pt>
                <c:pt idx="2226">
                  <c:v>4.2999999999999997E-2</c:v>
                </c:pt>
                <c:pt idx="2227">
                  <c:v>4.2500000000000003E-2</c:v>
                </c:pt>
                <c:pt idx="2228">
                  <c:v>4.1799999999999997E-2</c:v>
                </c:pt>
                <c:pt idx="2229">
                  <c:v>4.1900000000000007E-2</c:v>
                </c:pt>
                <c:pt idx="2230">
                  <c:v>4.2300000000000004E-2</c:v>
                </c:pt>
                <c:pt idx="2231">
                  <c:v>4.1900000000000007E-2</c:v>
                </c:pt>
                <c:pt idx="2232">
                  <c:v>4.1700000000000001E-2</c:v>
                </c:pt>
                <c:pt idx="2233">
                  <c:v>4.1500000000000002E-2</c:v>
                </c:pt>
                <c:pt idx="2234">
                  <c:v>4.2000000000000003E-2</c:v>
                </c:pt>
                <c:pt idx="2235">
                  <c:v>4.2199999999999994E-2</c:v>
                </c:pt>
                <c:pt idx="2236">
                  <c:v>4.2599999999999999E-2</c:v>
                </c:pt>
                <c:pt idx="2237">
                  <c:v>4.3200000000000002E-2</c:v>
                </c:pt>
                <c:pt idx="2238">
                  <c:v>4.4000000000000004E-2</c:v>
                </c:pt>
                <c:pt idx="2239">
                  <c:v>4.3899999999999995E-2</c:v>
                </c:pt>
                <c:pt idx="2240">
                  <c:v>4.4000000000000004E-2</c:v>
                </c:pt>
                <c:pt idx="2241">
                  <c:v>4.4999999999999998E-2</c:v>
                </c:pt>
                <c:pt idx="2242">
                  <c:v>4.5700000000000005E-2</c:v>
                </c:pt>
                <c:pt idx="2243">
                  <c:v>4.5199999999999997E-2</c:v>
                </c:pt>
                <c:pt idx="2244">
                  <c:v>4.5899999999999996E-2</c:v>
                </c:pt>
                <c:pt idx="2245">
                  <c:v>4.5899999999999996E-2</c:v>
                </c:pt>
                <c:pt idx="2246">
                  <c:v>4.58E-2</c:v>
                </c:pt>
                <c:pt idx="2247">
                  <c:v>4.6199999999999998E-2</c:v>
                </c:pt>
                <c:pt idx="2248">
                  <c:v>4.5499999999999999E-2</c:v>
                </c:pt>
                <c:pt idx="2249">
                  <c:v>4.58E-2</c:v>
                </c:pt>
              </c:numCache>
            </c:numRef>
          </c:val>
          <c:smooth val="0"/>
          <c:extLst>
            <c:ext xmlns:c16="http://schemas.microsoft.com/office/drawing/2014/chart" uri="{C3380CC4-5D6E-409C-BE32-E72D297353CC}">
              <c16:uniqueId val="{00000000-45DF-4091-8C7E-D8E791CC1F0C}"/>
            </c:ext>
          </c:extLst>
        </c:ser>
        <c:ser>
          <c:idx val="1"/>
          <c:order val="1"/>
          <c:tx>
            <c:strRef>
              <c:f>Data!$S$37</c:f>
              <c:strCache>
                <c:ptCount val="1"/>
                <c:pt idx="0">
                  <c:v>Risk Free Rate (Treasury Constant Maturity - 5 Year)</c:v>
                </c:pt>
              </c:strCache>
            </c:strRef>
          </c:tx>
          <c:spPr>
            <a:ln w="19050" cap="rnd">
              <a:solidFill>
                <a:schemeClr val="accent2"/>
              </a:solidFill>
              <a:round/>
            </a:ln>
            <a:effectLst/>
          </c:spPr>
          <c:marker>
            <c:symbol val="none"/>
          </c:marker>
          <c:cat>
            <c:numRef>
              <c:f>Data!$Q$38:$Q$2287</c:f>
              <c:numCache>
                <c:formatCode>[$-409]mmm\-dd\-yyyy;@</c:formatCode>
                <c:ptCount val="2250"/>
                <c:pt idx="0">
                  <c:v>42373</c:v>
                </c:pt>
                <c:pt idx="1">
                  <c:v>42374</c:v>
                </c:pt>
                <c:pt idx="2">
                  <c:v>42375</c:v>
                </c:pt>
                <c:pt idx="3">
                  <c:v>42376</c:v>
                </c:pt>
                <c:pt idx="4">
                  <c:v>42377</c:v>
                </c:pt>
                <c:pt idx="5">
                  <c:v>42380</c:v>
                </c:pt>
                <c:pt idx="6">
                  <c:v>42381</c:v>
                </c:pt>
                <c:pt idx="7">
                  <c:v>42382</c:v>
                </c:pt>
                <c:pt idx="8">
                  <c:v>42383</c:v>
                </c:pt>
                <c:pt idx="9">
                  <c:v>42384</c:v>
                </c:pt>
                <c:pt idx="10">
                  <c:v>42388</c:v>
                </c:pt>
                <c:pt idx="11">
                  <c:v>42389</c:v>
                </c:pt>
                <c:pt idx="12">
                  <c:v>42390</c:v>
                </c:pt>
                <c:pt idx="13">
                  <c:v>42391</c:v>
                </c:pt>
                <c:pt idx="14">
                  <c:v>42394</c:v>
                </c:pt>
                <c:pt idx="15">
                  <c:v>42395</c:v>
                </c:pt>
                <c:pt idx="16">
                  <c:v>42396</c:v>
                </c:pt>
                <c:pt idx="17">
                  <c:v>42397</c:v>
                </c:pt>
                <c:pt idx="18">
                  <c:v>42398</c:v>
                </c:pt>
                <c:pt idx="19">
                  <c:v>42401</c:v>
                </c:pt>
                <c:pt idx="20">
                  <c:v>42402</c:v>
                </c:pt>
                <c:pt idx="21">
                  <c:v>42403</c:v>
                </c:pt>
                <c:pt idx="22">
                  <c:v>42404</c:v>
                </c:pt>
                <c:pt idx="23">
                  <c:v>42405</c:v>
                </c:pt>
                <c:pt idx="24">
                  <c:v>42408</c:v>
                </c:pt>
                <c:pt idx="25">
                  <c:v>42409</c:v>
                </c:pt>
                <c:pt idx="26">
                  <c:v>42410</c:v>
                </c:pt>
                <c:pt idx="27">
                  <c:v>42411</c:v>
                </c:pt>
                <c:pt idx="28">
                  <c:v>42412</c:v>
                </c:pt>
                <c:pt idx="29">
                  <c:v>42416</c:v>
                </c:pt>
                <c:pt idx="30">
                  <c:v>42417</c:v>
                </c:pt>
                <c:pt idx="31">
                  <c:v>42418</c:v>
                </c:pt>
                <c:pt idx="32">
                  <c:v>42419</c:v>
                </c:pt>
                <c:pt idx="33">
                  <c:v>42422</c:v>
                </c:pt>
                <c:pt idx="34">
                  <c:v>42423</c:v>
                </c:pt>
                <c:pt idx="35">
                  <c:v>42424</c:v>
                </c:pt>
                <c:pt idx="36">
                  <c:v>42425</c:v>
                </c:pt>
                <c:pt idx="37">
                  <c:v>42426</c:v>
                </c:pt>
                <c:pt idx="38">
                  <c:v>42429</c:v>
                </c:pt>
                <c:pt idx="39">
                  <c:v>42430</c:v>
                </c:pt>
                <c:pt idx="40">
                  <c:v>42431</c:v>
                </c:pt>
                <c:pt idx="41">
                  <c:v>42432</c:v>
                </c:pt>
                <c:pt idx="42">
                  <c:v>42433</c:v>
                </c:pt>
                <c:pt idx="43">
                  <c:v>42436</c:v>
                </c:pt>
                <c:pt idx="44">
                  <c:v>42437</c:v>
                </c:pt>
                <c:pt idx="45">
                  <c:v>42438</c:v>
                </c:pt>
                <c:pt idx="46">
                  <c:v>42439</c:v>
                </c:pt>
                <c:pt idx="47">
                  <c:v>42440</c:v>
                </c:pt>
                <c:pt idx="48">
                  <c:v>42443</c:v>
                </c:pt>
                <c:pt idx="49">
                  <c:v>42444</c:v>
                </c:pt>
                <c:pt idx="50">
                  <c:v>42445</c:v>
                </c:pt>
                <c:pt idx="51">
                  <c:v>42446</c:v>
                </c:pt>
                <c:pt idx="52">
                  <c:v>42447</c:v>
                </c:pt>
                <c:pt idx="53">
                  <c:v>42450</c:v>
                </c:pt>
                <c:pt idx="54">
                  <c:v>42451</c:v>
                </c:pt>
                <c:pt idx="55">
                  <c:v>42452</c:v>
                </c:pt>
                <c:pt idx="56">
                  <c:v>42453</c:v>
                </c:pt>
                <c:pt idx="57">
                  <c:v>42457</c:v>
                </c:pt>
                <c:pt idx="58">
                  <c:v>42458</c:v>
                </c:pt>
                <c:pt idx="59">
                  <c:v>42459</c:v>
                </c:pt>
                <c:pt idx="60">
                  <c:v>42460</c:v>
                </c:pt>
                <c:pt idx="61">
                  <c:v>42461</c:v>
                </c:pt>
                <c:pt idx="62">
                  <c:v>42464</c:v>
                </c:pt>
                <c:pt idx="63">
                  <c:v>42465</c:v>
                </c:pt>
                <c:pt idx="64">
                  <c:v>42466</c:v>
                </c:pt>
                <c:pt idx="65">
                  <c:v>42467</c:v>
                </c:pt>
                <c:pt idx="66">
                  <c:v>42468</c:v>
                </c:pt>
                <c:pt idx="67">
                  <c:v>42471</c:v>
                </c:pt>
                <c:pt idx="68">
                  <c:v>42472</c:v>
                </c:pt>
                <c:pt idx="69">
                  <c:v>42473</c:v>
                </c:pt>
                <c:pt idx="70">
                  <c:v>42474</c:v>
                </c:pt>
                <c:pt idx="71">
                  <c:v>42475</c:v>
                </c:pt>
                <c:pt idx="72">
                  <c:v>42478</c:v>
                </c:pt>
                <c:pt idx="73">
                  <c:v>42479</c:v>
                </c:pt>
                <c:pt idx="74">
                  <c:v>42480</c:v>
                </c:pt>
                <c:pt idx="75">
                  <c:v>42481</c:v>
                </c:pt>
                <c:pt idx="76">
                  <c:v>42482</c:v>
                </c:pt>
                <c:pt idx="77">
                  <c:v>42485</c:v>
                </c:pt>
                <c:pt idx="78">
                  <c:v>42486</c:v>
                </c:pt>
                <c:pt idx="79">
                  <c:v>42487</c:v>
                </c:pt>
                <c:pt idx="80">
                  <c:v>42488</c:v>
                </c:pt>
                <c:pt idx="81">
                  <c:v>42489</c:v>
                </c:pt>
                <c:pt idx="82">
                  <c:v>42492</c:v>
                </c:pt>
                <c:pt idx="83">
                  <c:v>42493</c:v>
                </c:pt>
                <c:pt idx="84">
                  <c:v>42494</c:v>
                </c:pt>
                <c:pt idx="85">
                  <c:v>42495</c:v>
                </c:pt>
                <c:pt idx="86">
                  <c:v>42496</c:v>
                </c:pt>
                <c:pt idx="87">
                  <c:v>42499</c:v>
                </c:pt>
                <c:pt idx="88">
                  <c:v>42500</c:v>
                </c:pt>
                <c:pt idx="89">
                  <c:v>42501</c:v>
                </c:pt>
                <c:pt idx="90">
                  <c:v>42502</c:v>
                </c:pt>
                <c:pt idx="91">
                  <c:v>42503</c:v>
                </c:pt>
                <c:pt idx="92">
                  <c:v>42506</c:v>
                </c:pt>
                <c:pt idx="93">
                  <c:v>42507</c:v>
                </c:pt>
                <c:pt idx="94">
                  <c:v>42508</c:v>
                </c:pt>
                <c:pt idx="95">
                  <c:v>42509</c:v>
                </c:pt>
                <c:pt idx="96">
                  <c:v>42510</c:v>
                </c:pt>
                <c:pt idx="97">
                  <c:v>42513</c:v>
                </c:pt>
                <c:pt idx="98">
                  <c:v>42514</c:v>
                </c:pt>
                <c:pt idx="99">
                  <c:v>42515</c:v>
                </c:pt>
                <c:pt idx="100">
                  <c:v>42516</c:v>
                </c:pt>
                <c:pt idx="101">
                  <c:v>42517</c:v>
                </c:pt>
                <c:pt idx="102">
                  <c:v>42521</c:v>
                </c:pt>
                <c:pt idx="103">
                  <c:v>42522</c:v>
                </c:pt>
                <c:pt idx="104">
                  <c:v>42523</c:v>
                </c:pt>
                <c:pt idx="105">
                  <c:v>42524</c:v>
                </c:pt>
                <c:pt idx="106">
                  <c:v>42527</c:v>
                </c:pt>
                <c:pt idx="107">
                  <c:v>42528</c:v>
                </c:pt>
                <c:pt idx="108">
                  <c:v>42529</c:v>
                </c:pt>
                <c:pt idx="109">
                  <c:v>42530</c:v>
                </c:pt>
                <c:pt idx="110">
                  <c:v>42531</c:v>
                </c:pt>
                <c:pt idx="111">
                  <c:v>42534</c:v>
                </c:pt>
                <c:pt idx="112">
                  <c:v>42535</c:v>
                </c:pt>
                <c:pt idx="113">
                  <c:v>42536</c:v>
                </c:pt>
                <c:pt idx="114">
                  <c:v>42537</c:v>
                </c:pt>
                <c:pt idx="115">
                  <c:v>42538</c:v>
                </c:pt>
                <c:pt idx="116">
                  <c:v>42541</c:v>
                </c:pt>
                <c:pt idx="117">
                  <c:v>42542</c:v>
                </c:pt>
                <c:pt idx="118">
                  <c:v>42543</c:v>
                </c:pt>
                <c:pt idx="119">
                  <c:v>42544</c:v>
                </c:pt>
                <c:pt idx="120">
                  <c:v>42545</c:v>
                </c:pt>
                <c:pt idx="121">
                  <c:v>42548</c:v>
                </c:pt>
                <c:pt idx="122">
                  <c:v>42549</c:v>
                </c:pt>
                <c:pt idx="123">
                  <c:v>42550</c:v>
                </c:pt>
                <c:pt idx="124">
                  <c:v>42551</c:v>
                </c:pt>
                <c:pt idx="125">
                  <c:v>42552</c:v>
                </c:pt>
                <c:pt idx="126">
                  <c:v>42556</c:v>
                </c:pt>
                <c:pt idx="127">
                  <c:v>42557</c:v>
                </c:pt>
                <c:pt idx="128">
                  <c:v>42558</c:v>
                </c:pt>
                <c:pt idx="129">
                  <c:v>42559</c:v>
                </c:pt>
                <c:pt idx="130">
                  <c:v>42562</c:v>
                </c:pt>
                <c:pt idx="131">
                  <c:v>42563</c:v>
                </c:pt>
                <c:pt idx="132">
                  <c:v>42564</c:v>
                </c:pt>
                <c:pt idx="133">
                  <c:v>42565</c:v>
                </c:pt>
                <c:pt idx="134">
                  <c:v>42566</c:v>
                </c:pt>
                <c:pt idx="135">
                  <c:v>42569</c:v>
                </c:pt>
                <c:pt idx="136">
                  <c:v>42570</c:v>
                </c:pt>
                <c:pt idx="137">
                  <c:v>42571</c:v>
                </c:pt>
                <c:pt idx="138">
                  <c:v>42572</c:v>
                </c:pt>
                <c:pt idx="139">
                  <c:v>42573</c:v>
                </c:pt>
                <c:pt idx="140">
                  <c:v>42576</c:v>
                </c:pt>
                <c:pt idx="141">
                  <c:v>42577</c:v>
                </c:pt>
                <c:pt idx="142">
                  <c:v>42578</c:v>
                </c:pt>
                <c:pt idx="143">
                  <c:v>42579</c:v>
                </c:pt>
                <c:pt idx="144">
                  <c:v>42580</c:v>
                </c:pt>
                <c:pt idx="145">
                  <c:v>42583</c:v>
                </c:pt>
                <c:pt idx="146">
                  <c:v>42584</c:v>
                </c:pt>
                <c:pt idx="147">
                  <c:v>42585</c:v>
                </c:pt>
                <c:pt idx="148">
                  <c:v>42586</c:v>
                </c:pt>
                <c:pt idx="149">
                  <c:v>42587</c:v>
                </c:pt>
                <c:pt idx="150">
                  <c:v>42590</c:v>
                </c:pt>
                <c:pt idx="151">
                  <c:v>42591</c:v>
                </c:pt>
                <c:pt idx="152">
                  <c:v>42592</c:v>
                </c:pt>
                <c:pt idx="153">
                  <c:v>42593</c:v>
                </c:pt>
                <c:pt idx="154">
                  <c:v>42594</c:v>
                </c:pt>
                <c:pt idx="155">
                  <c:v>42597</c:v>
                </c:pt>
                <c:pt idx="156">
                  <c:v>42598</c:v>
                </c:pt>
                <c:pt idx="157">
                  <c:v>42599</c:v>
                </c:pt>
                <c:pt idx="158">
                  <c:v>42600</c:v>
                </c:pt>
                <c:pt idx="159">
                  <c:v>42601</c:v>
                </c:pt>
                <c:pt idx="160">
                  <c:v>42604</c:v>
                </c:pt>
                <c:pt idx="161">
                  <c:v>42605</c:v>
                </c:pt>
                <c:pt idx="162">
                  <c:v>42606</c:v>
                </c:pt>
                <c:pt idx="163">
                  <c:v>42607</c:v>
                </c:pt>
                <c:pt idx="164">
                  <c:v>42608</c:v>
                </c:pt>
                <c:pt idx="165">
                  <c:v>42611</c:v>
                </c:pt>
                <c:pt idx="166">
                  <c:v>42612</c:v>
                </c:pt>
                <c:pt idx="167">
                  <c:v>42613</c:v>
                </c:pt>
                <c:pt idx="168">
                  <c:v>42614</c:v>
                </c:pt>
                <c:pt idx="169">
                  <c:v>42615</c:v>
                </c:pt>
                <c:pt idx="170">
                  <c:v>42619</c:v>
                </c:pt>
                <c:pt idx="171">
                  <c:v>42620</c:v>
                </c:pt>
                <c:pt idx="172">
                  <c:v>42621</c:v>
                </c:pt>
                <c:pt idx="173">
                  <c:v>42622</c:v>
                </c:pt>
                <c:pt idx="174">
                  <c:v>42625</c:v>
                </c:pt>
                <c:pt idx="175">
                  <c:v>42626</c:v>
                </c:pt>
                <c:pt idx="176">
                  <c:v>42627</c:v>
                </c:pt>
                <c:pt idx="177">
                  <c:v>42628</c:v>
                </c:pt>
                <c:pt idx="178">
                  <c:v>42629</c:v>
                </c:pt>
                <c:pt idx="179">
                  <c:v>42632</c:v>
                </c:pt>
                <c:pt idx="180">
                  <c:v>42633</c:v>
                </c:pt>
                <c:pt idx="181">
                  <c:v>42634</c:v>
                </c:pt>
                <c:pt idx="182">
                  <c:v>42635</c:v>
                </c:pt>
                <c:pt idx="183">
                  <c:v>42636</c:v>
                </c:pt>
                <c:pt idx="184">
                  <c:v>42639</c:v>
                </c:pt>
                <c:pt idx="185">
                  <c:v>42640</c:v>
                </c:pt>
                <c:pt idx="186">
                  <c:v>42641</c:v>
                </c:pt>
                <c:pt idx="187">
                  <c:v>42642</c:v>
                </c:pt>
                <c:pt idx="188">
                  <c:v>42643</c:v>
                </c:pt>
                <c:pt idx="189">
                  <c:v>42646</c:v>
                </c:pt>
                <c:pt idx="190">
                  <c:v>42647</c:v>
                </c:pt>
                <c:pt idx="191">
                  <c:v>42648</c:v>
                </c:pt>
                <c:pt idx="192">
                  <c:v>42649</c:v>
                </c:pt>
                <c:pt idx="193">
                  <c:v>42650</c:v>
                </c:pt>
                <c:pt idx="194">
                  <c:v>42654</c:v>
                </c:pt>
                <c:pt idx="195">
                  <c:v>42655</c:v>
                </c:pt>
                <c:pt idx="196">
                  <c:v>42656</c:v>
                </c:pt>
                <c:pt idx="197">
                  <c:v>42657</c:v>
                </c:pt>
                <c:pt idx="198">
                  <c:v>42660</c:v>
                </c:pt>
                <c:pt idx="199">
                  <c:v>42661</c:v>
                </c:pt>
                <c:pt idx="200">
                  <c:v>42662</c:v>
                </c:pt>
                <c:pt idx="201">
                  <c:v>42663</c:v>
                </c:pt>
                <c:pt idx="202">
                  <c:v>42664</c:v>
                </c:pt>
                <c:pt idx="203">
                  <c:v>42667</c:v>
                </c:pt>
                <c:pt idx="204">
                  <c:v>42668</c:v>
                </c:pt>
                <c:pt idx="205">
                  <c:v>42669</c:v>
                </c:pt>
                <c:pt idx="206">
                  <c:v>42670</c:v>
                </c:pt>
                <c:pt idx="207">
                  <c:v>42671</c:v>
                </c:pt>
                <c:pt idx="208">
                  <c:v>42674</c:v>
                </c:pt>
                <c:pt idx="209">
                  <c:v>42675</c:v>
                </c:pt>
                <c:pt idx="210">
                  <c:v>42676</c:v>
                </c:pt>
                <c:pt idx="211">
                  <c:v>42677</c:v>
                </c:pt>
                <c:pt idx="212">
                  <c:v>42678</c:v>
                </c:pt>
                <c:pt idx="213">
                  <c:v>42681</c:v>
                </c:pt>
                <c:pt idx="214">
                  <c:v>42682</c:v>
                </c:pt>
                <c:pt idx="215">
                  <c:v>42683</c:v>
                </c:pt>
                <c:pt idx="216">
                  <c:v>42684</c:v>
                </c:pt>
                <c:pt idx="217">
                  <c:v>42688</c:v>
                </c:pt>
                <c:pt idx="218">
                  <c:v>42689</c:v>
                </c:pt>
                <c:pt idx="219">
                  <c:v>42690</c:v>
                </c:pt>
                <c:pt idx="220">
                  <c:v>42691</c:v>
                </c:pt>
                <c:pt idx="221">
                  <c:v>42692</c:v>
                </c:pt>
                <c:pt idx="222">
                  <c:v>42695</c:v>
                </c:pt>
                <c:pt idx="223">
                  <c:v>42696</c:v>
                </c:pt>
                <c:pt idx="224">
                  <c:v>42697</c:v>
                </c:pt>
                <c:pt idx="225">
                  <c:v>42699</c:v>
                </c:pt>
                <c:pt idx="226">
                  <c:v>42702</c:v>
                </c:pt>
                <c:pt idx="227">
                  <c:v>42703</c:v>
                </c:pt>
                <c:pt idx="228">
                  <c:v>42704</c:v>
                </c:pt>
                <c:pt idx="229">
                  <c:v>42705</c:v>
                </c:pt>
                <c:pt idx="230">
                  <c:v>42706</c:v>
                </c:pt>
                <c:pt idx="231">
                  <c:v>42709</c:v>
                </c:pt>
                <c:pt idx="232">
                  <c:v>42710</c:v>
                </c:pt>
                <c:pt idx="233">
                  <c:v>42711</c:v>
                </c:pt>
                <c:pt idx="234">
                  <c:v>42712</c:v>
                </c:pt>
                <c:pt idx="235">
                  <c:v>42713</c:v>
                </c:pt>
                <c:pt idx="236">
                  <c:v>42716</c:v>
                </c:pt>
                <c:pt idx="237">
                  <c:v>42717</c:v>
                </c:pt>
                <c:pt idx="238">
                  <c:v>42718</c:v>
                </c:pt>
                <c:pt idx="239">
                  <c:v>42719</c:v>
                </c:pt>
                <c:pt idx="240">
                  <c:v>42720</c:v>
                </c:pt>
                <c:pt idx="241">
                  <c:v>42723</c:v>
                </c:pt>
                <c:pt idx="242">
                  <c:v>42724</c:v>
                </c:pt>
                <c:pt idx="243">
                  <c:v>42725</c:v>
                </c:pt>
                <c:pt idx="244">
                  <c:v>42726</c:v>
                </c:pt>
                <c:pt idx="245">
                  <c:v>42727</c:v>
                </c:pt>
                <c:pt idx="246">
                  <c:v>42731</c:v>
                </c:pt>
                <c:pt idx="247">
                  <c:v>42732</c:v>
                </c:pt>
                <c:pt idx="248">
                  <c:v>42733</c:v>
                </c:pt>
                <c:pt idx="249">
                  <c:v>42734</c:v>
                </c:pt>
                <c:pt idx="250">
                  <c:v>42738</c:v>
                </c:pt>
                <c:pt idx="251">
                  <c:v>42739</c:v>
                </c:pt>
                <c:pt idx="252">
                  <c:v>42740</c:v>
                </c:pt>
                <c:pt idx="253">
                  <c:v>42741</c:v>
                </c:pt>
                <c:pt idx="254">
                  <c:v>42744</c:v>
                </c:pt>
                <c:pt idx="255">
                  <c:v>42745</c:v>
                </c:pt>
                <c:pt idx="256">
                  <c:v>42746</c:v>
                </c:pt>
                <c:pt idx="257">
                  <c:v>42747</c:v>
                </c:pt>
                <c:pt idx="258">
                  <c:v>42748</c:v>
                </c:pt>
                <c:pt idx="259">
                  <c:v>42752</c:v>
                </c:pt>
                <c:pt idx="260">
                  <c:v>42753</c:v>
                </c:pt>
                <c:pt idx="261">
                  <c:v>42754</c:v>
                </c:pt>
                <c:pt idx="262">
                  <c:v>42755</c:v>
                </c:pt>
                <c:pt idx="263">
                  <c:v>42758</c:v>
                </c:pt>
                <c:pt idx="264">
                  <c:v>42759</c:v>
                </c:pt>
                <c:pt idx="265">
                  <c:v>42760</c:v>
                </c:pt>
                <c:pt idx="266">
                  <c:v>42761</c:v>
                </c:pt>
                <c:pt idx="267">
                  <c:v>42762</c:v>
                </c:pt>
                <c:pt idx="268">
                  <c:v>42765</c:v>
                </c:pt>
                <c:pt idx="269">
                  <c:v>42766</c:v>
                </c:pt>
                <c:pt idx="270">
                  <c:v>42767</c:v>
                </c:pt>
                <c:pt idx="271">
                  <c:v>42768</c:v>
                </c:pt>
                <c:pt idx="272">
                  <c:v>42769</c:v>
                </c:pt>
                <c:pt idx="273">
                  <c:v>42772</c:v>
                </c:pt>
                <c:pt idx="274">
                  <c:v>42773</c:v>
                </c:pt>
                <c:pt idx="275">
                  <c:v>42774</c:v>
                </c:pt>
                <c:pt idx="276">
                  <c:v>42775</c:v>
                </c:pt>
                <c:pt idx="277">
                  <c:v>42776</c:v>
                </c:pt>
                <c:pt idx="278">
                  <c:v>42779</c:v>
                </c:pt>
                <c:pt idx="279">
                  <c:v>42780</c:v>
                </c:pt>
                <c:pt idx="280">
                  <c:v>42781</c:v>
                </c:pt>
                <c:pt idx="281">
                  <c:v>42782</c:v>
                </c:pt>
                <c:pt idx="282">
                  <c:v>42783</c:v>
                </c:pt>
                <c:pt idx="283">
                  <c:v>42787</c:v>
                </c:pt>
                <c:pt idx="284">
                  <c:v>42788</c:v>
                </c:pt>
                <c:pt idx="285">
                  <c:v>42789</c:v>
                </c:pt>
                <c:pt idx="286">
                  <c:v>42790</c:v>
                </c:pt>
                <c:pt idx="287">
                  <c:v>42793</c:v>
                </c:pt>
                <c:pt idx="288">
                  <c:v>42794</c:v>
                </c:pt>
                <c:pt idx="289">
                  <c:v>42795</c:v>
                </c:pt>
                <c:pt idx="290">
                  <c:v>42796</c:v>
                </c:pt>
                <c:pt idx="291">
                  <c:v>42797</c:v>
                </c:pt>
                <c:pt idx="292">
                  <c:v>42800</c:v>
                </c:pt>
                <c:pt idx="293">
                  <c:v>42801</c:v>
                </c:pt>
                <c:pt idx="294">
                  <c:v>42802</c:v>
                </c:pt>
                <c:pt idx="295">
                  <c:v>42803</c:v>
                </c:pt>
                <c:pt idx="296">
                  <c:v>42804</c:v>
                </c:pt>
                <c:pt idx="297">
                  <c:v>42807</c:v>
                </c:pt>
                <c:pt idx="298">
                  <c:v>42808</c:v>
                </c:pt>
                <c:pt idx="299">
                  <c:v>42809</c:v>
                </c:pt>
                <c:pt idx="300">
                  <c:v>42810</c:v>
                </c:pt>
                <c:pt idx="301">
                  <c:v>42811</c:v>
                </c:pt>
                <c:pt idx="302">
                  <c:v>42814</c:v>
                </c:pt>
                <c:pt idx="303">
                  <c:v>42815</c:v>
                </c:pt>
                <c:pt idx="304">
                  <c:v>42816</c:v>
                </c:pt>
                <c:pt idx="305">
                  <c:v>42817</c:v>
                </c:pt>
                <c:pt idx="306">
                  <c:v>42818</c:v>
                </c:pt>
                <c:pt idx="307">
                  <c:v>42821</c:v>
                </c:pt>
                <c:pt idx="308">
                  <c:v>42822</c:v>
                </c:pt>
                <c:pt idx="309">
                  <c:v>42823</c:v>
                </c:pt>
                <c:pt idx="310">
                  <c:v>42824</c:v>
                </c:pt>
                <c:pt idx="311">
                  <c:v>42825</c:v>
                </c:pt>
                <c:pt idx="312">
                  <c:v>42828</c:v>
                </c:pt>
                <c:pt idx="313">
                  <c:v>42829</c:v>
                </c:pt>
                <c:pt idx="314">
                  <c:v>42830</c:v>
                </c:pt>
                <c:pt idx="315">
                  <c:v>42831</c:v>
                </c:pt>
                <c:pt idx="316">
                  <c:v>42832</c:v>
                </c:pt>
                <c:pt idx="317">
                  <c:v>42835</c:v>
                </c:pt>
                <c:pt idx="318">
                  <c:v>42836</c:v>
                </c:pt>
                <c:pt idx="319">
                  <c:v>42837</c:v>
                </c:pt>
                <c:pt idx="320">
                  <c:v>42838</c:v>
                </c:pt>
                <c:pt idx="321">
                  <c:v>42842</c:v>
                </c:pt>
                <c:pt idx="322">
                  <c:v>42843</c:v>
                </c:pt>
                <c:pt idx="323">
                  <c:v>42844</c:v>
                </c:pt>
                <c:pt idx="324">
                  <c:v>42845</c:v>
                </c:pt>
                <c:pt idx="325">
                  <c:v>42846</c:v>
                </c:pt>
                <c:pt idx="326">
                  <c:v>42849</c:v>
                </c:pt>
                <c:pt idx="327">
                  <c:v>42850</c:v>
                </c:pt>
                <c:pt idx="328">
                  <c:v>42851</c:v>
                </c:pt>
                <c:pt idx="329">
                  <c:v>42852</c:v>
                </c:pt>
                <c:pt idx="330">
                  <c:v>42853</c:v>
                </c:pt>
                <c:pt idx="331">
                  <c:v>42856</c:v>
                </c:pt>
                <c:pt idx="332">
                  <c:v>42857</c:v>
                </c:pt>
                <c:pt idx="333">
                  <c:v>42858</c:v>
                </c:pt>
                <c:pt idx="334">
                  <c:v>42859</c:v>
                </c:pt>
                <c:pt idx="335">
                  <c:v>42860</c:v>
                </c:pt>
                <c:pt idx="336">
                  <c:v>42863</c:v>
                </c:pt>
                <c:pt idx="337">
                  <c:v>42864</c:v>
                </c:pt>
                <c:pt idx="338">
                  <c:v>42865</c:v>
                </c:pt>
                <c:pt idx="339">
                  <c:v>42866</c:v>
                </c:pt>
                <c:pt idx="340">
                  <c:v>42867</c:v>
                </c:pt>
                <c:pt idx="341">
                  <c:v>42870</c:v>
                </c:pt>
                <c:pt idx="342">
                  <c:v>42871</c:v>
                </c:pt>
                <c:pt idx="343">
                  <c:v>42872</c:v>
                </c:pt>
                <c:pt idx="344">
                  <c:v>42873</c:v>
                </c:pt>
                <c:pt idx="345">
                  <c:v>42874</c:v>
                </c:pt>
                <c:pt idx="346">
                  <c:v>42877</c:v>
                </c:pt>
                <c:pt idx="347">
                  <c:v>42878</c:v>
                </c:pt>
                <c:pt idx="348">
                  <c:v>42879</c:v>
                </c:pt>
                <c:pt idx="349">
                  <c:v>42880</c:v>
                </c:pt>
                <c:pt idx="350">
                  <c:v>42881</c:v>
                </c:pt>
                <c:pt idx="351">
                  <c:v>42885</c:v>
                </c:pt>
                <c:pt idx="352">
                  <c:v>42886</c:v>
                </c:pt>
                <c:pt idx="353">
                  <c:v>42887</c:v>
                </c:pt>
                <c:pt idx="354">
                  <c:v>42888</c:v>
                </c:pt>
                <c:pt idx="355">
                  <c:v>42891</c:v>
                </c:pt>
                <c:pt idx="356">
                  <c:v>42892</c:v>
                </c:pt>
                <c:pt idx="357">
                  <c:v>42893</c:v>
                </c:pt>
                <c:pt idx="358">
                  <c:v>42894</c:v>
                </c:pt>
                <c:pt idx="359">
                  <c:v>42895</c:v>
                </c:pt>
                <c:pt idx="360">
                  <c:v>42898</c:v>
                </c:pt>
                <c:pt idx="361">
                  <c:v>42899</c:v>
                </c:pt>
                <c:pt idx="362">
                  <c:v>42900</c:v>
                </c:pt>
                <c:pt idx="363">
                  <c:v>42901</c:v>
                </c:pt>
                <c:pt idx="364">
                  <c:v>42902</c:v>
                </c:pt>
                <c:pt idx="365">
                  <c:v>42905</c:v>
                </c:pt>
                <c:pt idx="366">
                  <c:v>42906</c:v>
                </c:pt>
                <c:pt idx="367">
                  <c:v>42907</c:v>
                </c:pt>
                <c:pt idx="368">
                  <c:v>42908</c:v>
                </c:pt>
                <c:pt idx="369">
                  <c:v>42909</c:v>
                </c:pt>
                <c:pt idx="370">
                  <c:v>42912</c:v>
                </c:pt>
                <c:pt idx="371">
                  <c:v>42913</c:v>
                </c:pt>
                <c:pt idx="372">
                  <c:v>42914</c:v>
                </c:pt>
                <c:pt idx="373">
                  <c:v>42915</c:v>
                </c:pt>
                <c:pt idx="374">
                  <c:v>42916</c:v>
                </c:pt>
                <c:pt idx="375">
                  <c:v>42919</c:v>
                </c:pt>
                <c:pt idx="376">
                  <c:v>42921</c:v>
                </c:pt>
                <c:pt idx="377">
                  <c:v>42922</c:v>
                </c:pt>
                <c:pt idx="378">
                  <c:v>42923</c:v>
                </c:pt>
                <c:pt idx="379">
                  <c:v>42926</c:v>
                </c:pt>
                <c:pt idx="380">
                  <c:v>42927</c:v>
                </c:pt>
                <c:pt idx="381">
                  <c:v>42928</c:v>
                </c:pt>
                <c:pt idx="382">
                  <c:v>42929</c:v>
                </c:pt>
                <c:pt idx="383">
                  <c:v>42930</c:v>
                </c:pt>
                <c:pt idx="384">
                  <c:v>42933</c:v>
                </c:pt>
                <c:pt idx="385">
                  <c:v>42934</c:v>
                </c:pt>
                <c:pt idx="386">
                  <c:v>42935</c:v>
                </c:pt>
                <c:pt idx="387">
                  <c:v>42936</c:v>
                </c:pt>
                <c:pt idx="388">
                  <c:v>42937</c:v>
                </c:pt>
                <c:pt idx="389">
                  <c:v>42940</c:v>
                </c:pt>
                <c:pt idx="390">
                  <c:v>42941</c:v>
                </c:pt>
                <c:pt idx="391">
                  <c:v>42942</c:v>
                </c:pt>
                <c:pt idx="392">
                  <c:v>42943</c:v>
                </c:pt>
                <c:pt idx="393">
                  <c:v>42944</c:v>
                </c:pt>
                <c:pt idx="394">
                  <c:v>42947</c:v>
                </c:pt>
                <c:pt idx="395">
                  <c:v>42948</c:v>
                </c:pt>
                <c:pt idx="396">
                  <c:v>42949</c:v>
                </c:pt>
                <c:pt idx="397">
                  <c:v>42950</c:v>
                </c:pt>
                <c:pt idx="398">
                  <c:v>42951</c:v>
                </c:pt>
                <c:pt idx="399">
                  <c:v>42954</c:v>
                </c:pt>
                <c:pt idx="400">
                  <c:v>42955</c:v>
                </c:pt>
                <c:pt idx="401">
                  <c:v>42956</c:v>
                </c:pt>
                <c:pt idx="402">
                  <c:v>42957</c:v>
                </c:pt>
                <c:pt idx="403">
                  <c:v>42958</c:v>
                </c:pt>
                <c:pt idx="404">
                  <c:v>42961</c:v>
                </c:pt>
                <c:pt idx="405">
                  <c:v>42962</c:v>
                </c:pt>
                <c:pt idx="406">
                  <c:v>42963</c:v>
                </c:pt>
                <c:pt idx="407">
                  <c:v>42964</c:v>
                </c:pt>
                <c:pt idx="408">
                  <c:v>42965</c:v>
                </c:pt>
                <c:pt idx="409">
                  <c:v>42968</c:v>
                </c:pt>
                <c:pt idx="410">
                  <c:v>42969</c:v>
                </c:pt>
                <c:pt idx="411">
                  <c:v>42970</c:v>
                </c:pt>
                <c:pt idx="412">
                  <c:v>42971</c:v>
                </c:pt>
                <c:pt idx="413">
                  <c:v>42972</c:v>
                </c:pt>
                <c:pt idx="414">
                  <c:v>42975</c:v>
                </c:pt>
                <c:pt idx="415">
                  <c:v>42976</c:v>
                </c:pt>
                <c:pt idx="416">
                  <c:v>42977</c:v>
                </c:pt>
                <c:pt idx="417">
                  <c:v>42978</c:v>
                </c:pt>
                <c:pt idx="418">
                  <c:v>42979</c:v>
                </c:pt>
                <c:pt idx="419">
                  <c:v>42983</c:v>
                </c:pt>
                <c:pt idx="420">
                  <c:v>42984</c:v>
                </c:pt>
                <c:pt idx="421">
                  <c:v>42985</c:v>
                </c:pt>
                <c:pt idx="422">
                  <c:v>42986</c:v>
                </c:pt>
                <c:pt idx="423">
                  <c:v>42989</c:v>
                </c:pt>
                <c:pt idx="424">
                  <c:v>42990</c:v>
                </c:pt>
                <c:pt idx="425">
                  <c:v>42991</c:v>
                </c:pt>
                <c:pt idx="426">
                  <c:v>42992</c:v>
                </c:pt>
                <c:pt idx="427">
                  <c:v>42993</c:v>
                </c:pt>
                <c:pt idx="428">
                  <c:v>42996</c:v>
                </c:pt>
                <c:pt idx="429">
                  <c:v>42997</c:v>
                </c:pt>
                <c:pt idx="430">
                  <c:v>42998</c:v>
                </c:pt>
                <c:pt idx="431">
                  <c:v>42999</c:v>
                </c:pt>
                <c:pt idx="432">
                  <c:v>43000</c:v>
                </c:pt>
                <c:pt idx="433">
                  <c:v>43003</c:v>
                </c:pt>
                <c:pt idx="434">
                  <c:v>43004</c:v>
                </c:pt>
                <c:pt idx="435">
                  <c:v>43005</c:v>
                </c:pt>
                <c:pt idx="436">
                  <c:v>43006</c:v>
                </c:pt>
                <c:pt idx="437">
                  <c:v>43007</c:v>
                </c:pt>
                <c:pt idx="438">
                  <c:v>43010</c:v>
                </c:pt>
                <c:pt idx="439">
                  <c:v>43011</c:v>
                </c:pt>
                <c:pt idx="440">
                  <c:v>43012</c:v>
                </c:pt>
                <c:pt idx="441">
                  <c:v>43013</c:v>
                </c:pt>
                <c:pt idx="442">
                  <c:v>43014</c:v>
                </c:pt>
                <c:pt idx="443">
                  <c:v>43018</c:v>
                </c:pt>
                <c:pt idx="444">
                  <c:v>43019</c:v>
                </c:pt>
                <c:pt idx="445">
                  <c:v>43020</c:v>
                </c:pt>
                <c:pt idx="446">
                  <c:v>43021</c:v>
                </c:pt>
                <c:pt idx="447">
                  <c:v>43024</c:v>
                </c:pt>
                <c:pt idx="448">
                  <c:v>43025</c:v>
                </c:pt>
                <c:pt idx="449">
                  <c:v>43026</c:v>
                </c:pt>
                <c:pt idx="450">
                  <c:v>43027</c:v>
                </c:pt>
                <c:pt idx="451">
                  <c:v>43028</c:v>
                </c:pt>
                <c:pt idx="452">
                  <c:v>43031</c:v>
                </c:pt>
                <c:pt idx="453">
                  <c:v>43032</c:v>
                </c:pt>
                <c:pt idx="454">
                  <c:v>43033</c:v>
                </c:pt>
                <c:pt idx="455">
                  <c:v>43034</c:v>
                </c:pt>
                <c:pt idx="456">
                  <c:v>43035</c:v>
                </c:pt>
                <c:pt idx="457">
                  <c:v>43038</c:v>
                </c:pt>
                <c:pt idx="458">
                  <c:v>43039</c:v>
                </c:pt>
                <c:pt idx="459">
                  <c:v>43040</c:v>
                </c:pt>
                <c:pt idx="460">
                  <c:v>43041</c:v>
                </c:pt>
                <c:pt idx="461">
                  <c:v>43042</c:v>
                </c:pt>
                <c:pt idx="462">
                  <c:v>43045</c:v>
                </c:pt>
                <c:pt idx="463">
                  <c:v>43046</c:v>
                </c:pt>
                <c:pt idx="464">
                  <c:v>43047</c:v>
                </c:pt>
                <c:pt idx="465">
                  <c:v>43048</c:v>
                </c:pt>
                <c:pt idx="466">
                  <c:v>43049</c:v>
                </c:pt>
                <c:pt idx="467">
                  <c:v>43052</c:v>
                </c:pt>
                <c:pt idx="468">
                  <c:v>43053</c:v>
                </c:pt>
                <c:pt idx="469">
                  <c:v>43054</c:v>
                </c:pt>
                <c:pt idx="470">
                  <c:v>43055</c:v>
                </c:pt>
                <c:pt idx="471">
                  <c:v>43056</c:v>
                </c:pt>
                <c:pt idx="472">
                  <c:v>43059</c:v>
                </c:pt>
                <c:pt idx="473">
                  <c:v>43060</c:v>
                </c:pt>
                <c:pt idx="474">
                  <c:v>43061</c:v>
                </c:pt>
                <c:pt idx="475">
                  <c:v>43063</c:v>
                </c:pt>
                <c:pt idx="476">
                  <c:v>43066</c:v>
                </c:pt>
                <c:pt idx="477">
                  <c:v>43067</c:v>
                </c:pt>
                <c:pt idx="478">
                  <c:v>43068</c:v>
                </c:pt>
                <c:pt idx="479">
                  <c:v>43069</c:v>
                </c:pt>
                <c:pt idx="480">
                  <c:v>43070</c:v>
                </c:pt>
                <c:pt idx="481">
                  <c:v>43073</c:v>
                </c:pt>
                <c:pt idx="482">
                  <c:v>43074</c:v>
                </c:pt>
                <c:pt idx="483">
                  <c:v>43075</c:v>
                </c:pt>
                <c:pt idx="484">
                  <c:v>43076</c:v>
                </c:pt>
                <c:pt idx="485">
                  <c:v>43077</c:v>
                </c:pt>
                <c:pt idx="486">
                  <c:v>43080</c:v>
                </c:pt>
                <c:pt idx="487">
                  <c:v>43081</c:v>
                </c:pt>
                <c:pt idx="488">
                  <c:v>43082</c:v>
                </c:pt>
                <c:pt idx="489">
                  <c:v>43083</c:v>
                </c:pt>
                <c:pt idx="490">
                  <c:v>43084</c:v>
                </c:pt>
                <c:pt idx="491">
                  <c:v>43087</c:v>
                </c:pt>
                <c:pt idx="492">
                  <c:v>43088</c:v>
                </c:pt>
                <c:pt idx="493">
                  <c:v>43089</c:v>
                </c:pt>
                <c:pt idx="494">
                  <c:v>43090</c:v>
                </c:pt>
                <c:pt idx="495">
                  <c:v>43091</c:v>
                </c:pt>
                <c:pt idx="496">
                  <c:v>43095</c:v>
                </c:pt>
                <c:pt idx="497">
                  <c:v>43096</c:v>
                </c:pt>
                <c:pt idx="498">
                  <c:v>43097</c:v>
                </c:pt>
                <c:pt idx="499">
                  <c:v>43098</c:v>
                </c:pt>
                <c:pt idx="500">
                  <c:v>43102</c:v>
                </c:pt>
                <c:pt idx="501">
                  <c:v>43103</c:v>
                </c:pt>
                <c:pt idx="502">
                  <c:v>43104</c:v>
                </c:pt>
                <c:pt idx="503">
                  <c:v>43105</c:v>
                </c:pt>
                <c:pt idx="504">
                  <c:v>43108</c:v>
                </c:pt>
                <c:pt idx="505">
                  <c:v>43109</c:v>
                </c:pt>
                <c:pt idx="506">
                  <c:v>43110</c:v>
                </c:pt>
                <c:pt idx="507">
                  <c:v>43111</c:v>
                </c:pt>
                <c:pt idx="508">
                  <c:v>43112</c:v>
                </c:pt>
                <c:pt idx="509">
                  <c:v>43116</c:v>
                </c:pt>
                <c:pt idx="510">
                  <c:v>43117</c:v>
                </c:pt>
                <c:pt idx="511">
                  <c:v>43118</c:v>
                </c:pt>
                <c:pt idx="512">
                  <c:v>43119</c:v>
                </c:pt>
                <c:pt idx="513">
                  <c:v>43122</c:v>
                </c:pt>
                <c:pt idx="514">
                  <c:v>43123</c:v>
                </c:pt>
                <c:pt idx="515">
                  <c:v>43124</c:v>
                </c:pt>
                <c:pt idx="516">
                  <c:v>43125</c:v>
                </c:pt>
                <c:pt idx="517">
                  <c:v>43126</c:v>
                </c:pt>
                <c:pt idx="518">
                  <c:v>43129</c:v>
                </c:pt>
                <c:pt idx="519">
                  <c:v>43130</c:v>
                </c:pt>
                <c:pt idx="520">
                  <c:v>43131</c:v>
                </c:pt>
                <c:pt idx="521">
                  <c:v>43132</c:v>
                </c:pt>
                <c:pt idx="522">
                  <c:v>43133</c:v>
                </c:pt>
                <c:pt idx="523">
                  <c:v>43136</c:v>
                </c:pt>
                <c:pt idx="524">
                  <c:v>43137</c:v>
                </c:pt>
                <c:pt idx="525">
                  <c:v>43138</c:v>
                </c:pt>
                <c:pt idx="526">
                  <c:v>43139</c:v>
                </c:pt>
                <c:pt idx="527">
                  <c:v>43140</c:v>
                </c:pt>
                <c:pt idx="528">
                  <c:v>43143</c:v>
                </c:pt>
                <c:pt idx="529">
                  <c:v>43144</c:v>
                </c:pt>
                <c:pt idx="530">
                  <c:v>43145</c:v>
                </c:pt>
                <c:pt idx="531">
                  <c:v>43146</c:v>
                </c:pt>
                <c:pt idx="532">
                  <c:v>43147</c:v>
                </c:pt>
                <c:pt idx="533">
                  <c:v>43151</c:v>
                </c:pt>
                <c:pt idx="534">
                  <c:v>43152</c:v>
                </c:pt>
                <c:pt idx="535">
                  <c:v>43153</c:v>
                </c:pt>
                <c:pt idx="536">
                  <c:v>43154</c:v>
                </c:pt>
                <c:pt idx="537">
                  <c:v>43157</c:v>
                </c:pt>
                <c:pt idx="538">
                  <c:v>43158</c:v>
                </c:pt>
                <c:pt idx="539">
                  <c:v>43159</c:v>
                </c:pt>
                <c:pt idx="540">
                  <c:v>43160</c:v>
                </c:pt>
                <c:pt idx="541">
                  <c:v>43161</c:v>
                </c:pt>
                <c:pt idx="542">
                  <c:v>43164</c:v>
                </c:pt>
                <c:pt idx="543">
                  <c:v>43165</c:v>
                </c:pt>
                <c:pt idx="544">
                  <c:v>43166</c:v>
                </c:pt>
                <c:pt idx="545">
                  <c:v>43167</c:v>
                </c:pt>
                <c:pt idx="546">
                  <c:v>43168</c:v>
                </c:pt>
                <c:pt idx="547">
                  <c:v>43171</c:v>
                </c:pt>
                <c:pt idx="548">
                  <c:v>43172</c:v>
                </c:pt>
                <c:pt idx="549">
                  <c:v>43173</c:v>
                </c:pt>
                <c:pt idx="550">
                  <c:v>43174</c:v>
                </c:pt>
                <c:pt idx="551">
                  <c:v>43175</c:v>
                </c:pt>
                <c:pt idx="552">
                  <c:v>43178</c:v>
                </c:pt>
                <c:pt idx="553">
                  <c:v>43179</c:v>
                </c:pt>
                <c:pt idx="554">
                  <c:v>43180</c:v>
                </c:pt>
                <c:pt idx="555">
                  <c:v>43181</c:v>
                </c:pt>
                <c:pt idx="556">
                  <c:v>43182</c:v>
                </c:pt>
                <c:pt idx="557">
                  <c:v>43185</c:v>
                </c:pt>
                <c:pt idx="558">
                  <c:v>43186</c:v>
                </c:pt>
                <c:pt idx="559">
                  <c:v>43187</c:v>
                </c:pt>
                <c:pt idx="560">
                  <c:v>43188</c:v>
                </c:pt>
                <c:pt idx="561">
                  <c:v>43192</c:v>
                </c:pt>
                <c:pt idx="562">
                  <c:v>43193</c:v>
                </c:pt>
                <c:pt idx="563">
                  <c:v>43194</c:v>
                </c:pt>
                <c:pt idx="564">
                  <c:v>43195</c:v>
                </c:pt>
                <c:pt idx="565">
                  <c:v>43196</c:v>
                </c:pt>
                <c:pt idx="566">
                  <c:v>43199</c:v>
                </c:pt>
                <c:pt idx="567">
                  <c:v>43200</c:v>
                </c:pt>
                <c:pt idx="568">
                  <c:v>43201</c:v>
                </c:pt>
                <c:pt idx="569">
                  <c:v>43202</c:v>
                </c:pt>
                <c:pt idx="570">
                  <c:v>43203</c:v>
                </c:pt>
                <c:pt idx="571">
                  <c:v>43206</c:v>
                </c:pt>
                <c:pt idx="572">
                  <c:v>43207</c:v>
                </c:pt>
                <c:pt idx="573">
                  <c:v>43208</c:v>
                </c:pt>
                <c:pt idx="574">
                  <c:v>43209</c:v>
                </c:pt>
                <c:pt idx="575">
                  <c:v>43210</c:v>
                </c:pt>
                <c:pt idx="576">
                  <c:v>43213</c:v>
                </c:pt>
                <c:pt idx="577">
                  <c:v>43214</c:v>
                </c:pt>
                <c:pt idx="578">
                  <c:v>43215</c:v>
                </c:pt>
                <c:pt idx="579">
                  <c:v>43216</c:v>
                </c:pt>
                <c:pt idx="580">
                  <c:v>43217</c:v>
                </c:pt>
                <c:pt idx="581">
                  <c:v>43220</c:v>
                </c:pt>
                <c:pt idx="582">
                  <c:v>43221</c:v>
                </c:pt>
                <c:pt idx="583">
                  <c:v>43222</c:v>
                </c:pt>
                <c:pt idx="584">
                  <c:v>43223</c:v>
                </c:pt>
                <c:pt idx="585">
                  <c:v>43224</c:v>
                </c:pt>
                <c:pt idx="586">
                  <c:v>43227</c:v>
                </c:pt>
                <c:pt idx="587">
                  <c:v>43228</c:v>
                </c:pt>
                <c:pt idx="588">
                  <c:v>43229</c:v>
                </c:pt>
                <c:pt idx="589">
                  <c:v>43230</c:v>
                </c:pt>
                <c:pt idx="590">
                  <c:v>43231</c:v>
                </c:pt>
                <c:pt idx="591">
                  <c:v>43234</c:v>
                </c:pt>
                <c:pt idx="592">
                  <c:v>43235</c:v>
                </c:pt>
                <c:pt idx="593">
                  <c:v>43236</c:v>
                </c:pt>
                <c:pt idx="594">
                  <c:v>43237</c:v>
                </c:pt>
                <c:pt idx="595">
                  <c:v>43238</c:v>
                </c:pt>
                <c:pt idx="596">
                  <c:v>43241</c:v>
                </c:pt>
                <c:pt idx="597">
                  <c:v>43242</c:v>
                </c:pt>
                <c:pt idx="598">
                  <c:v>43243</c:v>
                </c:pt>
                <c:pt idx="599">
                  <c:v>43244</c:v>
                </c:pt>
                <c:pt idx="600">
                  <c:v>43245</c:v>
                </c:pt>
                <c:pt idx="601">
                  <c:v>43249</c:v>
                </c:pt>
                <c:pt idx="602">
                  <c:v>43250</c:v>
                </c:pt>
                <c:pt idx="603">
                  <c:v>43251</c:v>
                </c:pt>
                <c:pt idx="604">
                  <c:v>43252</c:v>
                </c:pt>
                <c:pt idx="605">
                  <c:v>43255</c:v>
                </c:pt>
                <c:pt idx="606">
                  <c:v>43256</c:v>
                </c:pt>
                <c:pt idx="607">
                  <c:v>43257</c:v>
                </c:pt>
                <c:pt idx="608">
                  <c:v>43258</c:v>
                </c:pt>
                <c:pt idx="609">
                  <c:v>43259</c:v>
                </c:pt>
                <c:pt idx="610">
                  <c:v>43262</c:v>
                </c:pt>
                <c:pt idx="611">
                  <c:v>43263</c:v>
                </c:pt>
                <c:pt idx="612">
                  <c:v>43264</c:v>
                </c:pt>
                <c:pt idx="613">
                  <c:v>43265</c:v>
                </c:pt>
                <c:pt idx="614">
                  <c:v>43266</c:v>
                </c:pt>
                <c:pt idx="615">
                  <c:v>43269</c:v>
                </c:pt>
                <c:pt idx="616">
                  <c:v>43270</c:v>
                </c:pt>
                <c:pt idx="617">
                  <c:v>43271</c:v>
                </c:pt>
                <c:pt idx="618">
                  <c:v>43272</c:v>
                </c:pt>
                <c:pt idx="619">
                  <c:v>43273</c:v>
                </c:pt>
                <c:pt idx="620">
                  <c:v>43276</c:v>
                </c:pt>
                <c:pt idx="621">
                  <c:v>43277</c:v>
                </c:pt>
                <c:pt idx="622">
                  <c:v>43278</c:v>
                </c:pt>
                <c:pt idx="623">
                  <c:v>43279</c:v>
                </c:pt>
                <c:pt idx="624">
                  <c:v>43280</c:v>
                </c:pt>
                <c:pt idx="625">
                  <c:v>43283</c:v>
                </c:pt>
                <c:pt idx="626">
                  <c:v>43284</c:v>
                </c:pt>
                <c:pt idx="627">
                  <c:v>43286</c:v>
                </c:pt>
                <c:pt idx="628">
                  <c:v>43287</c:v>
                </c:pt>
                <c:pt idx="629">
                  <c:v>43290</c:v>
                </c:pt>
                <c:pt idx="630">
                  <c:v>43291</c:v>
                </c:pt>
                <c:pt idx="631">
                  <c:v>43292</c:v>
                </c:pt>
                <c:pt idx="632">
                  <c:v>43293</c:v>
                </c:pt>
                <c:pt idx="633">
                  <c:v>43294</c:v>
                </c:pt>
                <c:pt idx="634">
                  <c:v>43297</c:v>
                </c:pt>
                <c:pt idx="635">
                  <c:v>43298</c:v>
                </c:pt>
                <c:pt idx="636">
                  <c:v>43299</c:v>
                </c:pt>
                <c:pt idx="637">
                  <c:v>43300</c:v>
                </c:pt>
                <c:pt idx="638">
                  <c:v>43301</c:v>
                </c:pt>
                <c:pt idx="639">
                  <c:v>43304</c:v>
                </c:pt>
                <c:pt idx="640">
                  <c:v>43305</c:v>
                </c:pt>
                <c:pt idx="641">
                  <c:v>43306</c:v>
                </c:pt>
                <c:pt idx="642">
                  <c:v>43307</c:v>
                </c:pt>
                <c:pt idx="643">
                  <c:v>43308</c:v>
                </c:pt>
                <c:pt idx="644">
                  <c:v>43311</c:v>
                </c:pt>
                <c:pt idx="645">
                  <c:v>43312</c:v>
                </c:pt>
                <c:pt idx="646">
                  <c:v>43313</c:v>
                </c:pt>
                <c:pt idx="647">
                  <c:v>43314</c:v>
                </c:pt>
                <c:pt idx="648">
                  <c:v>43315</c:v>
                </c:pt>
                <c:pt idx="649">
                  <c:v>43318</c:v>
                </c:pt>
                <c:pt idx="650">
                  <c:v>43319</c:v>
                </c:pt>
                <c:pt idx="651">
                  <c:v>43320</c:v>
                </c:pt>
                <c:pt idx="652">
                  <c:v>43321</c:v>
                </c:pt>
                <c:pt idx="653">
                  <c:v>43322</c:v>
                </c:pt>
                <c:pt idx="654">
                  <c:v>43325</c:v>
                </c:pt>
                <c:pt idx="655">
                  <c:v>43326</c:v>
                </c:pt>
                <c:pt idx="656">
                  <c:v>43327</c:v>
                </c:pt>
                <c:pt idx="657">
                  <c:v>43328</c:v>
                </c:pt>
                <c:pt idx="658">
                  <c:v>43329</c:v>
                </c:pt>
                <c:pt idx="659">
                  <c:v>43332</c:v>
                </c:pt>
                <c:pt idx="660">
                  <c:v>43333</c:v>
                </c:pt>
                <c:pt idx="661">
                  <c:v>43334</c:v>
                </c:pt>
                <c:pt idx="662">
                  <c:v>43335</c:v>
                </c:pt>
                <c:pt idx="663">
                  <c:v>43336</c:v>
                </c:pt>
                <c:pt idx="664">
                  <c:v>43339</c:v>
                </c:pt>
                <c:pt idx="665">
                  <c:v>43340</c:v>
                </c:pt>
                <c:pt idx="666">
                  <c:v>43341</c:v>
                </c:pt>
                <c:pt idx="667">
                  <c:v>43342</c:v>
                </c:pt>
                <c:pt idx="668">
                  <c:v>43343</c:v>
                </c:pt>
                <c:pt idx="669">
                  <c:v>43347</c:v>
                </c:pt>
                <c:pt idx="670">
                  <c:v>43348</c:v>
                </c:pt>
                <c:pt idx="671">
                  <c:v>43349</c:v>
                </c:pt>
                <c:pt idx="672">
                  <c:v>43350</c:v>
                </c:pt>
                <c:pt idx="673">
                  <c:v>43353</c:v>
                </c:pt>
                <c:pt idx="674">
                  <c:v>43354</c:v>
                </c:pt>
                <c:pt idx="675">
                  <c:v>43355</c:v>
                </c:pt>
                <c:pt idx="676">
                  <c:v>43356</c:v>
                </c:pt>
                <c:pt idx="677">
                  <c:v>43357</c:v>
                </c:pt>
                <c:pt idx="678">
                  <c:v>43360</c:v>
                </c:pt>
                <c:pt idx="679">
                  <c:v>43361</c:v>
                </c:pt>
                <c:pt idx="680">
                  <c:v>43362</c:v>
                </c:pt>
                <c:pt idx="681">
                  <c:v>43363</c:v>
                </c:pt>
                <c:pt idx="682">
                  <c:v>43364</c:v>
                </c:pt>
                <c:pt idx="683">
                  <c:v>43367</c:v>
                </c:pt>
                <c:pt idx="684">
                  <c:v>43368</c:v>
                </c:pt>
                <c:pt idx="685">
                  <c:v>43369</c:v>
                </c:pt>
                <c:pt idx="686">
                  <c:v>43370</c:v>
                </c:pt>
                <c:pt idx="687">
                  <c:v>43371</c:v>
                </c:pt>
                <c:pt idx="688">
                  <c:v>43374</c:v>
                </c:pt>
                <c:pt idx="689">
                  <c:v>43375</c:v>
                </c:pt>
                <c:pt idx="690">
                  <c:v>43376</c:v>
                </c:pt>
                <c:pt idx="691">
                  <c:v>43377</c:v>
                </c:pt>
                <c:pt idx="692">
                  <c:v>43378</c:v>
                </c:pt>
                <c:pt idx="693">
                  <c:v>43382</c:v>
                </c:pt>
                <c:pt idx="694">
                  <c:v>43383</c:v>
                </c:pt>
                <c:pt idx="695">
                  <c:v>43384</c:v>
                </c:pt>
                <c:pt idx="696">
                  <c:v>43385</c:v>
                </c:pt>
                <c:pt idx="697">
                  <c:v>43388</c:v>
                </c:pt>
                <c:pt idx="698">
                  <c:v>43389</c:v>
                </c:pt>
                <c:pt idx="699">
                  <c:v>43390</c:v>
                </c:pt>
                <c:pt idx="700">
                  <c:v>43391</c:v>
                </c:pt>
                <c:pt idx="701">
                  <c:v>43392</c:v>
                </c:pt>
                <c:pt idx="702">
                  <c:v>43395</c:v>
                </c:pt>
                <c:pt idx="703">
                  <c:v>43396</c:v>
                </c:pt>
                <c:pt idx="704">
                  <c:v>43397</c:v>
                </c:pt>
                <c:pt idx="705">
                  <c:v>43398</c:v>
                </c:pt>
                <c:pt idx="706">
                  <c:v>43399</c:v>
                </c:pt>
                <c:pt idx="707">
                  <c:v>43402</c:v>
                </c:pt>
                <c:pt idx="708">
                  <c:v>43403</c:v>
                </c:pt>
                <c:pt idx="709">
                  <c:v>43404</c:v>
                </c:pt>
                <c:pt idx="710">
                  <c:v>43405</c:v>
                </c:pt>
                <c:pt idx="711">
                  <c:v>43406</c:v>
                </c:pt>
                <c:pt idx="712">
                  <c:v>43409</c:v>
                </c:pt>
                <c:pt idx="713">
                  <c:v>43410</c:v>
                </c:pt>
                <c:pt idx="714">
                  <c:v>43411</c:v>
                </c:pt>
                <c:pt idx="715">
                  <c:v>43412</c:v>
                </c:pt>
                <c:pt idx="716">
                  <c:v>43413</c:v>
                </c:pt>
                <c:pt idx="717">
                  <c:v>43417</c:v>
                </c:pt>
                <c:pt idx="718">
                  <c:v>43418</c:v>
                </c:pt>
                <c:pt idx="719">
                  <c:v>43419</c:v>
                </c:pt>
                <c:pt idx="720">
                  <c:v>43420</c:v>
                </c:pt>
                <c:pt idx="721">
                  <c:v>43423</c:v>
                </c:pt>
                <c:pt idx="722">
                  <c:v>43424</c:v>
                </c:pt>
                <c:pt idx="723">
                  <c:v>43425</c:v>
                </c:pt>
                <c:pt idx="724">
                  <c:v>43427</c:v>
                </c:pt>
                <c:pt idx="725">
                  <c:v>43430</c:v>
                </c:pt>
                <c:pt idx="726">
                  <c:v>43431</c:v>
                </c:pt>
                <c:pt idx="727">
                  <c:v>43432</c:v>
                </c:pt>
                <c:pt idx="728">
                  <c:v>43433</c:v>
                </c:pt>
                <c:pt idx="729">
                  <c:v>43434</c:v>
                </c:pt>
                <c:pt idx="730">
                  <c:v>43437</c:v>
                </c:pt>
                <c:pt idx="731">
                  <c:v>43438</c:v>
                </c:pt>
                <c:pt idx="732">
                  <c:v>43440</c:v>
                </c:pt>
                <c:pt idx="733">
                  <c:v>43441</c:v>
                </c:pt>
                <c:pt idx="734">
                  <c:v>43444</c:v>
                </c:pt>
                <c:pt idx="735">
                  <c:v>43445</c:v>
                </c:pt>
                <c:pt idx="736">
                  <c:v>43446</c:v>
                </c:pt>
                <c:pt idx="737">
                  <c:v>43447</c:v>
                </c:pt>
                <c:pt idx="738">
                  <c:v>43448</c:v>
                </c:pt>
                <c:pt idx="739">
                  <c:v>43451</c:v>
                </c:pt>
                <c:pt idx="740">
                  <c:v>43452</c:v>
                </c:pt>
                <c:pt idx="741">
                  <c:v>43453</c:v>
                </c:pt>
                <c:pt idx="742">
                  <c:v>43454</c:v>
                </c:pt>
                <c:pt idx="743">
                  <c:v>43455</c:v>
                </c:pt>
                <c:pt idx="744">
                  <c:v>43458</c:v>
                </c:pt>
                <c:pt idx="745">
                  <c:v>43460</c:v>
                </c:pt>
                <c:pt idx="746">
                  <c:v>43461</c:v>
                </c:pt>
                <c:pt idx="747">
                  <c:v>43462</c:v>
                </c:pt>
                <c:pt idx="748">
                  <c:v>43465</c:v>
                </c:pt>
                <c:pt idx="749">
                  <c:v>43467</c:v>
                </c:pt>
                <c:pt idx="750">
                  <c:v>43468</c:v>
                </c:pt>
                <c:pt idx="751">
                  <c:v>43469</c:v>
                </c:pt>
                <c:pt idx="752">
                  <c:v>43472</c:v>
                </c:pt>
                <c:pt idx="753">
                  <c:v>43473</c:v>
                </c:pt>
                <c:pt idx="754">
                  <c:v>43474</c:v>
                </c:pt>
                <c:pt idx="755">
                  <c:v>43475</c:v>
                </c:pt>
                <c:pt idx="756">
                  <c:v>43476</c:v>
                </c:pt>
                <c:pt idx="757">
                  <c:v>43479</c:v>
                </c:pt>
                <c:pt idx="758">
                  <c:v>43480</c:v>
                </c:pt>
                <c:pt idx="759">
                  <c:v>43481</c:v>
                </c:pt>
                <c:pt idx="760">
                  <c:v>43482</c:v>
                </c:pt>
                <c:pt idx="761">
                  <c:v>43483</c:v>
                </c:pt>
                <c:pt idx="762">
                  <c:v>43487</c:v>
                </c:pt>
                <c:pt idx="763">
                  <c:v>43488</c:v>
                </c:pt>
                <c:pt idx="764">
                  <c:v>43489</c:v>
                </c:pt>
                <c:pt idx="765">
                  <c:v>43490</c:v>
                </c:pt>
                <c:pt idx="766">
                  <c:v>43493</c:v>
                </c:pt>
                <c:pt idx="767">
                  <c:v>43494</c:v>
                </c:pt>
                <c:pt idx="768">
                  <c:v>43495</c:v>
                </c:pt>
                <c:pt idx="769">
                  <c:v>43496</c:v>
                </c:pt>
                <c:pt idx="770">
                  <c:v>43497</c:v>
                </c:pt>
                <c:pt idx="771">
                  <c:v>43500</c:v>
                </c:pt>
                <c:pt idx="772">
                  <c:v>43501</c:v>
                </c:pt>
                <c:pt idx="773">
                  <c:v>43502</c:v>
                </c:pt>
                <c:pt idx="774">
                  <c:v>43503</c:v>
                </c:pt>
                <c:pt idx="775">
                  <c:v>43504</c:v>
                </c:pt>
                <c:pt idx="776">
                  <c:v>43507</c:v>
                </c:pt>
                <c:pt idx="777">
                  <c:v>43508</c:v>
                </c:pt>
                <c:pt idx="778">
                  <c:v>43509</c:v>
                </c:pt>
                <c:pt idx="779">
                  <c:v>43510</c:v>
                </c:pt>
                <c:pt idx="780">
                  <c:v>43511</c:v>
                </c:pt>
                <c:pt idx="781">
                  <c:v>43515</c:v>
                </c:pt>
                <c:pt idx="782">
                  <c:v>43516</c:v>
                </c:pt>
                <c:pt idx="783">
                  <c:v>43517</c:v>
                </c:pt>
                <c:pt idx="784">
                  <c:v>43518</c:v>
                </c:pt>
                <c:pt idx="785">
                  <c:v>43521</c:v>
                </c:pt>
                <c:pt idx="786">
                  <c:v>43522</c:v>
                </c:pt>
                <c:pt idx="787">
                  <c:v>43523</c:v>
                </c:pt>
                <c:pt idx="788">
                  <c:v>43524</c:v>
                </c:pt>
                <c:pt idx="789">
                  <c:v>43525</c:v>
                </c:pt>
                <c:pt idx="790">
                  <c:v>43528</c:v>
                </c:pt>
                <c:pt idx="791">
                  <c:v>43529</c:v>
                </c:pt>
                <c:pt idx="792">
                  <c:v>43530</c:v>
                </c:pt>
                <c:pt idx="793">
                  <c:v>43531</c:v>
                </c:pt>
                <c:pt idx="794">
                  <c:v>43532</c:v>
                </c:pt>
                <c:pt idx="795">
                  <c:v>43535</c:v>
                </c:pt>
                <c:pt idx="796">
                  <c:v>43536</c:v>
                </c:pt>
                <c:pt idx="797">
                  <c:v>43537</c:v>
                </c:pt>
                <c:pt idx="798">
                  <c:v>43538</c:v>
                </c:pt>
                <c:pt idx="799">
                  <c:v>43539</c:v>
                </c:pt>
                <c:pt idx="800">
                  <c:v>43542</c:v>
                </c:pt>
                <c:pt idx="801">
                  <c:v>43543</c:v>
                </c:pt>
                <c:pt idx="802">
                  <c:v>43544</c:v>
                </c:pt>
                <c:pt idx="803">
                  <c:v>43545</c:v>
                </c:pt>
                <c:pt idx="804">
                  <c:v>43546</c:v>
                </c:pt>
                <c:pt idx="805">
                  <c:v>43549</c:v>
                </c:pt>
                <c:pt idx="806">
                  <c:v>43550</c:v>
                </c:pt>
                <c:pt idx="807">
                  <c:v>43551</c:v>
                </c:pt>
                <c:pt idx="808">
                  <c:v>43552</c:v>
                </c:pt>
                <c:pt idx="809">
                  <c:v>43553</c:v>
                </c:pt>
                <c:pt idx="810">
                  <c:v>43556</c:v>
                </c:pt>
                <c:pt idx="811">
                  <c:v>43557</c:v>
                </c:pt>
                <c:pt idx="812">
                  <c:v>43558</c:v>
                </c:pt>
                <c:pt idx="813">
                  <c:v>43559</c:v>
                </c:pt>
                <c:pt idx="814">
                  <c:v>43560</c:v>
                </c:pt>
                <c:pt idx="815">
                  <c:v>43563</c:v>
                </c:pt>
                <c:pt idx="816">
                  <c:v>43564</c:v>
                </c:pt>
                <c:pt idx="817">
                  <c:v>43565</c:v>
                </c:pt>
                <c:pt idx="818">
                  <c:v>43566</c:v>
                </c:pt>
                <c:pt idx="819">
                  <c:v>43567</c:v>
                </c:pt>
                <c:pt idx="820">
                  <c:v>43570</c:v>
                </c:pt>
                <c:pt idx="821">
                  <c:v>43571</c:v>
                </c:pt>
                <c:pt idx="822">
                  <c:v>43572</c:v>
                </c:pt>
                <c:pt idx="823">
                  <c:v>43573</c:v>
                </c:pt>
                <c:pt idx="824">
                  <c:v>43577</c:v>
                </c:pt>
                <c:pt idx="825">
                  <c:v>43578</c:v>
                </c:pt>
                <c:pt idx="826">
                  <c:v>43579</c:v>
                </c:pt>
                <c:pt idx="827">
                  <c:v>43580</c:v>
                </c:pt>
                <c:pt idx="828">
                  <c:v>43581</c:v>
                </c:pt>
                <c:pt idx="829">
                  <c:v>43584</c:v>
                </c:pt>
                <c:pt idx="830">
                  <c:v>43585</c:v>
                </c:pt>
                <c:pt idx="831">
                  <c:v>43586</c:v>
                </c:pt>
                <c:pt idx="832">
                  <c:v>43587</c:v>
                </c:pt>
                <c:pt idx="833">
                  <c:v>43588</c:v>
                </c:pt>
                <c:pt idx="834">
                  <c:v>43591</c:v>
                </c:pt>
                <c:pt idx="835">
                  <c:v>43592</c:v>
                </c:pt>
                <c:pt idx="836">
                  <c:v>43593</c:v>
                </c:pt>
                <c:pt idx="837">
                  <c:v>43594</c:v>
                </c:pt>
                <c:pt idx="838">
                  <c:v>43595</c:v>
                </c:pt>
                <c:pt idx="839">
                  <c:v>43598</c:v>
                </c:pt>
                <c:pt idx="840">
                  <c:v>43599</c:v>
                </c:pt>
                <c:pt idx="841">
                  <c:v>43600</c:v>
                </c:pt>
                <c:pt idx="842">
                  <c:v>43601</c:v>
                </c:pt>
                <c:pt idx="843">
                  <c:v>43602</c:v>
                </c:pt>
                <c:pt idx="844">
                  <c:v>43605</c:v>
                </c:pt>
                <c:pt idx="845">
                  <c:v>43606</c:v>
                </c:pt>
                <c:pt idx="846">
                  <c:v>43607</c:v>
                </c:pt>
                <c:pt idx="847">
                  <c:v>43608</c:v>
                </c:pt>
                <c:pt idx="848">
                  <c:v>43609</c:v>
                </c:pt>
                <c:pt idx="849">
                  <c:v>43613</c:v>
                </c:pt>
                <c:pt idx="850">
                  <c:v>43614</c:v>
                </c:pt>
                <c:pt idx="851">
                  <c:v>43615</c:v>
                </c:pt>
                <c:pt idx="852">
                  <c:v>43616</c:v>
                </c:pt>
                <c:pt idx="853">
                  <c:v>43619</c:v>
                </c:pt>
                <c:pt idx="854">
                  <c:v>43620</c:v>
                </c:pt>
                <c:pt idx="855">
                  <c:v>43621</c:v>
                </c:pt>
                <c:pt idx="856">
                  <c:v>43622</c:v>
                </c:pt>
                <c:pt idx="857">
                  <c:v>43623</c:v>
                </c:pt>
                <c:pt idx="858">
                  <c:v>43626</c:v>
                </c:pt>
                <c:pt idx="859">
                  <c:v>43627</c:v>
                </c:pt>
                <c:pt idx="860">
                  <c:v>43628</c:v>
                </c:pt>
                <c:pt idx="861">
                  <c:v>43629</c:v>
                </c:pt>
                <c:pt idx="862">
                  <c:v>43630</c:v>
                </c:pt>
                <c:pt idx="863">
                  <c:v>43633</c:v>
                </c:pt>
                <c:pt idx="864">
                  <c:v>43634</c:v>
                </c:pt>
                <c:pt idx="865">
                  <c:v>43635</c:v>
                </c:pt>
                <c:pt idx="866">
                  <c:v>43636</c:v>
                </c:pt>
                <c:pt idx="867">
                  <c:v>43637</c:v>
                </c:pt>
                <c:pt idx="868">
                  <c:v>43640</c:v>
                </c:pt>
                <c:pt idx="869">
                  <c:v>43641</c:v>
                </c:pt>
                <c:pt idx="870">
                  <c:v>43642</c:v>
                </c:pt>
                <c:pt idx="871">
                  <c:v>43643</c:v>
                </c:pt>
                <c:pt idx="872">
                  <c:v>43644</c:v>
                </c:pt>
                <c:pt idx="873">
                  <c:v>43647</c:v>
                </c:pt>
                <c:pt idx="874">
                  <c:v>43648</c:v>
                </c:pt>
                <c:pt idx="875">
                  <c:v>43649</c:v>
                </c:pt>
                <c:pt idx="876">
                  <c:v>43651</c:v>
                </c:pt>
                <c:pt idx="877">
                  <c:v>43654</c:v>
                </c:pt>
                <c:pt idx="878">
                  <c:v>43655</c:v>
                </c:pt>
                <c:pt idx="879">
                  <c:v>43656</c:v>
                </c:pt>
                <c:pt idx="880">
                  <c:v>43657</c:v>
                </c:pt>
                <c:pt idx="881">
                  <c:v>43658</c:v>
                </c:pt>
                <c:pt idx="882">
                  <c:v>43661</c:v>
                </c:pt>
                <c:pt idx="883">
                  <c:v>43662</c:v>
                </c:pt>
                <c:pt idx="884">
                  <c:v>43663</c:v>
                </c:pt>
                <c:pt idx="885">
                  <c:v>43664</c:v>
                </c:pt>
                <c:pt idx="886">
                  <c:v>43665</c:v>
                </c:pt>
                <c:pt idx="887">
                  <c:v>43668</c:v>
                </c:pt>
                <c:pt idx="888">
                  <c:v>43669</c:v>
                </c:pt>
                <c:pt idx="889">
                  <c:v>43670</c:v>
                </c:pt>
                <c:pt idx="890">
                  <c:v>43671</c:v>
                </c:pt>
                <c:pt idx="891">
                  <c:v>43672</c:v>
                </c:pt>
                <c:pt idx="892">
                  <c:v>43675</c:v>
                </c:pt>
                <c:pt idx="893">
                  <c:v>43676</c:v>
                </c:pt>
                <c:pt idx="894">
                  <c:v>43677</c:v>
                </c:pt>
                <c:pt idx="895">
                  <c:v>43678</c:v>
                </c:pt>
                <c:pt idx="896">
                  <c:v>43679</c:v>
                </c:pt>
                <c:pt idx="897">
                  <c:v>43682</c:v>
                </c:pt>
                <c:pt idx="898">
                  <c:v>43683</c:v>
                </c:pt>
                <c:pt idx="899">
                  <c:v>43684</c:v>
                </c:pt>
                <c:pt idx="900">
                  <c:v>43685</c:v>
                </c:pt>
                <c:pt idx="901">
                  <c:v>43686</c:v>
                </c:pt>
                <c:pt idx="902">
                  <c:v>43689</c:v>
                </c:pt>
                <c:pt idx="903">
                  <c:v>43690</c:v>
                </c:pt>
                <c:pt idx="904">
                  <c:v>43691</c:v>
                </c:pt>
                <c:pt idx="905">
                  <c:v>43692</c:v>
                </c:pt>
                <c:pt idx="906">
                  <c:v>43693</c:v>
                </c:pt>
                <c:pt idx="907">
                  <c:v>43696</c:v>
                </c:pt>
                <c:pt idx="908">
                  <c:v>43697</c:v>
                </c:pt>
                <c:pt idx="909">
                  <c:v>43698</c:v>
                </c:pt>
                <c:pt idx="910">
                  <c:v>43699</c:v>
                </c:pt>
                <c:pt idx="911">
                  <c:v>43700</c:v>
                </c:pt>
                <c:pt idx="912">
                  <c:v>43703</c:v>
                </c:pt>
                <c:pt idx="913">
                  <c:v>43704</c:v>
                </c:pt>
                <c:pt idx="914">
                  <c:v>43705</c:v>
                </c:pt>
                <c:pt idx="915">
                  <c:v>43706</c:v>
                </c:pt>
                <c:pt idx="916">
                  <c:v>43707</c:v>
                </c:pt>
                <c:pt idx="917">
                  <c:v>43711</c:v>
                </c:pt>
                <c:pt idx="918">
                  <c:v>43712</c:v>
                </c:pt>
                <c:pt idx="919">
                  <c:v>43713</c:v>
                </c:pt>
                <c:pt idx="920">
                  <c:v>43714</c:v>
                </c:pt>
                <c:pt idx="921">
                  <c:v>43717</c:v>
                </c:pt>
                <c:pt idx="922">
                  <c:v>43718</c:v>
                </c:pt>
                <c:pt idx="923">
                  <c:v>43719</c:v>
                </c:pt>
                <c:pt idx="924">
                  <c:v>43720</c:v>
                </c:pt>
                <c:pt idx="925">
                  <c:v>43721</c:v>
                </c:pt>
                <c:pt idx="926">
                  <c:v>43724</c:v>
                </c:pt>
                <c:pt idx="927">
                  <c:v>43725</c:v>
                </c:pt>
                <c:pt idx="928">
                  <c:v>43726</c:v>
                </c:pt>
                <c:pt idx="929">
                  <c:v>43727</c:v>
                </c:pt>
                <c:pt idx="930">
                  <c:v>43728</c:v>
                </c:pt>
                <c:pt idx="931">
                  <c:v>43731</c:v>
                </c:pt>
                <c:pt idx="932">
                  <c:v>43732</c:v>
                </c:pt>
                <c:pt idx="933">
                  <c:v>43733</c:v>
                </c:pt>
                <c:pt idx="934">
                  <c:v>43734</c:v>
                </c:pt>
                <c:pt idx="935">
                  <c:v>43735</c:v>
                </c:pt>
                <c:pt idx="936">
                  <c:v>43738</c:v>
                </c:pt>
                <c:pt idx="937">
                  <c:v>43739</c:v>
                </c:pt>
                <c:pt idx="938">
                  <c:v>43740</c:v>
                </c:pt>
                <c:pt idx="939">
                  <c:v>43741</c:v>
                </c:pt>
                <c:pt idx="940">
                  <c:v>43742</c:v>
                </c:pt>
                <c:pt idx="941">
                  <c:v>43745</c:v>
                </c:pt>
                <c:pt idx="942">
                  <c:v>43746</c:v>
                </c:pt>
                <c:pt idx="943">
                  <c:v>43747</c:v>
                </c:pt>
                <c:pt idx="944">
                  <c:v>43748</c:v>
                </c:pt>
                <c:pt idx="945">
                  <c:v>43749</c:v>
                </c:pt>
                <c:pt idx="946">
                  <c:v>43753</c:v>
                </c:pt>
                <c:pt idx="947">
                  <c:v>43754</c:v>
                </c:pt>
                <c:pt idx="948">
                  <c:v>43755</c:v>
                </c:pt>
                <c:pt idx="949">
                  <c:v>43756</c:v>
                </c:pt>
                <c:pt idx="950">
                  <c:v>43759</c:v>
                </c:pt>
                <c:pt idx="951">
                  <c:v>43760</c:v>
                </c:pt>
                <c:pt idx="952">
                  <c:v>43761</c:v>
                </c:pt>
                <c:pt idx="953">
                  <c:v>43762</c:v>
                </c:pt>
                <c:pt idx="954">
                  <c:v>43763</c:v>
                </c:pt>
                <c:pt idx="955">
                  <c:v>43766</c:v>
                </c:pt>
                <c:pt idx="956">
                  <c:v>43767</c:v>
                </c:pt>
                <c:pt idx="957">
                  <c:v>43768</c:v>
                </c:pt>
                <c:pt idx="958">
                  <c:v>43769</c:v>
                </c:pt>
                <c:pt idx="959">
                  <c:v>43770</c:v>
                </c:pt>
                <c:pt idx="960">
                  <c:v>43773</c:v>
                </c:pt>
                <c:pt idx="961">
                  <c:v>43774</c:v>
                </c:pt>
                <c:pt idx="962">
                  <c:v>43775</c:v>
                </c:pt>
                <c:pt idx="963">
                  <c:v>43776</c:v>
                </c:pt>
                <c:pt idx="964">
                  <c:v>43777</c:v>
                </c:pt>
                <c:pt idx="965">
                  <c:v>43781</c:v>
                </c:pt>
                <c:pt idx="966">
                  <c:v>43782</c:v>
                </c:pt>
                <c:pt idx="967">
                  <c:v>43783</c:v>
                </c:pt>
                <c:pt idx="968">
                  <c:v>43784</c:v>
                </c:pt>
                <c:pt idx="969">
                  <c:v>43787</c:v>
                </c:pt>
                <c:pt idx="970">
                  <c:v>43788</c:v>
                </c:pt>
                <c:pt idx="971">
                  <c:v>43789</c:v>
                </c:pt>
                <c:pt idx="972">
                  <c:v>43790</c:v>
                </c:pt>
                <c:pt idx="973">
                  <c:v>43791</c:v>
                </c:pt>
                <c:pt idx="974">
                  <c:v>43794</c:v>
                </c:pt>
                <c:pt idx="975">
                  <c:v>43795</c:v>
                </c:pt>
                <c:pt idx="976">
                  <c:v>43796</c:v>
                </c:pt>
                <c:pt idx="977">
                  <c:v>43798</c:v>
                </c:pt>
                <c:pt idx="978">
                  <c:v>43801</c:v>
                </c:pt>
                <c:pt idx="979">
                  <c:v>43802</c:v>
                </c:pt>
                <c:pt idx="980">
                  <c:v>43803</c:v>
                </c:pt>
                <c:pt idx="981">
                  <c:v>43804</c:v>
                </c:pt>
                <c:pt idx="982">
                  <c:v>43805</c:v>
                </c:pt>
                <c:pt idx="983">
                  <c:v>43808</c:v>
                </c:pt>
                <c:pt idx="984">
                  <c:v>43809</c:v>
                </c:pt>
                <c:pt idx="985">
                  <c:v>43810</c:v>
                </c:pt>
                <c:pt idx="986">
                  <c:v>43811</c:v>
                </c:pt>
                <c:pt idx="987">
                  <c:v>43812</c:v>
                </c:pt>
                <c:pt idx="988">
                  <c:v>43815</c:v>
                </c:pt>
                <c:pt idx="989">
                  <c:v>43816</c:v>
                </c:pt>
                <c:pt idx="990">
                  <c:v>43817</c:v>
                </c:pt>
                <c:pt idx="991">
                  <c:v>43818</c:v>
                </c:pt>
                <c:pt idx="992">
                  <c:v>43819</c:v>
                </c:pt>
                <c:pt idx="993">
                  <c:v>43822</c:v>
                </c:pt>
                <c:pt idx="994">
                  <c:v>43823</c:v>
                </c:pt>
                <c:pt idx="995">
                  <c:v>43825</c:v>
                </c:pt>
                <c:pt idx="996">
                  <c:v>43826</c:v>
                </c:pt>
                <c:pt idx="997">
                  <c:v>43829</c:v>
                </c:pt>
                <c:pt idx="998">
                  <c:v>43830</c:v>
                </c:pt>
                <c:pt idx="999">
                  <c:v>43832</c:v>
                </c:pt>
                <c:pt idx="1000">
                  <c:v>43833</c:v>
                </c:pt>
                <c:pt idx="1001">
                  <c:v>43836</c:v>
                </c:pt>
                <c:pt idx="1002">
                  <c:v>43837</c:v>
                </c:pt>
                <c:pt idx="1003">
                  <c:v>43838</c:v>
                </c:pt>
                <c:pt idx="1004">
                  <c:v>43839</c:v>
                </c:pt>
                <c:pt idx="1005">
                  <c:v>43840</c:v>
                </c:pt>
                <c:pt idx="1006">
                  <c:v>43843</c:v>
                </c:pt>
                <c:pt idx="1007">
                  <c:v>43844</c:v>
                </c:pt>
                <c:pt idx="1008">
                  <c:v>43845</c:v>
                </c:pt>
                <c:pt idx="1009">
                  <c:v>43846</c:v>
                </c:pt>
                <c:pt idx="1010">
                  <c:v>43847</c:v>
                </c:pt>
                <c:pt idx="1011">
                  <c:v>43851</c:v>
                </c:pt>
                <c:pt idx="1012">
                  <c:v>43852</c:v>
                </c:pt>
                <c:pt idx="1013">
                  <c:v>43853</c:v>
                </c:pt>
                <c:pt idx="1014">
                  <c:v>43854</c:v>
                </c:pt>
                <c:pt idx="1015">
                  <c:v>43857</c:v>
                </c:pt>
                <c:pt idx="1016">
                  <c:v>43858</c:v>
                </c:pt>
                <c:pt idx="1017">
                  <c:v>43859</c:v>
                </c:pt>
                <c:pt idx="1018">
                  <c:v>43860</c:v>
                </c:pt>
                <c:pt idx="1019">
                  <c:v>43861</c:v>
                </c:pt>
                <c:pt idx="1020">
                  <c:v>43864</c:v>
                </c:pt>
                <c:pt idx="1021">
                  <c:v>43865</c:v>
                </c:pt>
                <c:pt idx="1022">
                  <c:v>43866</c:v>
                </c:pt>
                <c:pt idx="1023">
                  <c:v>43867</c:v>
                </c:pt>
                <c:pt idx="1024">
                  <c:v>43868</c:v>
                </c:pt>
                <c:pt idx="1025">
                  <c:v>43871</c:v>
                </c:pt>
                <c:pt idx="1026">
                  <c:v>43872</c:v>
                </c:pt>
                <c:pt idx="1027">
                  <c:v>43873</c:v>
                </c:pt>
                <c:pt idx="1028">
                  <c:v>43874</c:v>
                </c:pt>
                <c:pt idx="1029">
                  <c:v>43875</c:v>
                </c:pt>
                <c:pt idx="1030">
                  <c:v>43879</c:v>
                </c:pt>
                <c:pt idx="1031">
                  <c:v>43880</c:v>
                </c:pt>
                <c:pt idx="1032">
                  <c:v>43881</c:v>
                </c:pt>
                <c:pt idx="1033">
                  <c:v>43882</c:v>
                </c:pt>
                <c:pt idx="1034">
                  <c:v>43885</c:v>
                </c:pt>
                <c:pt idx="1035">
                  <c:v>43886</c:v>
                </c:pt>
                <c:pt idx="1036">
                  <c:v>43887</c:v>
                </c:pt>
                <c:pt idx="1037">
                  <c:v>43888</c:v>
                </c:pt>
                <c:pt idx="1038">
                  <c:v>43889</c:v>
                </c:pt>
                <c:pt idx="1039">
                  <c:v>43892</c:v>
                </c:pt>
                <c:pt idx="1040">
                  <c:v>43893</c:v>
                </c:pt>
                <c:pt idx="1041">
                  <c:v>43894</c:v>
                </c:pt>
                <c:pt idx="1042">
                  <c:v>43895</c:v>
                </c:pt>
                <c:pt idx="1043">
                  <c:v>43896</c:v>
                </c:pt>
                <c:pt idx="1044">
                  <c:v>43899</c:v>
                </c:pt>
                <c:pt idx="1045">
                  <c:v>43900</c:v>
                </c:pt>
                <c:pt idx="1046">
                  <c:v>43901</c:v>
                </c:pt>
                <c:pt idx="1047">
                  <c:v>43902</c:v>
                </c:pt>
                <c:pt idx="1048">
                  <c:v>43903</c:v>
                </c:pt>
                <c:pt idx="1049">
                  <c:v>43906</c:v>
                </c:pt>
                <c:pt idx="1050">
                  <c:v>43907</c:v>
                </c:pt>
                <c:pt idx="1051">
                  <c:v>43908</c:v>
                </c:pt>
                <c:pt idx="1052">
                  <c:v>43909</c:v>
                </c:pt>
                <c:pt idx="1053">
                  <c:v>43910</c:v>
                </c:pt>
                <c:pt idx="1054">
                  <c:v>43913</c:v>
                </c:pt>
                <c:pt idx="1055">
                  <c:v>43914</c:v>
                </c:pt>
                <c:pt idx="1056">
                  <c:v>43915</c:v>
                </c:pt>
                <c:pt idx="1057">
                  <c:v>43916</c:v>
                </c:pt>
                <c:pt idx="1058">
                  <c:v>43917</c:v>
                </c:pt>
                <c:pt idx="1059">
                  <c:v>43920</c:v>
                </c:pt>
                <c:pt idx="1060">
                  <c:v>43921</c:v>
                </c:pt>
                <c:pt idx="1061">
                  <c:v>43922</c:v>
                </c:pt>
                <c:pt idx="1062">
                  <c:v>43923</c:v>
                </c:pt>
                <c:pt idx="1063">
                  <c:v>43924</c:v>
                </c:pt>
                <c:pt idx="1064">
                  <c:v>43927</c:v>
                </c:pt>
                <c:pt idx="1065">
                  <c:v>43928</c:v>
                </c:pt>
                <c:pt idx="1066">
                  <c:v>43929</c:v>
                </c:pt>
                <c:pt idx="1067">
                  <c:v>43930</c:v>
                </c:pt>
                <c:pt idx="1068">
                  <c:v>43934</c:v>
                </c:pt>
                <c:pt idx="1069">
                  <c:v>43935</c:v>
                </c:pt>
                <c:pt idx="1070">
                  <c:v>43936</c:v>
                </c:pt>
                <c:pt idx="1071">
                  <c:v>43937</c:v>
                </c:pt>
                <c:pt idx="1072">
                  <c:v>43938</c:v>
                </c:pt>
                <c:pt idx="1073">
                  <c:v>43941</c:v>
                </c:pt>
                <c:pt idx="1074">
                  <c:v>43942</c:v>
                </c:pt>
                <c:pt idx="1075">
                  <c:v>43943</c:v>
                </c:pt>
                <c:pt idx="1076">
                  <c:v>43944</c:v>
                </c:pt>
                <c:pt idx="1077">
                  <c:v>43945</c:v>
                </c:pt>
                <c:pt idx="1078">
                  <c:v>43948</c:v>
                </c:pt>
                <c:pt idx="1079">
                  <c:v>43949</c:v>
                </c:pt>
                <c:pt idx="1080">
                  <c:v>43950</c:v>
                </c:pt>
                <c:pt idx="1081">
                  <c:v>43951</c:v>
                </c:pt>
                <c:pt idx="1082">
                  <c:v>43952</c:v>
                </c:pt>
                <c:pt idx="1083">
                  <c:v>43955</c:v>
                </c:pt>
                <c:pt idx="1084">
                  <c:v>43956</c:v>
                </c:pt>
                <c:pt idx="1085">
                  <c:v>43957</c:v>
                </c:pt>
                <c:pt idx="1086">
                  <c:v>43958</c:v>
                </c:pt>
                <c:pt idx="1087">
                  <c:v>43959</c:v>
                </c:pt>
                <c:pt idx="1088">
                  <c:v>43962</c:v>
                </c:pt>
                <c:pt idx="1089">
                  <c:v>43963</c:v>
                </c:pt>
                <c:pt idx="1090">
                  <c:v>43964</c:v>
                </c:pt>
                <c:pt idx="1091">
                  <c:v>43965</c:v>
                </c:pt>
                <c:pt idx="1092">
                  <c:v>43966</c:v>
                </c:pt>
                <c:pt idx="1093">
                  <c:v>43969</c:v>
                </c:pt>
                <c:pt idx="1094">
                  <c:v>43970</c:v>
                </c:pt>
                <c:pt idx="1095">
                  <c:v>43971</c:v>
                </c:pt>
                <c:pt idx="1096">
                  <c:v>43972</c:v>
                </c:pt>
                <c:pt idx="1097">
                  <c:v>43973</c:v>
                </c:pt>
                <c:pt idx="1098">
                  <c:v>43977</c:v>
                </c:pt>
                <c:pt idx="1099">
                  <c:v>43978</c:v>
                </c:pt>
                <c:pt idx="1100">
                  <c:v>43979</c:v>
                </c:pt>
                <c:pt idx="1101">
                  <c:v>43980</c:v>
                </c:pt>
                <c:pt idx="1102">
                  <c:v>43983</c:v>
                </c:pt>
                <c:pt idx="1103">
                  <c:v>43984</c:v>
                </c:pt>
                <c:pt idx="1104">
                  <c:v>43985</c:v>
                </c:pt>
                <c:pt idx="1105">
                  <c:v>43986</c:v>
                </c:pt>
                <c:pt idx="1106">
                  <c:v>43987</c:v>
                </c:pt>
                <c:pt idx="1107">
                  <c:v>43990</c:v>
                </c:pt>
                <c:pt idx="1108">
                  <c:v>43991</c:v>
                </c:pt>
                <c:pt idx="1109">
                  <c:v>43992</c:v>
                </c:pt>
                <c:pt idx="1110">
                  <c:v>43993</c:v>
                </c:pt>
                <c:pt idx="1111">
                  <c:v>43994</c:v>
                </c:pt>
                <c:pt idx="1112">
                  <c:v>43997</c:v>
                </c:pt>
                <c:pt idx="1113">
                  <c:v>43998</c:v>
                </c:pt>
                <c:pt idx="1114">
                  <c:v>43999</c:v>
                </c:pt>
                <c:pt idx="1115">
                  <c:v>44000</c:v>
                </c:pt>
                <c:pt idx="1116">
                  <c:v>44001</c:v>
                </c:pt>
                <c:pt idx="1117">
                  <c:v>44004</c:v>
                </c:pt>
                <c:pt idx="1118">
                  <c:v>44005</c:v>
                </c:pt>
                <c:pt idx="1119">
                  <c:v>44006</c:v>
                </c:pt>
                <c:pt idx="1120">
                  <c:v>44007</c:v>
                </c:pt>
                <c:pt idx="1121">
                  <c:v>44008</c:v>
                </c:pt>
                <c:pt idx="1122">
                  <c:v>44011</c:v>
                </c:pt>
                <c:pt idx="1123">
                  <c:v>44012</c:v>
                </c:pt>
                <c:pt idx="1124">
                  <c:v>44013</c:v>
                </c:pt>
                <c:pt idx="1125">
                  <c:v>44014</c:v>
                </c:pt>
                <c:pt idx="1126">
                  <c:v>44018</c:v>
                </c:pt>
                <c:pt idx="1127">
                  <c:v>44019</c:v>
                </c:pt>
                <c:pt idx="1128">
                  <c:v>44020</c:v>
                </c:pt>
                <c:pt idx="1129">
                  <c:v>44021</c:v>
                </c:pt>
                <c:pt idx="1130">
                  <c:v>44022</c:v>
                </c:pt>
                <c:pt idx="1131">
                  <c:v>44025</c:v>
                </c:pt>
                <c:pt idx="1132">
                  <c:v>44026</c:v>
                </c:pt>
                <c:pt idx="1133">
                  <c:v>44027</c:v>
                </c:pt>
                <c:pt idx="1134">
                  <c:v>44028</c:v>
                </c:pt>
                <c:pt idx="1135">
                  <c:v>44029</c:v>
                </c:pt>
                <c:pt idx="1136">
                  <c:v>44032</c:v>
                </c:pt>
                <c:pt idx="1137">
                  <c:v>44033</c:v>
                </c:pt>
                <c:pt idx="1138">
                  <c:v>44034</c:v>
                </c:pt>
                <c:pt idx="1139">
                  <c:v>44035</c:v>
                </c:pt>
                <c:pt idx="1140">
                  <c:v>44036</c:v>
                </c:pt>
                <c:pt idx="1141">
                  <c:v>44039</c:v>
                </c:pt>
                <c:pt idx="1142">
                  <c:v>44040</c:v>
                </c:pt>
                <c:pt idx="1143">
                  <c:v>44041</c:v>
                </c:pt>
                <c:pt idx="1144">
                  <c:v>44042</c:v>
                </c:pt>
                <c:pt idx="1145">
                  <c:v>44043</c:v>
                </c:pt>
                <c:pt idx="1146">
                  <c:v>44046</c:v>
                </c:pt>
                <c:pt idx="1147">
                  <c:v>44047</c:v>
                </c:pt>
                <c:pt idx="1148">
                  <c:v>44048</c:v>
                </c:pt>
                <c:pt idx="1149">
                  <c:v>44049</c:v>
                </c:pt>
                <c:pt idx="1150">
                  <c:v>44050</c:v>
                </c:pt>
                <c:pt idx="1151">
                  <c:v>44053</c:v>
                </c:pt>
                <c:pt idx="1152">
                  <c:v>44054</c:v>
                </c:pt>
                <c:pt idx="1153">
                  <c:v>44055</c:v>
                </c:pt>
                <c:pt idx="1154">
                  <c:v>44056</c:v>
                </c:pt>
                <c:pt idx="1155">
                  <c:v>44057</c:v>
                </c:pt>
                <c:pt idx="1156">
                  <c:v>44060</c:v>
                </c:pt>
                <c:pt idx="1157">
                  <c:v>44061</c:v>
                </c:pt>
                <c:pt idx="1158">
                  <c:v>44062</c:v>
                </c:pt>
                <c:pt idx="1159">
                  <c:v>44063</c:v>
                </c:pt>
                <c:pt idx="1160">
                  <c:v>44064</c:v>
                </c:pt>
                <c:pt idx="1161">
                  <c:v>44067</c:v>
                </c:pt>
                <c:pt idx="1162">
                  <c:v>44068</c:v>
                </c:pt>
                <c:pt idx="1163">
                  <c:v>44069</c:v>
                </c:pt>
                <c:pt idx="1164">
                  <c:v>44070</c:v>
                </c:pt>
                <c:pt idx="1165">
                  <c:v>44071</c:v>
                </c:pt>
                <c:pt idx="1166">
                  <c:v>44074</c:v>
                </c:pt>
                <c:pt idx="1167">
                  <c:v>44075</c:v>
                </c:pt>
                <c:pt idx="1168">
                  <c:v>44076</c:v>
                </c:pt>
                <c:pt idx="1169">
                  <c:v>44077</c:v>
                </c:pt>
                <c:pt idx="1170">
                  <c:v>44078</c:v>
                </c:pt>
                <c:pt idx="1171">
                  <c:v>44082</c:v>
                </c:pt>
                <c:pt idx="1172">
                  <c:v>44083</c:v>
                </c:pt>
                <c:pt idx="1173">
                  <c:v>44084</c:v>
                </c:pt>
                <c:pt idx="1174">
                  <c:v>44085</c:v>
                </c:pt>
                <c:pt idx="1175">
                  <c:v>44088</c:v>
                </c:pt>
                <c:pt idx="1176">
                  <c:v>44089</c:v>
                </c:pt>
                <c:pt idx="1177">
                  <c:v>44090</c:v>
                </c:pt>
                <c:pt idx="1178">
                  <c:v>44091</c:v>
                </c:pt>
                <c:pt idx="1179">
                  <c:v>44092</c:v>
                </c:pt>
                <c:pt idx="1180">
                  <c:v>44095</c:v>
                </c:pt>
                <c:pt idx="1181">
                  <c:v>44096</c:v>
                </c:pt>
                <c:pt idx="1182">
                  <c:v>44097</c:v>
                </c:pt>
                <c:pt idx="1183">
                  <c:v>44098</c:v>
                </c:pt>
                <c:pt idx="1184">
                  <c:v>44099</c:v>
                </c:pt>
                <c:pt idx="1185">
                  <c:v>44102</c:v>
                </c:pt>
                <c:pt idx="1186">
                  <c:v>44103</c:v>
                </c:pt>
                <c:pt idx="1187">
                  <c:v>44104</c:v>
                </c:pt>
                <c:pt idx="1188">
                  <c:v>44105</c:v>
                </c:pt>
                <c:pt idx="1189">
                  <c:v>44106</c:v>
                </c:pt>
                <c:pt idx="1190">
                  <c:v>44109</c:v>
                </c:pt>
                <c:pt idx="1191">
                  <c:v>44110</c:v>
                </c:pt>
                <c:pt idx="1192">
                  <c:v>44111</c:v>
                </c:pt>
                <c:pt idx="1193">
                  <c:v>44112</c:v>
                </c:pt>
                <c:pt idx="1194">
                  <c:v>44113</c:v>
                </c:pt>
                <c:pt idx="1195">
                  <c:v>44117</c:v>
                </c:pt>
                <c:pt idx="1196">
                  <c:v>44118</c:v>
                </c:pt>
                <c:pt idx="1197">
                  <c:v>44119</c:v>
                </c:pt>
                <c:pt idx="1198">
                  <c:v>44120</c:v>
                </c:pt>
                <c:pt idx="1199">
                  <c:v>44123</c:v>
                </c:pt>
                <c:pt idx="1200">
                  <c:v>44124</c:v>
                </c:pt>
                <c:pt idx="1201">
                  <c:v>44125</c:v>
                </c:pt>
                <c:pt idx="1202">
                  <c:v>44126</c:v>
                </c:pt>
                <c:pt idx="1203">
                  <c:v>44127</c:v>
                </c:pt>
                <c:pt idx="1204">
                  <c:v>44130</c:v>
                </c:pt>
                <c:pt idx="1205">
                  <c:v>44131</c:v>
                </c:pt>
                <c:pt idx="1206">
                  <c:v>44132</c:v>
                </c:pt>
                <c:pt idx="1207">
                  <c:v>44133</c:v>
                </c:pt>
                <c:pt idx="1208">
                  <c:v>44134</c:v>
                </c:pt>
                <c:pt idx="1209">
                  <c:v>44137</c:v>
                </c:pt>
                <c:pt idx="1210">
                  <c:v>44138</c:v>
                </c:pt>
                <c:pt idx="1211">
                  <c:v>44139</c:v>
                </c:pt>
                <c:pt idx="1212">
                  <c:v>44140</c:v>
                </c:pt>
                <c:pt idx="1213">
                  <c:v>44141</c:v>
                </c:pt>
                <c:pt idx="1214">
                  <c:v>44144</c:v>
                </c:pt>
                <c:pt idx="1215">
                  <c:v>44145</c:v>
                </c:pt>
                <c:pt idx="1216">
                  <c:v>44147</c:v>
                </c:pt>
                <c:pt idx="1217">
                  <c:v>44148</c:v>
                </c:pt>
                <c:pt idx="1218">
                  <c:v>44151</c:v>
                </c:pt>
                <c:pt idx="1219">
                  <c:v>44152</c:v>
                </c:pt>
                <c:pt idx="1220">
                  <c:v>44153</c:v>
                </c:pt>
                <c:pt idx="1221">
                  <c:v>44154</c:v>
                </c:pt>
                <c:pt idx="1222">
                  <c:v>44155</c:v>
                </c:pt>
                <c:pt idx="1223">
                  <c:v>44158</c:v>
                </c:pt>
                <c:pt idx="1224">
                  <c:v>44159</c:v>
                </c:pt>
                <c:pt idx="1225">
                  <c:v>44160</c:v>
                </c:pt>
                <c:pt idx="1226">
                  <c:v>44162</c:v>
                </c:pt>
                <c:pt idx="1227">
                  <c:v>44165</c:v>
                </c:pt>
                <c:pt idx="1228">
                  <c:v>44166</c:v>
                </c:pt>
                <c:pt idx="1229">
                  <c:v>44167</c:v>
                </c:pt>
                <c:pt idx="1230">
                  <c:v>44168</c:v>
                </c:pt>
                <c:pt idx="1231">
                  <c:v>44169</c:v>
                </c:pt>
                <c:pt idx="1232">
                  <c:v>44172</c:v>
                </c:pt>
                <c:pt idx="1233">
                  <c:v>44173</c:v>
                </c:pt>
                <c:pt idx="1234">
                  <c:v>44174</c:v>
                </c:pt>
                <c:pt idx="1235">
                  <c:v>44175</c:v>
                </c:pt>
                <c:pt idx="1236">
                  <c:v>44176</c:v>
                </c:pt>
                <c:pt idx="1237">
                  <c:v>44179</c:v>
                </c:pt>
                <c:pt idx="1238">
                  <c:v>44180</c:v>
                </c:pt>
                <c:pt idx="1239">
                  <c:v>44181</c:v>
                </c:pt>
                <c:pt idx="1240">
                  <c:v>44182</c:v>
                </c:pt>
                <c:pt idx="1241">
                  <c:v>44183</c:v>
                </c:pt>
                <c:pt idx="1242">
                  <c:v>44186</c:v>
                </c:pt>
                <c:pt idx="1243">
                  <c:v>44187</c:v>
                </c:pt>
                <c:pt idx="1244">
                  <c:v>44188</c:v>
                </c:pt>
                <c:pt idx="1245">
                  <c:v>44189</c:v>
                </c:pt>
                <c:pt idx="1246">
                  <c:v>44193</c:v>
                </c:pt>
                <c:pt idx="1247">
                  <c:v>44194</c:v>
                </c:pt>
                <c:pt idx="1248">
                  <c:v>44195</c:v>
                </c:pt>
                <c:pt idx="1249">
                  <c:v>44196</c:v>
                </c:pt>
                <c:pt idx="1250">
                  <c:v>44200</c:v>
                </c:pt>
                <c:pt idx="1251">
                  <c:v>44201</c:v>
                </c:pt>
                <c:pt idx="1252">
                  <c:v>44202</c:v>
                </c:pt>
                <c:pt idx="1253">
                  <c:v>44203</c:v>
                </c:pt>
                <c:pt idx="1254">
                  <c:v>44204</c:v>
                </c:pt>
                <c:pt idx="1255">
                  <c:v>44207</c:v>
                </c:pt>
                <c:pt idx="1256">
                  <c:v>44208</c:v>
                </c:pt>
                <c:pt idx="1257">
                  <c:v>44209</c:v>
                </c:pt>
                <c:pt idx="1258">
                  <c:v>44210</c:v>
                </c:pt>
                <c:pt idx="1259">
                  <c:v>44211</c:v>
                </c:pt>
                <c:pt idx="1260">
                  <c:v>44215</c:v>
                </c:pt>
                <c:pt idx="1261">
                  <c:v>44216</c:v>
                </c:pt>
                <c:pt idx="1262">
                  <c:v>44217</c:v>
                </c:pt>
                <c:pt idx="1263">
                  <c:v>44218</c:v>
                </c:pt>
                <c:pt idx="1264">
                  <c:v>44221</c:v>
                </c:pt>
                <c:pt idx="1265">
                  <c:v>44222</c:v>
                </c:pt>
                <c:pt idx="1266">
                  <c:v>44223</c:v>
                </c:pt>
                <c:pt idx="1267">
                  <c:v>44224</c:v>
                </c:pt>
                <c:pt idx="1268">
                  <c:v>44225</c:v>
                </c:pt>
                <c:pt idx="1269">
                  <c:v>44228</c:v>
                </c:pt>
                <c:pt idx="1270">
                  <c:v>44229</c:v>
                </c:pt>
                <c:pt idx="1271">
                  <c:v>44230</c:v>
                </c:pt>
                <c:pt idx="1272">
                  <c:v>44231</c:v>
                </c:pt>
                <c:pt idx="1273">
                  <c:v>44232</c:v>
                </c:pt>
                <c:pt idx="1274">
                  <c:v>44235</c:v>
                </c:pt>
                <c:pt idx="1275">
                  <c:v>44236</c:v>
                </c:pt>
                <c:pt idx="1276">
                  <c:v>44237</c:v>
                </c:pt>
                <c:pt idx="1277">
                  <c:v>44238</c:v>
                </c:pt>
                <c:pt idx="1278">
                  <c:v>44239</c:v>
                </c:pt>
                <c:pt idx="1279">
                  <c:v>44243</c:v>
                </c:pt>
                <c:pt idx="1280">
                  <c:v>44244</c:v>
                </c:pt>
                <c:pt idx="1281">
                  <c:v>44245</c:v>
                </c:pt>
                <c:pt idx="1282">
                  <c:v>44246</c:v>
                </c:pt>
                <c:pt idx="1283">
                  <c:v>44249</c:v>
                </c:pt>
                <c:pt idx="1284">
                  <c:v>44250</c:v>
                </c:pt>
                <c:pt idx="1285">
                  <c:v>44251</c:v>
                </c:pt>
                <c:pt idx="1286">
                  <c:v>44252</c:v>
                </c:pt>
                <c:pt idx="1287">
                  <c:v>44253</c:v>
                </c:pt>
                <c:pt idx="1288">
                  <c:v>44256</c:v>
                </c:pt>
                <c:pt idx="1289">
                  <c:v>44257</c:v>
                </c:pt>
                <c:pt idx="1290">
                  <c:v>44258</c:v>
                </c:pt>
                <c:pt idx="1291">
                  <c:v>44259</c:v>
                </c:pt>
                <c:pt idx="1292">
                  <c:v>44260</c:v>
                </c:pt>
                <c:pt idx="1293">
                  <c:v>44263</c:v>
                </c:pt>
                <c:pt idx="1294">
                  <c:v>44264</c:v>
                </c:pt>
                <c:pt idx="1295">
                  <c:v>44265</c:v>
                </c:pt>
                <c:pt idx="1296">
                  <c:v>44266</c:v>
                </c:pt>
                <c:pt idx="1297">
                  <c:v>44267</c:v>
                </c:pt>
                <c:pt idx="1298">
                  <c:v>44270</c:v>
                </c:pt>
                <c:pt idx="1299">
                  <c:v>44271</c:v>
                </c:pt>
                <c:pt idx="1300">
                  <c:v>44272</c:v>
                </c:pt>
                <c:pt idx="1301">
                  <c:v>44273</c:v>
                </c:pt>
                <c:pt idx="1302">
                  <c:v>44274</c:v>
                </c:pt>
                <c:pt idx="1303">
                  <c:v>44277</c:v>
                </c:pt>
                <c:pt idx="1304">
                  <c:v>44278</c:v>
                </c:pt>
                <c:pt idx="1305">
                  <c:v>44279</c:v>
                </c:pt>
                <c:pt idx="1306">
                  <c:v>44280</c:v>
                </c:pt>
                <c:pt idx="1307">
                  <c:v>44281</c:v>
                </c:pt>
                <c:pt idx="1308">
                  <c:v>44284</c:v>
                </c:pt>
                <c:pt idx="1309">
                  <c:v>44285</c:v>
                </c:pt>
                <c:pt idx="1310">
                  <c:v>44286</c:v>
                </c:pt>
                <c:pt idx="1311">
                  <c:v>44287</c:v>
                </c:pt>
                <c:pt idx="1312">
                  <c:v>44288</c:v>
                </c:pt>
                <c:pt idx="1313">
                  <c:v>44291</c:v>
                </c:pt>
                <c:pt idx="1314">
                  <c:v>44292</c:v>
                </c:pt>
                <c:pt idx="1315">
                  <c:v>44293</c:v>
                </c:pt>
                <c:pt idx="1316">
                  <c:v>44294</c:v>
                </c:pt>
                <c:pt idx="1317">
                  <c:v>44295</c:v>
                </c:pt>
                <c:pt idx="1318">
                  <c:v>44298</c:v>
                </c:pt>
                <c:pt idx="1319">
                  <c:v>44299</c:v>
                </c:pt>
                <c:pt idx="1320">
                  <c:v>44300</c:v>
                </c:pt>
                <c:pt idx="1321">
                  <c:v>44301</c:v>
                </c:pt>
                <c:pt idx="1322">
                  <c:v>44302</c:v>
                </c:pt>
                <c:pt idx="1323">
                  <c:v>44305</c:v>
                </c:pt>
                <c:pt idx="1324">
                  <c:v>44306</c:v>
                </c:pt>
                <c:pt idx="1325">
                  <c:v>44307</c:v>
                </c:pt>
                <c:pt idx="1326">
                  <c:v>44308</c:v>
                </c:pt>
                <c:pt idx="1327">
                  <c:v>44309</c:v>
                </c:pt>
                <c:pt idx="1328">
                  <c:v>44312</c:v>
                </c:pt>
                <c:pt idx="1329">
                  <c:v>44313</c:v>
                </c:pt>
                <c:pt idx="1330">
                  <c:v>44314</c:v>
                </c:pt>
                <c:pt idx="1331">
                  <c:v>44315</c:v>
                </c:pt>
                <c:pt idx="1332">
                  <c:v>44316</c:v>
                </c:pt>
                <c:pt idx="1333">
                  <c:v>44319</c:v>
                </c:pt>
                <c:pt idx="1334">
                  <c:v>44320</c:v>
                </c:pt>
                <c:pt idx="1335">
                  <c:v>44321</c:v>
                </c:pt>
                <c:pt idx="1336">
                  <c:v>44322</c:v>
                </c:pt>
                <c:pt idx="1337">
                  <c:v>44323</c:v>
                </c:pt>
                <c:pt idx="1338">
                  <c:v>44326</c:v>
                </c:pt>
                <c:pt idx="1339">
                  <c:v>44327</c:v>
                </c:pt>
                <c:pt idx="1340">
                  <c:v>44328</c:v>
                </c:pt>
                <c:pt idx="1341">
                  <c:v>44329</c:v>
                </c:pt>
                <c:pt idx="1342">
                  <c:v>44330</c:v>
                </c:pt>
                <c:pt idx="1343">
                  <c:v>44333</c:v>
                </c:pt>
                <c:pt idx="1344">
                  <c:v>44334</c:v>
                </c:pt>
                <c:pt idx="1345">
                  <c:v>44335</c:v>
                </c:pt>
                <c:pt idx="1346">
                  <c:v>44336</c:v>
                </c:pt>
                <c:pt idx="1347">
                  <c:v>44337</c:v>
                </c:pt>
                <c:pt idx="1348">
                  <c:v>44340</c:v>
                </c:pt>
                <c:pt idx="1349">
                  <c:v>44341</c:v>
                </c:pt>
                <c:pt idx="1350">
                  <c:v>44342</c:v>
                </c:pt>
                <c:pt idx="1351">
                  <c:v>44343</c:v>
                </c:pt>
                <c:pt idx="1352">
                  <c:v>44344</c:v>
                </c:pt>
                <c:pt idx="1353">
                  <c:v>44348</c:v>
                </c:pt>
                <c:pt idx="1354">
                  <c:v>44349</c:v>
                </c:pt>
                <c:pt idx="1355">
                  <c:v>44350</c:v>
                </c:pt>
                <c:pt idx="1356">
                  <c:v>44351</c:v>
                </c:pt>
                <c:pt idx="1357">
                  <c:v>44354</c:v>
                </c:pt>
                <c:pt idx="1358">
                  <c:v>44355</c:v>
                </c:pt>
                <c:pt idx="1359">
                  <c:v>44356</c:v>
                </c:pt>
                <c:pt idx="1360">
                  <c:v>44357</c:v>
                </c:pt>
                <c:pt idx="1361">
                  <c:v>44358</c:v>
                </c:pt>
                <c:pt idx="1362">
                  <c:v>44361</c:v>
                </c:pt>
                <c:pt idx="1363">
                  <c:v>44362</c:v>
                </c:pt>
                <c:pt idx="1364">
                  <c:v>44363</c:v>
                </c:pt>
                <c:pt idx="1365">
                  <c:v>44364</c:v>
                </c:pt>
                <c:pt idx="1366">
                  <c:v>44365</c:v>
                </c:pt>
                <c:pt idx="1367">
                  <c:v>44368</c:v>
                </c:pt>
                <c:pt idx="1368">
                  <c:v>44369</c:v>
                </c:pt>
                <c:pt idx="1369">
                  <c:v>44370</c:v>
                </c:pt>
                <c:pt idx="1370">
                  <c:v>44371</c:v>
                </c:pt>
                <c:pt idx="1371">
                  <c:v>44372</c:v>
                </c:pt>
                <c:pt idx="1372">
                  <c:v>44375</c:v>
                </c:pt>
                <c:pt idx="1373">
                  <c:v>44376</c:v>
                </c:pt>
                <c:pt idx="1374">
                  <c:v>44377</c:v>
                </c:pt>
                <c:pt idx="1375">
                  <c:v>44378</c:v>
                </c:pt>
                <c:pt idx="1376">
                  <c:v>44379</c:v>
                </c:pt>
                <c:pt idx="1377">
                  <c:v>44383</c:v>
                </c:pt>
                <c:pt idx="1378">
                  <c:v>44384</c:v>
                </c:pt>
                <c:pt idx="1379">
                  <c:v>44385</c:v>
                </c:pt>
                <c:pt idx="1380">
                  <c:v>44386</c:v>
                </c:pt>
                <c:pt idx="1381">
                  <c:v>44389</c:v>
                </c:pt>
                <c:pt idx="1382">
                  <c:v>44390</c:v>
                </c:pt>
                <c:pt idx="1383">
                  <c:v>44391</c:v>
                </c:pt>
                <c:pt idx="1384">
                  <c:v>44392</c:v>
                </c:pt>
                <c:pt idx="1385">
                  <c:v>44393</c:v>
                </c:pt>
                <c:pt idx="1386">
                  <c:v>44396</c:v>
                </c:pt>
                <c:pt idx="1387">
                  <c:v>44397</c:v>
                </c:pt>
                <c:pt idx="1388">
                  <c:v>44398</c:v>
                </c:pt>
                <c:pt idx="1389">
                  <c:v>44399</c:v>
                </c:pt>
                <c:pt idx="1390">
                  <c:v>44400</c:v>
                </c:pt>
                <c:pt idx="1391">
                  <c:v>44403</c:v>
                </c:pt>
                <c:pt idx="1392">
                  <c:v>44404</c:v>
                </c:pt>
                <c:pt idx="1393">
                  <c:v>44405</c:v>
                </c:pt>
                <c:pt idx="1394">
                  <c:v>44406</c:v>
                </c:pt>
                <c:pt idx="1395">
                  <c:v>44407</c:v>
                </c:pt>
                <c:pt idx="1396">
                  <c:v>44410</c:v>
                </c:pt>
                <c:pt idx="1397">
                  <c:v>44411</c:v>
                </c:pt>
                <c:pt idx="1398">
                  <c:v>44412</c:v>
                </c:pt>
                <c:pt idx="1399">
                  <c:v>44413</c:v>
                </c:pt>
                <c:pt idx="1400">
                  <c:v>44414</c:v>
                </c:pt>
                <c:pt idx="1401">
                  <c:v>44417</c:v>
                </c:pt>
                <c:pt idx="1402">
                  <c:v>44418</c:v>
                </c:pt>
                <c:pt idx="1403">
                  <c:v>44419</c:v>
                </c:pt>
                <c:pt idx="1404">
                  <c:v>44420</c:v>
                </c:pt>
                <c:pt idx="1405">
                  <c:v>44421</c:v>
                </c:pt>
                <c:pt idx="1406">
                  <c:v>44424</c:v>
                </c:pt>
                <c:pt idx="1407">
                  <c:v>44425</c:v>
                </c:pt>
                <c:pt idx="1408">
                  <c:v>44426</c:v>
                </c:pt>
                <c:pt idx="1409">
                  <c:v>44427</c:v>
                </c:pt>
                <c:pt idx="1410">
                  <c:v>44428</c:v>
                </c:pt>
                <c:pt idx="1411">
                  <c:v>44431</c:v>
                </c:pt>
                <c:pt idx="1412">
                  <c:v>44432</c:v>
                </c:pt>
                <c:pt idx="1413">
                  <c:v>44433</c:v>
                </c:pt>
                <c:pt idx="1414">
                  <c:v>44434</c:v>
                </c:pt>
                <c:pt idx="1415">
                  <c:v>44435</c:v>
                </c:pt>
                <c:pt idx="1416">
                  <c:v>44438</c:v>
                </c:pt>
                <c:pt idx="1417">
                  <c:v>44439</c:v>
                </c:pt>
                <c:pt idx="1418">
                  <c:v>44440</c:v>
                </c:pt>
                <c:pt idx="1419">
                  <c:v>44441</c:v>
                </c:pt>
                <c:pt idx="1420">
                  <c:v>44442</c:v>
                </c:pt>
                <c:pt idx="1421">
                  <c:v>44446</c:v>
                </c:pt>
                <c:pt idx="1422">
                  <c:v>44447</c:v>
                </c:pt>
                <c:pt idx="1423">
                  <c:v>44448</c:v>
                </c:pt>
                <c:pt idx="1424">
                  <c:v>44449</c:v>
                </c:pt>
                <c:pt idx="1425">
                  <c:v>44452</c:v>
                </c:pt>
                <c:pt idx="1426">
                  <c:v>44453</c:v>
                </c:pt>
                <c:pt idx="1427">
                  <c:v>44454</c:v>
                </c:pt>
                <c:pt idx="1428">
                  <c:v>44455</c:v>
                </c:pt>
                <c:pt idx="1429">
                  <c:v>44456</c:v>
                </c:pt>
                <c:pt idx="1430">
                  <c:v>44459</c:v>
                </c:pt>
                <c:pt idx="1431">
                  <c:v>44460</c:v>
                </c:pt>
                <c:pt idx="1432">
                  <c:v>44461</c:v>
                </c:pt>
                <c:pt idx="1433">
                  <c:v>44462</c:v>
                </c:pt>
                <c:pt idx="1434">
                  <c:v>44463</c:v>
                </c:pt>
                <c:pt idx="1435">
                  <c:v>44466</c:v>
                </c:pt>
                <c:pt idx="1436">
                  <c:v>44467</c:v>
                </c:pt>
                <c:pt idx="1437">
                  <c:v>44468</c:v>
                </c:pt>
                <c:pt idx="1438">
                  <c:v>44469</c:v>
                </c:pt>
                <c:pt idx="1439">
                  <c:v>44470</c:v>
                </c:pt>
                <c:pt idx="1440">
                  <c:v>44473</c:v>
                </c:pt>
                <c:pt idx="1441">
                  <c:v>44474</c:v>
                </c:pt>
                <c:pt idx="1442">
                  <c:v>44475</c:v>
                </c:pt>
                <c:pt idx="1443">
                  <c:v>44476</c:v>
                </c:pt>
                <c:pt idx="1444">
                  <c:v>44477</c:v>
                </c:pt>
                <c:pt idx="1445">
                  <c:v>44481</c:v>
                </c:pt>
                <c:pt idx="1446">
                  <c:v>44482</c:v>
                </c:pt>
                <c:pt idx="1447">
                  <c:v>44483</c:v>
                </c:pt>
                <c:pt idx="1448">
                  <c:v>44484</c:v>
                </c:pt>
                <c:pt idx="1449">
                  <c:v>44487</c:v>
                </c:pt>
                <c:pt idx="1450">
                  <c:v>44488</c:v>
                </c:pt>
                <c:pt idx="1451">
                  <c:v>44489</c:v>
                </c:pt>
                <c:pt idx="1452">
                  <c:v>44490</c:v>
                </c:pt>
                <c:pt idx="1453">
                  <c:v>44491</c:v>
                </c:pt>
                <c:pt idx="1454">
                  <c:v>44494</c:v>
                </c:pt>
                <c:pt idx="1455">
                  <c:v>44495</c:v>
                </c:pt>
                <c:pt idx="1456">
                  <c:v>44496</c:v>
                </c:pt>
                <c:pt idx="1457">
                  <c:v>44497</c:v>
                </c:pt>
                <c:pt idx="1458">
                  <c:v>44498</c:v>
                </c:pt>
                <c:pt idx="1459">
                  <c:v>44501</c:v>
                </c:pt>
                <c:pt idx="1460">
                  <c:v>44502</c:v>
                </c:pt>
                <c:pt idx="1461">
                  <c:v>44503</c:v>
                </c:pt>
                <c:pt idx="1462">
                  <c:v>44504</c:v>
                </c:pt>
                <c:pt idx="1463">
                  <c:v>44505</c:v>
                </c:pt>
                <c:pt idx="1464">
                  <c:v>44508</c:v>
                </c:pt>
                <c:pt idx="1465">
                  <c:v>44509</c:v>
                </c:pt>
                <c:pt idx="1466">
                  <c:v>44510</c:v>
                </c:pt>
                <c:pt idx="1467">
                  <c:v>44512</c:v>
                </c:pt>
                <c:pt idx="1468">
                  <c:v>44515</c:v>
                </c:pt>
                <c:pt idx="1469">
                  <c:v>44516</c:v>
                </c:pt>
                <c:pt idx="1470">
                  <c:v>44517</c:v>
                </c:pt>
                <c:pt idx="1471">
                  <c:v>44518</c:v>
                </c:pt>
                <c:pt idx="1472">
                  <c:v>44519</c:v>
                </c:pt>
                <c:pt idx="1473">
                  <c:v>44522</c:v>
                </c:pt>
                <c:pt idx="1474">
                  <c:v>44523</c:v>
                </c:pt>
                <c:pt idx="1475">
                  <c:v>44524</c:v>
                </c:pt>
                <c:pt idx="1476">
                  <c:v>44526</c:v>
                </c:pt>
                <c:pt idx="1477">
                  <c:v>44529</c:v>
                </c:pt>
                <c:pt idx="1478">
                  <c:v>44530</c:v>
                </c:pt>
                <c:pt idx="1479">
                  <c:v>44531</c:v>
                </c:pt>
                <c:pt idx="1480">
                  <c:v>44532</c:v>
                </c:pt>
                <c:pt idx="1481">
                  <c:v>44533</c:v>
                </c:pt>
                <c:pt idx="1482">
                  <c:v>44536</c:v>
                </c:pt>
                <c:pt idx="1483">
                  <c:v>44537</c:v>
                </c:pt>
                <c:pt idx="1484">
                  <c:v>44538</c:v>
                </c:pt>
                <c:pt idx="1485">
                  <c:v>44539</c:v>
                </c:pt>
                <c:pt idx="1486">
                  <c:v>44540</c:v>
                </c:pt>
                <c:pt idx="1487">
                  <c:v>44543</c:v>
                </c:pt>
                <c:pt idx="1488">
                  <c:v>44544</c:v>
                </c:pt>
                <c:pt idx="1489">
                  <c:v>44545</c:v>
                </c:pt>
                <c:pt idx="1490">
                  <c:v>44546</c:v>
                </c:pt>
                <c:pt idx="1491">
                  <c:v>44547</c:v>
                </c:pt>
                <c:pt idx="1492">
                  <c:v>44550</c:v>
                </c:pt>
                <c:pt idx="1493">
                  <c:v>44551</c:v>
                </c:pt>
                <c:pt idx="1494">
                  <c:v>44552</c:v>
                </c:pt>
                <c:pt idx="1495">
                  <c:v>44553</c:v>
                </c:pt>
                <c:pt idx="1496">
                  <c:v>44557</c:v>
                </c:pt>
                <c:pt idx="1497">
                  <c:v>44558</c:v>
                </c:pt>
                <c:pt idx="1498">
                  <c:v>44559</c:v>
                </c:pt>
                <c:pt idx="1499">
                  <c:v>44560</c:v>
                </c:pt>
                <c:pt idx="1500">
                  <c:v>44561</c:v>
                </c:pt>
                <c:pt idx="1501">
                  <c:v>44564</c:v>
                </c:pt>
                <c:pt idx="1502">
                  <c:v>44565</c:v>
                </c:pt>
                <c:pt idx="1503">
                  <c:v>44566</c:v>
                </c:pt>
                <c:pt idx="1504">
                  <c:v>44567</c:v>
                </c:pt>
                <c:pt idx="1505">
                  <c:v>44568</c:v>
                </c:pt>
                <c:pt idx="1506">
                  <c:v>44571</c:v>
                </c:pt>
                <c:pt idx="1507">
                  <c:v>44572</c:v>
                </c:pt>
                <c:pt idx="1508">
                  <c:v>44573</c:v>
                </c:pt>
                <c:pt idx="1509">
                  <c:v>44574</c:v>
                </c:pt>
                <c:pt idx="1510">
                  <c:v>44575</c:v>
                </c:pt>
                <c:pt idx="1511">
                  <c:v>44579</c:v>
                </c:pt>
                <c:pt idx="1512">
                  <c:v>44580</c:v>
                </c:pt>
                <c:pt idx="1513">
                  <c:v>44581</c:v>
                </c:pt>
                <c:pt idx="1514">
                  <c:v>44582</c:v>
                </c:pt>
                <c:pt idx="1515">
                  <c:v>44585</c:v>
                </c:pt>
                <c:pt idx="1516">
                  <c:v>44586</c:v>
                </c:pt>
                <c:pt idx="1517">
                  <c:v>44587</c:v>
                </c:pt>
                <c:pt idx="1518">
                  <c:v>44588</c:v>
                </c:pt>
                <c:pt idx="1519">
                  <c:v>44589</c:v>
                </c:pt>
                <c:pt idx="1520">
                  <c:v>44592</c:v>
                </c:pt>
                <c:pt idx="1521">
                  <c:v>44593</c:v>
                </c:pt>
                <c:pt idx="1522">
                  <c:v>44594</c:v>
                </c:pt>
                <c:pt idx="1523">
                  <c:v>44595</c:v>
                </c:pt>
                <c:pt idx="1524">
                  <c:v>44596</c:v>
                </c:pt>
                <c:pt idx="1525">
                  <c:v>44599</c:v>
                </c:pt>
                <c:pt idx="1526">
                  <c:v>44600</c:v>
                </c:pt>
                <c:pt idx="1527">
                  <c:v>44601</c:v>
                </c:pt>
                <c:pt idx="1528">
                  <c:v>44602</c:v>
                </c:pt>
                <c:pt idx="1529">
                  <c:v>44603</c:v>
                </c:pt>
                <c:pt idx="1530">
                  <c:v>44606</c:v>
                </c:pt>
                <c:pt idx="1531">
                  <c:v>44607</c:v>
                </c:pt>
                <c:pt idx="1532">
                  <c:v>44608</c:v>
                </c:pt>
                <c:pt idx="1533">
                  <c:v>44609</c:v>
                </c:pt>
                <c:pt idx="1534">
                  <c:v>44610</c:v>
                </c:pt>
                <c:pt idx="1535">
                  <c:v>44614</c:v>
                </c:pt>
                <c:pt idx="1536">
                  <c:v>44615</c:v>
                </c:pt>
                <c:pt idx="1537">
                  <c:v>44616</c:v>
                </c:pt>
                <c:pt idx="1538">
                  <c:v>44617</c:v>
                </c:pt>
                <c:pt idx="1539">
                  <c:v>44620</c:v>
                </c:pt>
                <c:pt idx="1540">
                  <c:v>44621</c:v>
                </c:pt>
                <c:pt idx="1541">
                  <c:v>44622</c:v>
                </c:pt>
                <c:pt idx="1542">
                  <c:v>44623</c:v>
                </c:pt>
                <c:pt idx="1543">
                  <c:v>44624</c:v>
                </c:pt>
                <c:pt idx="1544">
                  <c:v>44627</c:v>
                </c:pt>
                <c:pt idx="1545">
                  <c:v>44628</c:v>
                </c:pt>
                <c:pt idx="1546">
                  <c:v>44629</c:v>
                </c:pt>
                <c:pt idx="1547">
                  <c:v>44630</c:v>
                </c:pt>
                <c:pt idx="1548">
                  <c:v>44631</c:v>
                </c:pt>
                <c:pt idx="1549">
                  <c:v>44634</c:v>
                </c:pt>
                <c:pt idx="1550">
                  <c:v>44635</c:v>
                </c:pt>
                <c:pt idx="1551">
                  <c:v>44636</c:v>
                </c:pt>
                <c:pt idx="1552">
                  <c:v>44637</c:v>
                </c:pt>
                <c:pt idx="1553">
                  <c:v>44638</c:v>
                </c:pt>
                <c:pt idx="1554">
                  <c:v>44641</c:v>
                </c:pt>
                <c:pt idx="1555">
                  <c:v>44642</c:v>
                </c:pt>
                <c:pt idx="1556">
                  <c:v>44643</c:v>
                </c:pt>
                <c:pt idx="1557">
                  <c:v>44644</c:v>
                </c:pt>
                <c:pt idx="1558">
                  <c:v>44645</c:v>
                </c:pt>
                <c:pt idx="1559">
                  <c:v>44648</c:v>
                </c:pt>
                <c:pt idx="1560">
                  <c:v>44649</c:v>
                </c:pt>
                <c:pt idx="1561">
                  <c:v>44650</c:v>
                </c:pt>
                <c:pt idx="1562">
                  <c:v>44651</c:v>
                </c:pt>
                <c:pt idx="1563">
                  <c:v>44652</c:v>
                </c:pt>
                <c:pt idx="1564">
                  <c:v>44655</c:v>
                </c:pt>
                <c:pt idx="1565">
                  <c:v>44656</c:v>
                </c:pt>
                <c:pt idx="1566">
                  <c:v>44657</c:v>
                </c:pt>
                <c:pt idx="1567">
                  <c:v>44658</c:v>
                </c:pt>
                <c:pt idx="1568">
                  <c:v>44659</c:v>
                </c:pt>
                <c:pt idx="1569">
                  <c:v>44662</c:v>
                </c:pt>
                <c:pt idx="1570">
                  <c:v>44663</c:v>
                </c:pt>
                <c:pt idx="1571">
                  <c:v>44664</c:v>
                </c:pt>
                <c:pt idx="1572">
                  <c:v>44665</c:v>
                </c:pt>
                <c:pt idx="1573">
                  <c:v>44669</c:v>
                </c:pt>
                <c:pt idx="1574">
                  <c:v>44670</c:v>
                </c:pt>
                <c:pt idx="1575">
                  <c:v>44671</c:v>
                </c:pt>
                <c:pt idx="1576">
                  <c:v>44672</c:v>
                </c:pt>
                <c:pt idx="1577">
                  <c:v>44673</c:v>
                </c:pt>
                <c:pt idx="1578">
                  <c:v>44676</c:v>
                </c:pt>
                <c:pt idx="1579">
                  <c:v>44677</c:v>
                </c:pt>
                <c:pt idx="1580">
                  <c:v>44678</c:v>
                </c:pt>
                <c:pt idx="1581">
                  <c:v>44679</c:v>
                </c:pt>
                <c:pt idx="1582">
                  <c:v>44680</c:v>
                </c:pt>
                <c:pt idx="1583">
                  <c:v>44683</c:v>
                </c:pt>
                <c:pt idx="1584">
                  <c:v>44684</c:v>
                </c:pt>
                <c:pt idx="1585">
                  <c:v>44685</c:v>
                </c:pt>
                <c:pt idx="1586">
                  <c:v>44686</c:v>
                </c:pt>
                <c:pt idx="1587">
                  <c:v>44687</c:v>
                </c:pt>
                <c:pt idx="1588">
                  <c:v>44690</c:v>
                </c:pt>
                <c:pt idx="1589">
                  <c:v>44691</c:v>
                </c:pt>
                <c:pt idx="1590">
                  <c:v>44692</c:v>
                </c:pt>
                <c:pt idx="1591">
                  <c:v>44693</c:v>
                </c:pt>
                <c:pt idx="1592">
                  <c:v>44694</c:v>
                </c:pt>
                <c:pt idx="1593">
                  <c:v>44697</c:v>
                </c:pt>
                <c:pt idx="1594">
                  <c:v>44698</c:v>
                </c:pt>
                <c:pt idx="1595">
                  <c:v>44699</c:v>
                </c:pt>
                <c:pt idx="1596">
                  <c:v>44700</c:v>
                </c:pt>
                <c:pt idx="1597">
                  <c:v>44701</c:v>
                </c:pt>
                <c:pt idx="1598">
                  <c:v>44704</c:v>
                </c:pt>
                <c:pt idx="1599">
                  <c:v>44705</c:v>
                </c:pt>
                <c:pt idx="1600">
                  <c:v>44706</c:v>
                </c:pt>
                <c:pt idx="1601">
                  <c:v>44707</c:v>
                </c:pt>
                <c:pt idx="1602">
                  <c:v>44708</c:v>
                </c:pt>
                <c:pt idx="1603">
                  <c:v>44712</c:v>
                </c:pt>
                <c:pt idx="1604">
                  <c:v>44713</c:v>
                </c:pt>
                <c:pt idx="1605">
                  <c:v>44714</c:v>
                </c:pt>
                <c:pt idx="1606">
                  <c:v>44715</c:v>
                </c:pt>
                <c:pt idx="1607">
                  <c:v>44718</c:v>
                </c:pt>
                <c:pt idx="1608">
                  <c:v>44719</c:v>
                </c:pt>
                <c:pt idx="1609">
                  <c:v>44720</c:v>
                </c:pt>
                <c:pt idx="1610">
                  <c:v>44721</c:v>
                </c:pt>
                <c:pt idx="1611">
                  <c:v>44722</c:v>
                </c:pt>
                <c:pt idx="1612">
                  <c:v>44725</c:v>
                </c:pt>
                <c:pt idx="1613">
                  <c:v>44726</c:v>
                </c:pt>
                <c:pt idx="1614">
                  <c:v>44727</c:v>
                </c:pt>
                <c:pt idx="1615">
                  <c:v>44728</c:v>
                </c:pt>
                <c:pt idx="1616">
                  <c:v>44729</c:v>
                </c:pt>
                <c:pt idx="1617">
                  <c:v>44733</c:v>
                </c:pt>
                <c:pt idx="1618">
                  <c:v>44734</c:v>
                </c:pt>
                <c:pt idx="1619">
                  <c:v>44735</c:v>
                </c:pt>
                <c:pt idx="1620">
                  <c:v>44736</c:v>
                </c:pt>
                <c:pt idx="1621">
                  <c:v>44739</c:v>
                </c:pt>
                <c:pt idx="1622">
                  <c:v>44740</c:v>
                </c:pt>
                <c:pt idx="1623">
                  <c:v>44741</c:v>
                </c:pt>
                <c:pt idx="1624">
                  <c:v>44742</c:v>
                </c:pt>
                <c:pt idx="1625">
                  <c:v>44743</c:v>
                </c:pt>
                <c:pt idx="1626">
                  <c:v>44747</c:v>
                </c:pt>
                <c:pt idx="1627">
                  <c:v>44748</c:v>
                </c:pt>
                <c:pt idx="1628">
                  <c:v>44749</c:v>
                </c:pt>
                <c:pt idx="1629">
                  <c:v>44750</c:v>
                </c:pt>
                <c:pt idx="1630">
                  <c:v>44753</c:v>
                </c:pt>
                <c:pt idx="1631">
                  <c:v>44754</c:v>
                </c:pt>
                <c:pt idx="1632">
                  <c:v>44755</c:v>
                </c:pt>
                <c:pt idx="1633">
                  <c:v>44756</c:v>
                </c:pt>
                <c:pt idx="1634">
                  <c:v>44757</c:v>
                </c:pt>
                <c:pt idx="1635">
                  <c:v>44760</c:v>
                </c:pt>
                <c:pt idx="1636">
                  <c:v>44761</c:v>
                </c:pt>
                <c:pt idx="1637">
                  <c:v>44762</c:v>
                </c:pt>
                <c:pt idx="1638">
                  <c:v>44763</c:v>
                </c:pt>
                <c:pt idx="1639">
                  <c:v>44764</c:v>
                </c:pt>
                <c:pt idx="1640">
                  <c:v>44767</c:v>
                </c:pt>
                <c:pt idx="1641">
                  <c:v>44768</c:v>
                </c:pt>
                <c:pt idx="1642">
                  <c:v>44769</c:v>
                </c:pt>
                <c:pt idx="1643">
                  <c:v>44770</c:v>
                </c:pt>
                <c:pt idx="1644">
                  <c:v>44771</c:v>
                </c:pt>
                <c:pt idx="1645">
                  <c:v>44774</c:v>
                </c:pt>
                <c:pt idx="1646">
                  <c:v>44775</c:v>
                </c:pt>
                <c:pt idx="1647">
                  <c:v>44776</c:v>
                </c:pt>
                <c:pt idx="1648">
                  <c:v>44777</c:v>
                </c:pt>
                <c:pt idx="1649">
                  <c:v>44778</c:v>
                </c:pt>
                <c:pt idx="1650">
                  <c:v>44781</c:v>
                </c:pt>
                <c:pt idx="1651">
                  <c:v>44782</c:v>
                </c:pt>
                <c:pt idx="1652">
                  <c:v>44783</c:v>
                </c:pt>
                <c:pt idx="1653">
                  <c:v>44784</c:v>
                </c:pt>
                <c:pt idx="1654">
                  <c:v>44785</c:v>
                </c:pt>
                <c:pt idx="1655">
                  <c:v>44788</c:v>
                </c:pt>
                <c:pt idx="1656">
                  <c:v>44789</c:v>
                </c:pt>
                <c:pt idx="1657">
                  <c:v>44790</c:v>
                </c:pt>
                <c:pt idx="1658">
                  <c:v>44791</c:v>
                </c:pt>
                <c:pt idx="1659">
                  <c:v>44792</c:v>
                </c:pt>
                <c:pt idx="1660">
                  <c:v>44795</c:v>
                </c:pt>
                <c:pt idx="1661">
                  <c:v>44796</c:v>
                </c:pt>
                <c:pt idx="1662">
                  <c:v>44797</c:v>
                </c:pt>
                <c:pt idx="1663">
                  <c:v>44798</c:v>
                </c:pt>
                <c:pt idx="1664">
                  <c:v>44799</c:v>
                </c:pt>
                <c:pt idx="1665">
                  <c:v>44802</c:v>
                </c:pt>
                <c:pt idx="1666">
                  <c:v>44803</c:v>
                </c:pt>
                <c:pt idx="1667">
                  <c:v>44804</c:v>
                </c:pt>
                <c:pt idx="1668">
                  <c:v>44805</c:v>
                </c:pt>
                <c:pt idx="1669">
                  <c:v>44806</c:v>
                </c:pt>
                <c:pt idx="1670">
                  <c:v>44810</c:v>
                </c:pt>
                <c:pt idx="1671">
                  <c:v>44811</c:v>
                </c:pt>
                <c:pt idx="1672">
                  <c:v>44812</c:v>
                </c:pt>
                <c:pt idx="1673">
                  <c:v>44813</c:v>
                </c:pt>
                <c:pt idx="1674">
                  <c:v>44816</c:v>
                </c:pt>
                <c:pt idx="1675">
                  <c:v>44817</c:v>
                </c:pt>
                <c:pt idx="1676">
                  <c:v>44818</c:v>
                </c:pt>
                <c:pt idx="1677">
                  <c:v>44819</c:v>
                </c:pt>
                <c:pt idx="1678">
                  <c:v>44820</c:v>
                </c:pt>
                <c:pt idx="1679">
                  <c:v>44823</c:v>
                </c:pt>
                <c:pt idx="1680">
                  <c:v>44824</c:v>
                </c:pt>
                <c:pt idx="1681">
                  <c:v>44825</c:v>
                </c:pt>
                <c:pt idx="1682">
                  <c:v>44826</c:v>
                </c:pt>
                <c:pt idx="1683">
                  <c:v>44827</c:v>
                </c:pt>
                <c:pt idx="1684">
                  <c:v>44830</c:v>
                </c:pt>
                <c:pt idx="1685">
                  <c:v>44831</c:v>
                </c:pt>
                <c:pt idx="1686">
                  <c:v>44832</c:v>
                </c:pt>
                <c:pt idx="1687">
                  <c:v>44833</c:v>
                </c:pt>
                <c:pt idx="1688">
                  <c:v>44834</c:v>
                </c:pt>
                <c:pt idx="1689">
                  <c:v>44837</c:v>
                </c:pt>
                <c:pt idx="1690">
                  <c:v>44838</c:v>
                </c:pt>
                <c:pt idx="1691">
                  <c:v>44839</c:v>
                </c:pt>
                <c:pt idx="1692">
                  <c:v>44840</c:v>
                </c:pt>
                <c:pt idx="1693">
                  <c:v>44841</c:v>
                </c:pt>
                <c:pt idx="1694">
                  <c:v>44845</c:v>
                </c:pt>
                <c:pt idx="1695">
                  <c:v>44846</c:v>
                </c:pt>
                <c:pt idx="1696">
                  <c:v>44847</c:v>
                </c:pt>
                <c:pt idx="1697">
                  <c:v>44848</c:v>
                </c:pt>
                <c:pt idx="1698">
                  <c:v>44851</c:v>
                </c:pt>
                <c:pt idx="1699">
                  <c:v>44852</c:v>
                </c:pt>
                <c:pt idx="1700">
                  <c:v>44853</c:v>
                </c:pt>
                <c:pt idx="1701">
                  <c:v>44854</c:v>
                </c:pt>
                <c:pt idx="1702">
                  <c:v>44855</c:v>
                </c:pt>
                <c:pt idx="1703">
                  <c:v>44858</c:v>
                </c:pt>
                <c:pt idx="1704">
                  <c:v>44859</c:v>
                </c:pt>
                <c:pt idx="1705">
                  <c:v>44860</c:v>
                </c:pt>
                <c:pt idx="1706">
                  <c:v>44861</c:v>
                </c:pt>
                <c:pt idx="1707">
                  <c:v>44862</c:v>
                </c:pt>
                <c:pt idx="1708">
                  <c:v>44865</c:v>
                </c:pt>
                <c:pt idx="1709">
                  <c:v>44866</c:v>
                </c:pt>
                <c:pt idx="1710">
                  <c:v>44867</c:v>
                </c:pt>
                <c:pt idx="1711">
                  <c:v>44868</c:v>
                </c:pt>
                <c:pt idx="1712">
                  <c:v>44869</c:v>
                </c:pt>
                <c:pt idx="1713">
                  <c:v>44872</c:v>
                </c:pt>
                <c:pt idx="1714">
                  <c:v>44873</c:v>
                </c:pt>
                <c:pt idx="1715">
                  <c:v>44874</c:v>
                </c:pt>
                <c:pt idx="1716">
                  <c:v>44875</c:v>
                </c:pt>
                <c:pt idx="1717">
                  <c:v>44879</c:v>
                </c:pt>
                <c:pt idx="1718">
                  <c:v>44880</c:v>
                </c:pt>
                <c:pt idx="1719">
                  <c:v>44881</c:v>
                </c:pt>
                <c:pt idx="1720">
                  <c:v>44882</c:v>
                </c:pt>
                <c:pt idx="1721">
                  <c:v>44883</c:v>
                </c:pt>
                <c:pt idx="1722">
                  <c:v>44886</c:v>
                </c:pt>
                <c:pt idx="1723">
                  <c:v>44887</c:v>
                </c:pt>
                <c:pt idx="1724">
                  <c:v>44888</c:v>
                </c:pt>
                <c:pt idx="1725">
                  <c:v>44890</c:v>
                </c:pt>
                <c:pt idx="1726">
                  <c:v>44893</c:v>
                </c:pt>
                <c:pt idx="1727">
                  <c:v>44894</c:v>
                </c:pt>
                <c:pt idx="1728">
                  <c:v>44895</c:v>
                </c:pt>
                <c:pt idx="1729">
                  <c:v>44896</c:v>
                </c:pt>
                <c:pt idx="1730">
                  <c:v>44897</c:v>
                </c:pt>
                <c:pt idx="1731">
                  <c:v>44900</c:v>
                </c:pt>
                <c:pt idx="1732">
                  <c:v>44901</c:v>
                </c:pt>
                <c:pt idx="1733">
                  <c:v>44902</c:v>
                </c:pt>
                <c:pt idx="1734">
                  <c:v>44903</c:v>
                </c:pt>
                <c:pt idx="1735">
                  <c:v>44904</c:v>
                </c:pt>
                <c:pt idx="1736">
                  <c:v>44907</c:v>
                </c:pt>
                <c:pt idx="1737">
                  <c:v>44908</c:v>
                </c:pt>
                <c:pt idx="1738">
                  <c:v>44909</c:v>
                </c:pt>
                <c:pt idx="1739">
                  <c:v>44910</c:v>
                </c:pt>
                <c:pt idx="1740">
                  <c:v>44911</c:v>
                </c:pt>
                <c:pt idx="1741">
                  <c:v>44914</c:v>
                </c:pt>
                <c:pt idx="1742">
                  <c:v>44915</c:v>
                </c:pt>
                <c:pt idx="1743">
                  <c:v>44916</c:v>
                </c:pt>
                <c:pt idx="1744">
                  <c:v>44917</c:v>
                </c:pt>
                <c:pt idx="1745">
                  <c:v>44918</c:v>
                </c:pt>
                <c:pt idx="1746">
                  <c:v>44922</c:v>
                </c:pt>
                <c:pt idx="1747">
                  <c:v>44923</c:v>
                </c:pt>
                <c:pt idx="1748">
                  <c:v>44924</c:v>
                </c:pt>
                <c:pt idx="1749">
                  <c:v>44925</c:v>
                </c:pt>
                <c:pt idx="1750">
                  <c:v>44929</c:v>
                </c:pt>
                <c:pt idx="1751">
                  <c:v>44930</c:v>
                </c:pt>
                <c:pt idx="1752">
                  <c:v>44931</c:v>
                </c:pt>
                <c:pt idx="1753">
                  <c:v>44932</c:v>
                </c:pt>
                <c:pt idx="1754">
                  <c:v>44935</c:v>
                </c:pt>
                <c:pt idx="1755">
                  <c:v>44936</c:v>
                </c:pt>
                <c:pt idx="1756">
                  <c:v>44937</c:v>
                </c:pt>
                <c:pt idx="1757">
                  <c:v>44938</c:v>
                </c:pt>
                <c:pt idx="1758">
                  <c:v>44939</c:v>
                </c:pt>
                <c:pt idx="1759">
                  <c:v>44943</c:v>
                </c:pt>
                <c:pt idx="1760">
                  <c:v>44944</c:v>
                </c:pt>
                <c:pt idx="1761">
                  <c:v>44945</c:v>
                </c:pt>
                <c:pt idx="1762">
                  <c:v>44946</c:v>
                </c:pt>
                <c:pt idx="1763">
                  <c:v>44949</c:v>
                </c:pt>
                <c:pt idx="1764">
                  <c:v>44950</c:v>
                </c:pt>
                <c:pt idx="1765">
                  <c:v>44951</c:v>
                </c:pt>
                <c:pt idx="1766">
                  <c:v>44952</c:v>
                </c:pt>
                <c:pt idx="1767">
                  <c:v>44953</c:v>
                </c:pt>
                <c:pt idx="1768">
                  <c:v>44956</c:v>
                </c:pt>
                <c:pt idx="1769">
                  <c:v>44957</c:v>
                </c:pt>
                <c:pt idx="1770">
                  <c:v>44958</c:v>
                </c:pt>
                <c:pt idx="1771">
                  <c:v>44959</c:v>
                </c:pt>
                <c:pt idx="1772">
                  <c:v>44960</c:v>
                </c:pt>
                <c:pt idx="1773">
                  <c:v>44963</c:v>
                </c:pt>
                <c:pt idx="1774">
                  <c:v>44964</c:v>
                </c:pt>
                <c:pt idx="1775">
                  <c:v>44965</c:v>
                </c:pt>
                <c:pt idx="1776">
                  <c:v>44966</c:v>
                </c:pt>
                <c:pt idx="1777">
                  <c:v>44967</c:v>
                </c:pt>
                <c:pt idx="1778">
                  <c:v>44970</c:v>
                </c:pt>
                <c:pt idx="1779">
                  <c:v>44971</c:v>
                </c:pt>
                <c:pt idx="1780">
                  <c:v>44972</c:v>
                </c:pt>
                <c:pt idx="1781">
                  <c:v>44973</c:v>
                </c:pt>
                <c:pt idx="1782">
                  <c:v>44974</c:v>
                </c:pt>
                <c:pt idx="1783">
                  <c:v>44978</c:v>
                </c:pt>
                <c:pt idx="1784">
                  <c:v>44979</c:v>
                </c:pt>
                <c:pt idx="1785">
                  <c:v>44980</c:v>
                </c:pt>
                <c:pt idx="1786">
                  <c:v>44981</c:v>
                </c:pt>
                <c:pt idx="1787">
                  <c:v>44984</c:v>
                </c:pt>
                <c:pt idx="1788">
                  <c:v>44985</c:v>
                </c:pt>
                <c:pt idx="1789">
                  <c:v>44986</c:v>
                </c:pt>
                <c:pt idx="1790">
                  <c:v>44987</c:v>
                </c:pt>
                <c:pt idx="1791">
                  <c:v>44988</c:v>
                </c:pt>
                <c:pt idx="1792">
                  <c:v>44991</c:v>
                </c:pt>
                <c:pt idx="1793">
                  <c:v>44992</c:v>
                </c:pt>
                <c:pt idx="1794">
                  <c:v>44993</c:v>
                </c:pt>
                <c:pt idx="1795">
                  <c:v>44994</c:v>
                </c:pt>
                <c:pt idx="1796">
                  <c:v>44995</c:v>
                </c:pt>
                <c:pt idx="1797">
                  <c:v>44998</c:v>
                </c:pt>
                <c:pt idx="1798">
                  <c:v>44999</c:v>
                </c:pt>
                <c:pt idx="1799">
                  <c:v>45000</c:v>
                </c:pt>
                <c:pt idx="1800">
                  <c:v>45001</c:v>
                </c:pt>
                <c:pt idx="1801">
                  <c:v>45002</c:v>
                </c:pt>
                <c:pt idx="1802">
                  <c:v>45005</c:v>
                </c:pt>
                <c:pt idx="1803">
                  <c:v>45006</c:v>
                </c:pt>
                <c:pt idx="1804">
                  <c:v>45007</c:v>
                </c:pt>
                <c:pt idx="1805">
                  <c:v>45008</c:v>
                </c:pt>
                <c:pt idx="1806">
                  <c:v>45009</c:v>
                </c:pt>
                <c:pt idx="1807">
                  <c:v>45012</c:v>
                </c:pt>
                <c:pt idx="1808">
                  <c:v>45013</c:v>
                </c:pt>
                <c:pt idx="1809">
                  <c:v>45014</c:v>
                </c:pt>
                <c:pt idx="1810">
                  <c:v>45015</c:v>
                </c:pt>
                <c:pt idx="1811">
                  <c:v>45016</c:v>
                </c:pt>
                <c:pt idx="1812">
                  <c:v>45019</c:v>
                </c:pt>
                <c:pt idx="1813">
                  <c:v>45020</c:v>
                </c:pt>
                <c:pt idx="1814">
                  <c:v>45021</c:v>
                </c:pt>
                <c:pt idx="1815">
                  <c:v>45022</c:v>
                </c:pt>
                <c:pt idx="1816">
                  <c:v>45023</c:v>
                </c:pt>
                <c:pt idx="1817">
                  <c:v>45026</c:v>
                </c:pt>
                <c:pt idx="1818">
                  <c:v>45027</c:v>
                </c:pt>
                <c:pt idx="1819">
                  <c:v>45028</c:v>
                </c:pt>
                <c:pt idx="1820">
                  <c:v>45029</c:v>
                </c:pt>
                <c:pt idx="1821">
                  <c:v>45030</c:v>
                </c:pt>
                <c:pt idx="1822">
                  <c:v>45033</c:v>
                </c:pt>
                <c:pt idx="1823">
                  <c:v>45034</c:v>
                </c:pt>
                <c:pt idx="1824">
                  <c:v>45035</c:v>
                </c:pt>
                <c:pt idx="1825">
                  <c:v>45036</c:v>
                </c:pt>
                <c:pt idx="1826">
                  <c:v>45037</c:v>
                </c:pt>
                <c:pt idx="1827">
                  <c:v>45040</c:v>
                </c:pt>
                <c:pt idx="1828">
                  <c:v>45041</c:v>
                </c:pt>
                <c:pt idx="1829">
                  <c:v>45042</c:v>
                </c:pt>
                <c:pt idx="1830">
                  <c:v>45043</c:v>
                </c:pt>
                <c:pt idx="1831">
                  <c:v>45044</c:v>
                </c:pt>
                <c:pt idx="1832">
                  <c:v>45047</c:v>
                </c:pt>
                <c:pt idx="1833">
                  <c:v>45048</c:v>
                </c:pt>
                <c:pt idx="1834">
                  <c:v>45049</c:v>
                </c:pt>
                <c:pt idx="1835">
                  <c:v>45050</c:v>
                </c:pt>
                <c:pt idx="1836">
                  <c:v>45051</c:v>
                </c:pt>
                <c:pt idx="1837">
                  <c:v>45054</c:v>
                </c:pt>
                <c:pt idx="1838">
                  <c:v>45055</c:v>
                </c:pt>
                <c:pt idx="1839">
                  <c:v>45056</c:v>
                </c:pt>
                <c:pt idx="1840">
                  <c:v>45057</c:v>
                </c:pt>
                <c:pt idx="1841">
                  <c:v>45058</c:v>
                </c:pt>
                <c:pt idx="1842">
                  <c:v>45061</c:v>
                </c:pt>
                <c:pt idx="1843">
                  <c:v>45062</c:v>
                </c:pt>
                <c:pt idx="1844">
                  <c:v>45063</c:v>
                </c:pt>
                <c:pt idx="1845">
                  <c:v>45064</c:v>
                </c:pt>
                <c:pt idx="1846">
                  <c:v>45065</c:v>
                </c:pt>
                <c:pt idx="1847">
                  <c:v>45068</c:v>
                </c:pt>
                <c:pt idx="1848">
                  <c:v>45069</c:v>
                </c:pt>
                <c:pt idx="1849">
                  <c:v>45070</c:v>
                </c:pt>
                <c:pt idx="1850">
                  <c:v>45071</c:v>
                </c:pt>
                <c:pt idx="1851">
                  <c:v>45072</c:v>
                </c:pt>
                <c:pt idx="1852">
                  <c:v>45076</c:v>
                </c:pt>
                <c:pt idx="1853">
                  <c:v>45077</c:v>
                </c:pt>
                <c:pt idx="1854">
                  <c:v>45078</c:v>
                </c:pt>
                <c:pt idx="1855">
                  <c:v>45079</c:v>
                </c:pt>
                <c:pt idx="1856">
                  <c:v>45082</c:v>
                </c:pt>
                <c:pt idx="1857">
                  <c:v>45083</c:v>
                </c:pt>
                <c:pt idx="1858">
                  <c:v>45084</c:v>
                </c:pt>
                <c:pt idx="1859">
                  <c:v>45085</c:v>
                </c:pt>
                <c:pt idx="1860">
                  <c:v>45086</c:v>
                </c:pt>
                <c:pt idx="1861">
                  <c:v>45089</c:v>
                </c:pt>
                <c:pt idx="1862">
                  <c:v>45090</c:v>
                </c:pt>
                <c:pt idx="1863">
                  <c:v>45091</c:v>
                </c:pt>
                <c:pt idx="1864">
                  <c:v>45092</c:v>
                </c:pt>
                <c:pt idx="1865">
                  <c:v>45093</c:v>
                </c:pt>
                <c:pt idx="1866">
                  <c:v>45097</c:v>
                </c:pt>
                <c:pt idx="1867">
                  <c:v>45098</c:v>
                </c:pt>
                <c:pt idx="1868">
                  <c:v>45099</c:v>
                </c:pt>
                <c:pt idx="1869">
                  <c:v>45100</c:v>
                </c:pt>
                <c:pt idx="1870">
                  <c:v>45103</c:v>
                </c:pt>
                <c:pt idx="1871">
                  <c:v>45104</c:v>
                </c:pt>
                <c:pt idx="1872">
                  <c:v>45105</c:v>
                </c:pt>
                <c:pt idx="1873">
                  <c:v>45106</c:v>
                </c:pt>
                <c:pt idx="1874">
                  <c:v>45107</c:v>
                </c:pt>
                <c:pt idx="1875">
                  <c:v>45110</c:v>
                </c:pt>
                <c:pt idx="1876">
                  <c:v>45112</c:v>
                </c:pt>
                <c:pt idx="1877">
                  <c:v>45113</c:v>
                </c:pt>
                <c:pt idx="1878">
                  <c:v>45114</c:v>
                </c:pt>
                <c:pt idx="1879">
                  <c:v>45117</c:v>
                </c:pt>
                <c:pt idx="1880">
                  <c:v>45118</c:v>
                </c:pt>
                <c:pt idx="1881">
                  <c:v>45119</c:v>
                </c:pt>
                <c:pt idx="1882">
                  <c:v>45120</c:v>
                </c:pt>
                <c:pt idx="1883">
                  <c:v>45121</c:v>
                </c:pt>
                <c:pt idx="1884">
                  <c:v>45124</c:v>
                </c:pt>
                <c:pt idx="1885">
                  <c:v>45125</c:v>
                </c:pt>
                <c:pt idx="1886">
                  <c:v>45126</c:v>
                </c:pt>
                <c:pt idx="1887">
                  <c:v>45127</c:v>
                </c:pt>
                <c:pt idx="1888">
                  <c:v>45128</c:v>
                </c:pt>
                <c:pt idx="1889">
                  <c:v>45131</c:v>
                </c:pt>
                <c:pt idx="1890">
                  <c:v>45132</c:v>
                </c:pt>
                <c:pt idx="1891">
                  <c:v>45133</c:v>
                </c:pt>
                <c:pt idx="1892">
                  <c:v>45134</c:v>
                </c:pt>
                <c:pt idx="1893">
                  <c:v>45135</c:v>
                </c:pt>
                <c:pt idx="1894">
                  <c:v>45138</c:v>
                </c:pt>
                <c:pt idx="1895">
                  <c:v>45139</c:v>
                </c:pt>
                <c:pt idx="1896">
                  <c:v>45140</c:v>
                </c:pt>
                <c:pt idx="1897">
                  <c:v>45141</c:v>
                </c:pt>
                <c:pt idx="1898">
                  <c:v>45142</c:v>
                </c:pt>
                <c:pt idx="1899">
                  <c:v>45145</c:v>
                </c:pt>
                <c:pt idx="1900">
                  <c:v>45146</c:v>
                </c:pt>
                <c:pt idx="1901">
                  <c:v>45147</c:v>
                </c:pt>
                <c:pt idx="1902">
                  <c:v>45148</c:v>
                </c:pt>
                <c:pt idx="1903">
                  <c:v>45149</c:v>
                </c:pt>
                <c:pt idx="1904">
                  <c:v>45152</c:v>
                </c:pt>
                <c:pt idx="1905">
                  <c:v>45153</c:v>
                </c:pt>
                <c:pt idx="1906">
                  <c:v>45154</c:v>
                </c:pt>
                <c:pt idx="1907">
                  <c:v>45155</c:v>
                </c:pt>
                <c:pt idx="1908">
                  <c:v>45156</c:v>
                </c:pt>
                <c:pt idx="1909">
                  <c:v>45159</c:v>
                </c:pt>
                <c:pt idx="1910">
                  <c:v>45160</c:v>
                </c:pt>
                <c:pt idx="1911">
                  <c:v>45161</c:v>
                </c:pt>
                <c:pt idx="1912">
                  <c:v>45162</c:v>
                </c:pt>
                <c:pt idx="1913">
                  <c:v>45163</c:v>
                </c:pt>
                <c:pt idx="1914">
                  <c:v>45166</c:v>
                </c:pt>
                <c:pt idx="1915">
                  <c:v>45167</c:v>
                </c:pt>
                <c:pt idx="1916">
                  <c:v>45168</c:v>
                </c:pt>
                <c:pt idx="1917">
                  <c:v>45169</c:v>
                </c:pt>
                <c:pt idx="1918">
                  <c:v>45170</c:v>
                </c:pt>
                <c:pt idx="1919">
                  <c:v>45174</c:v>
                </c:pt>
                <c:pt idx="1920">
                  <c:v>45175</c:v>
                </c:pt>
                <c:pt idx="1921">
                  <c:v>45176</c:v>
                </c:pt>
                <c:pt idx="1922">
                  <c:v>45177</c:v>
                </c:pt>
                <c:pt idx="1923">
                  <c:v>45180</c:v>
                </c:pt>
                <c:pt idx="1924">
                  <c:v>45181</c:v>
                </c:pt>
                <c:pt idx="1925">
                  <c:v>45182</c:v>
                </c:pt>
                <c:pt idx="1926">
                  <c:v>45183</c:v>
                </c:pt>
                <c:pt idx="1927">
                  <c:v>45184</c:v>
                </c:pt>
                <c:pt idx="1928">
                  <c:v>45187</c:v>
                </c:pt>
                <c:pt idx="1929">
                  <c:v>45188</c:v>
                </c:pt>
                <c:pt idx="1930">
                  <c:v>45189</c:v>
                </c:pt>
                <c:pt idx="1931">
                  <c:v>45190</c:v>
                </c:pt>
                <c:pt idx="1932">
                  <c:v>45191</c:v>
                </c:pt>
                <c:pt idx="1933">
                  <c:v>45194</c:v>
                </c:pt>
                <c:pt idx="1934">
                  <c:v>45195</c:v>
                </c:pt>
                <c:pt idx="1935">
                  <c:v>45196</c:v>
                </c:pt>
                <c:pt idx="1936">
                  <c:v>45197</c:v>
                </c:pt>
                <c:pt idx="1937">
                  <c:v>45198</c:v>
                </c:pt>
                <c:pt idx="1938">
                  <c:v>45201</c:v>
                </c:pt>
                <c:pt idx="1939">
                  <c:v>45202</c:v>
                </c:pt>
                <c:pt idx="1940">
                  <c:v>45203</c:v>
                </c:pt>
                <c:pt idx="1941">
                  <c:v>45204</c:v>
                </c:pt>
                <c:pt idx="1942">
                  <c:v>45205</c:v>
                </c:pt>
                <c:pt idx="1943">
                  <c:v>45209</c:v>
                </c:pt>
                <c:pt idx="1944">
                  <c:v>45210</c:v>
                </c:pt>
                <c:pt idx="1945">
                  <c:v>45211</c:v>
                </c:pt>
                <c:pt idx="1946">
                  <c:v>45212</c:v>
                </c:pt>
                <c:pt idx="1947">
                  <c:v>45215</c:v>
                </c:pt>
                <c:pt idx="1948">
                  <c:v>45216</c:v>
                </c:pt>
                <c:pt idx="1949">
                  <c:v>45217</c:v>
                </c:pt>
                <c:pt idx="1950">
                  <c:v>45218</c:v>
                </c:pt>
                <c:pt idx="1951">
                  <c:v>45219</c:v>
                </c:pt>
                <c:pt idx="1952">
                  <c:v>45222</c:v>
                </c:pt>
                <c:pt idx="1953">
                  <c:v>45223</c:v>
                </c:pt>
                <c:pt idx="1954">
                  <c:v>45224</c:v>
                </c:pt>
                <c:pt idx="1955">
                  <c:v>45225</c:v>
                </c:pt>
                <c:pt idx="1956">
                  <c:v>45226</c:v>
                </c:pt>
                <c:pt idx="1957">
                  <c:v>45229</c:v>
                </c:pt>
                <c:pt idx="1958">
                  <c:v>45230</c:v>
                </c:pt>
                <c:pt idx="1959">
                  <c:v>45231</c:v>
                </c:pt>
                <c:pt idx="1960">
                  <c:v>45232</c:v>
                </c:pt>
                <c:pt idx="1961">
                  <c:v>45233</c:v>
                </c:pt>
                <c:pt idx="1962">
                  <c:v>45236</c:v>
                </c:pt>
                <c:pt idx="1963">
                  <c:v>45237</c:v>
                </c:pt>
                <c:pt idx="1964">
                  <c:v>45238</c:v>
                </c:pt>
                <c:pt idx="1965">
                  <c:v>45239</c:v>
                </c:pt>
                <c:pt idx="1966">
                  <c:v>45240</c:v>
                </c:pt>
                <c:pt idx="1967">
                  <c:v>45243</c:v>
                </c:pt>
                <c:pt idx="1968">
                  <c:v>45244</c:v>
                </c:pt>
                <c:pt idx="1969">
                  <c:v>45245</c:v>
                </c:pt>
                <c:pt idx="1970">
                  <c:v>45246</c:v>
                </c:pt>
                <c:pt idx="1971">
                  <c:v>45247</c:v>
                </c:pt>
                <c:pt idx="1972">
                  <c:v>45250</c:v>
                </c:pt>
                <c:pt idx="1973">
                  <c:v>45251</c:v>
                </c:pt>
                <c:pt idx="1974">
                  <c:v>45252</c:v>
                </c:pt>
                <c:pt idx="1975">
                  <c:v>45254</c:v>
                </c:pt>
                <c:pt idx="1976">
                  <c:v>45257</c:v>
                </c:pt>
                <c:pt idx="1977">
                  <c:v>45258</c:v>
                </c:pt>
                <c:pt idx="1978">
                  <c:v>45259</c:v>
                </c:pt>
                <c:pt idx="1979">
                  <c:v>45260</c:v>
                </c:pt>
                <c:pt idx="1980">
                  <c:v>45261</c:v>
                </c:pt>
                <c:pt idx="1981">
                  <c:v>45264</c:v>
                </c:pt>
                <c:pt idx="1982">
                  <c:v>45265</c:v>
                </c:pt>
                <c:pt idx="1983">
                  <c:v>45266</c:v>
                </c:pt>
                <c:pt idx="1984">
                  <c:v>45267</c:v>
                </c:pt>
                <c:pt idx="1985">
                  <c:v>45268</c:v>
                </c:pt>
                <c:pt idx="1986">
                  <c:v>45271</c:v>
                </c:pt>
                <c:pt idx="1987">
                  <c:v>45272</c:v>
                </c:pt>
                <c:pt idx="1988">
                  <c:v>45273</c:v>
                </c:pt>
                <c:pt idx="1989">
                  <c:v>45274</c:v>
                </c:pt>
                <c:pt idx="1990">
                  <c:v>45275</c:v>
                </c:pt>
                <c:pt idx="1991">
                  <c:v>45278</c:v>
                </c:pt>
                <c:pt idx="1992">
                  <c:v>45279</c:v>
                </c:pt>
                <c:pt idx="1993">
                  <c:v>45280</c:v>
                </c:pt>
                <c:pt idx="1994">
                  <c:v>45281</c:v>
                </c:pt>
                <c:pt idx="1995">
                  <c:v>45282</c:v>
                </c:pt>
                <c:pt idx="1996">
                  <c:v>45286</c:v>
                </c:pt>
                <c:pt idx="1997">
                  <c:v>45287</c:v>
                </c:pt>
                <c:pt idx="1998">
                  <c:v>45288</c:v>
                </c:pt>
                <c:pt idx="1999">
                  <c:v>45289</c:v>
                </c:pt>
                <c:pt idx="2000">
                  <c:v>45293</c:v>
                </c:pt>
                <c:pt idx="2001">
                  <c:v>45294</c:v>
                </c:pt>
                <c:pt idx="2002">
                  <c:v>45295</c:v>
                </c:pt>
                <c:pt idx="2003">
                  <c:v>45296</c:v>
                </c:pt>
                <c:pt idx="2004">
                  <c:v>45299</c:v>
                </c:pt>
                <c:pt idx="2005">
                  <c:v>45300</c:v>
                </c:pt>
                <c:pt idx="2006">
                  <c:v>45301</c:v>
                </c:pt>
                <c:pt idx="2007">
                  <c:v>45302</c:v>
                </c:pt>
                <c:pt idx="2008">
                  <c:v>45303</c:v>
                </c:pt>
                <c:pt idx="2009">
                  <c:v>45307</c:v>
                </c:pt>
                <c:pt idx="2010">
                  <c:v>45308</c:v>
                </c:pt>
                <c:pt idx="2011">
                  <c:v>45309</c:v>
                </c:pt>
                <c:pt idx="2012">
                  <c:v>45310</c:v>
                </c:pt>
                <c:pt idx="2013">
                  <c:v>45313</c:v>
                </c:pt>
                <c:pt idx="2014">
                  <c:v>45314</c:v>
                </c:pt>
                <c:pt idx="2015">
                  <c:v>45315</c:v>
                </c:pt>
                <c:pt idx="2016">
                  <c:v>45316</c:v>
                </c:pt>
                <c:pt idx="2017">
                  <c:v>45317</c:v>
                </c:pt>
                <c:pt idx="2018">
                  <c:v>45320</c:v>
                </c:pt>
                <c:pt idx="2019">
                  <c:v>45321</c:v>
                </c:pt>
                <c:pt idx="2020">
                  <c:v>45322</c:v>
                </c:pt>
                <c:pt idx="2021">
                  <c:v>45323</c:v>
                </c:pt>
                <c:pt idx="2022">
                  <c:v>45324</c:v>
                </c:pt>
                <c:pt idx="2023">
                  <c:v>45327</c:v>
                </c:pt>
                <c:pt idx="2024">
                  <c:v>45328</c:v>
                </c:pt>
                <c:pt idx="2025">
                  <c:v>45329</c:v>
                </c:pt>
                <c:pt idx="2026">
                  <c:v>45330</c:v>
                </c:pt>
                <c:pt idx="2027">
                  <c:v>45331</c:v>
                </c:pt>
                <c:pt idx="2028">
                  <c:v>45334</c:v>
                </c:pt>
                <c:pt idx="2029">
                  <c:v>45335</c:v>
                </c:pt>
                <c:pt idx="2030">
                  <c:v>45336</c:v>
                </c:pt>
                <c:pt idx="2031">
                  <c:v>45337</c:v>
                </c:pt>
                <c:pt idx="2032">
                  <c:v>45338</c:v>
                </c:pt>
                <c:pt idx="2033">
                  <c:v>45342</c:v>
                </c:pt>
                <c:pt idx="2034">
                  <c:v>45343</c:v>
                </c:pt>
                <c:pt idx="2035">
                  <c:v>45344</c:v>
                </c:pt>
                <c:pt idx="2036">
                  <c:v>45345</c:v>
                </c:pt>
                <c:pt idx="2037">
                  <c:v>45348</c:v>
                </c:pt>
                <c:pt idx="2038">
                  <c:v>45349</c:v>
                </c:pt>
                <c:pt idx="2039">
                  <c:v>45350</c:v>
                </c:pt>
                <c:pt idx="2040">
                  <c:v>45351</c:v>
                </c:pt>
                <c:pt idx="2041">
                  <c:v>45352</c:v>
                </c:pt>
                <c:pt idx="2042">
                  <c:v>45355</c:v>
                </c:pt>
                <c:pt idx="2043">
                  <c:v>45356</c:v>
                </c:pt>
                <c:pt idx="2044">
                  <c:v>45357</c:v>
                </c:pt>
                <c:pt idx="2045">
                  <c:v>45358</c:v>
                </c:pt>
                <c:pt idx="2046">
                  <c:v>45359</c:v>
                </c:pt>
                <c:pt idx="2047">
                  <c:v>45362</c:v>
                </c:pt>
                <c:pt idx="2048">
                  <c:v>45363</c:v>
                </c:pt>
                <c:pt idx="2049">
                  <c:v>45364</c:v>
                </c:pt>
                <c:pt idx="2050">
                  <c:v>45365</c:v>
                </c:pt>
                <c:pt idx="2051">
                  <c:v>45366</c:v>
                </c:pt>
                <c:pt idx="2052">
                  <c:v>45369</c:v>
                </c:pt>
                <c:pt idx="2053">
                  <c:v>45370</c:v>
                </c:pt>
                <c:pt idx="2054">
                  <c:v>45371</c:v>
                </c:pt>
                <c:pt idx="2055">
                  <c:v>45372</c:v>
                </c:pt>
                <c:pt idx="2056">
                  <c:v>45373</c:v>
                </c:pt>
                <c:pt idx="2057">
                  <c:v>45376</c:v>
                </c:pt>
                <c:pt idx="2058">
                  <c:v>45377</c:v>
                </c:pt>
                <c:pt idx="2059">
                  <c:v>45378</c:v>
                </c:pt>
                <c:pt idx="2060">
                  <c:v>45379</c:v>
                </c:pt>
                <c:pt idx="2061">
                  <c:v>45383</c:v>
                </c:pt>
                <c:pt idx="2062">
                  <c:v>45384</c:v>
                </c:pt>
                <c:pt idx="2063">
                  <c:v>45385</c:v>
                </c:pt>
                <c:pt idx="2064">
                  <c:v>45386</c:v>
                </c:pt>
                <c:pt idx="2065">
                  <c:v>45387</c:v>
                </c:pt>
                <c:pt idx="2066">
                  <c:v>45390</c:v>
                </c:pt>
                <c:pt idx="2067">
                  <c:v>45391</c:v>
                </c:pt>
                <c:pt idx="2068">
                  <c:v>45392</c:v>
                </c:pt>
                <c:pt idx="2069">
                  <c:v>45393</c:v>
                </c:pt>
                <c:pt idx="2070">
                  <c:v>45394</c:v>
                </c:pt>
                <c:pt idx="2071">
                  <c:v>45397</c:v>
                </c:pt>
                <c:pt idx="2072">
                  <c:v>45398</c:v>
                </c:pt>
                <c:pt idx="2073">
                  <c:v>45399</c:v>
                </c:pt>
                <c:pt idx="2074">
                  <c:v>45400</c:v>
                </c:pt>
                <c:pt idx="2075">
                  <c:v>45401</c:v>
                </c:pt>
                <c:pt idx="2076">
                  <c:v>45404</c:v>
                </c:pt>
                <c:pt idx="2077">
                  <c:v>45405</c:v>
                </c:pt>
                <c:pt idx="2078">
                  <c:v>45406</c:v>
                </c:pt>
                <c:pt idx="2079">
                  <c:v>45407</c:v>
                </c:pt>
                <c:pt idx="2080">
                  <c:v>45408</c:v>
                </c:pt>
                <c:pt idx="2081">
                  <c:v>45411</c:v>
                </c:pt>
                <c:pt idx="2082">
                  <c:v>45412</c:v>
                </c:pt>
                <c:pt idx="2083">
                  <c:v>45413</c:v>
                </c:pt>
                <c:pt idx="2084">
                  <c:v>45414</c:v>
                </c:pt>
                <c:pt idx="2085">
                  <c:v>45415</c:v>
                </c:pt>
                <c:pt idx="2086">
                  <c:v>45418</c:v>
                </c:pt>
                <c:pt idx="2087">
                  <c:v>45419</c:v>
                </c:pt>
                <c:pt idx="2088">
                  <c:v>45420</c:v>
                </c:pt>
                <c:pt idx="2089">
                  <c:v>45421</c:v>
                </c:pt>
                <c:pt idx="2090">
                  <c:v>45422</c:v>
                </c:pt>
                <c:pt idx="2091">
                  <c:v>45425</c:v>
                </c:pt>
                <c:pt idx="2092">
                  <c:v>45426</c:v>
                </c:pt>
                <c:pt idx="2093">
                  <c:v>45427</c:v>
                </c:pt>
                <c:pt idx="2094">
                  <c:v>45428</c:v>
                </c:pt>
                <c:pt idx="2095">
                  <c:v>45429</c:v>
                </c:pt>
                <c:pt idx="2096">
                  <c:v>45432</c:v>
                </c:pt>
                <c:pt idx="2097">
                  <c:v>45433</c:v>
                </c:pt>
                <c:pt idx="2098">
                  <c:v>45434</c:v>
                </c:pt>
                <c:pt idx="2099">
                  <c:v>45435</c:v>
                </c:pt>
                <c:pt idx="2100">
                  <c:v>45436</c:v>
                </c:pt>
                <c:pt idx="2101">
                  <c:v>45440</c:v>
                </c:pt>
                <c:pt idx="2102">
                  <c:v>45441</c:v>
                </c:pt>
                <c:pt idx="2103">
                  <c:v>45442</c:v>
                </c:pt>
                <c:pt idx="2104">
                  <c:v>45443</c:v>
                </c:pt>
                <c:pt idx="2105">
                  <c:v>45446</c:v>
                </c:pt>
                <c:pt idx="2106">
                  <c:v>45447</c:v>
                </c:pt>
                <c:pt idx="2107">
                  <c:v>45448</c:v>
                </c:pt>
                <c:pt idx="2108">
                  <c:v>45449</c:v>
                </c:pt>
                <c:pt idx="2109">
                  <c:v>45450</c:v>
                </c:pt>
                <c:pt idx="2110">
                  <c:v>45453</c:v>
                </c:pt>
                <c:pt idx="2111">
                  <c:v>45454</c:v>
                </c:pt>
                <c:pt idx="2112">
                  <c:v>45455</c:v>
                </c:pt>
                <c:pt idx="2113">
                  <c:v>45456</c:v>
                </c:pt>
                <c:pt idx="2114">
                  <c:v>45457</c:v>
                </c:pt>
                <c:pt idx="2115">
                  <c:v>45460</c:v>
                </c:pt>
                <c:pt idx="2116">
                  <c:v>45461</c:v>
                </c:pt>
                <c:pt idx="2117">
                  <c:v>45463</c:v>
                </c:pt>
                <c:pt idx="2118">
                  <c:v>45464</c:v>
                </c:pt>
                <c:pt idx="2119">
                  <c:v>45467</c:v>
                </c:pt>
                <c:pt idx="2120">
                  <c:v>45468</c:v>
                </c:pt>
                <c:pt idx="2121">
                  <c:v>45469</c:v>
                </c:pt>
                <c:pt idx="2122">
                  <c:v>45470</c:v>
                </c:pt>
                <c:pt idx="2123">
                  <c:v>45471</c:v>
                </c:pt>
                <c:pt idx="2124">
                  <c:v>45474</c:v>
                </c:pt>
                <c:pt idx="2125">
                  <c:v>45475</c:v>
                </c:pt>
                <c:pt idx="2126">
                  <c:v>45476</c:v>
                </c:pt>
                <c:pt idx="2127">
                  <c:v>45478</c:v>
                </c:pt>
                <c:pt idx="2128">
                  <c:v>45481</c:v>
                </c:pt>
                <c:pt idx="2129">
                  <c:v>45482</c:v>
                </c:pt>
                <c:pt idx="2130">
                  <c:v>45483</c:v>
                </c:pt>
                <c:pt idx="2131">
                  <c:v>45484</c:v>
                </c:pt>
                <c:pt idx="2132">
                  <c:v>45485</c:v>
                </c:pt>
                <c:pt idx="2133">
                  <c:v>45488</c:v>
                </c:pt>
                <c:pt idx="2134">
                  <c:v>45489</c:v>
                </c:pt>
                <c:pt idx="2135">
                  <c:v>45490</c:v>
                </c:pt>
                <c:pt idx="2136">
                  <c:v>45491</c:v>
                </c:pt>
                <c:pt idx="2137">
                  <c:v>45492</c:v>
                </c:pt>
                <c:pt idx="2138">
                  <c:v>45495</c:v>
                </c:pt>
                <c:pt idx="2139">
                  <c:v>45496</c:v>
                </c:pt>
                <c:pt idx="2140">
                  <c:v>45497</c:v>
                </c:pt>
                <c:pt idx="2141">
                  <c:v>45498</c:v>
                </c:pt>
                <c:pt idx="2142">
                  <c:v>45499</c:v>
                </c:pt>
                <c:pt idx="2143">
                  <c:v>45502</c:v>
                </c:pt>
                <c:pt idx="2144">
                  <c:v>45503</c:v>
                </c:pt>
                <c:pt idx="2145">
                  <c:v>45504</c:v>
                </c:pt>
                <c:pt idx="2146">
                  <c:v>45505</c:v>
                </c:pt>
                <c:pt idx="2147">
                  <c:v>45506</c:v>
                </c:pt>
                <c:pt idx="2148">
                  <c:v>45509</c:v>
                </c:pt>
                <c:pt idx="2149">
                  <c:v>45510</c:v>
                </c:pt>
                <c:pt idx="2150">
                  <c:v>45511</c:v>
                </c:pt>
                <c:pt idx="2151">
                  <c:v>45512</c:v>
                </c:pt>
                <c:pt idx="2152">
                  <c:v>45513</c:v>
                </c:pt>
                <c:pt idx="2153">
                  <c:v>45516</c:v>
                </c:pt>
                <c:pt idx="2154">
                  <c:v>45517</c:v>
                </c:pt>
                <c:pt idx="2155">
                  <c:v>45518</c:v>
                </c:pt>
                <c:pt idx="2156">
                  <c:v>45519</c:v>
                </c:pt>
                <c:pt idx="2157">
                  <c:v>45520</c:v>
                </c:pt>
                <c:pt idx="2158">
                  <c:v>45523</c:v>
                </c:pt>
                <c:pt idx="2159">
                  <c:v>45524</c:v>
                </c:pt>
                <c:pt idx="2160">
                  <c:v>45525</c:v>
                </c:pt>
                <c:pt idx="2161">
                  <c:v>45526</c:v>
                </c:pt>
                <c:pt idx="2162">
                  <c:v>45527</c:v>
                </c:pt>
                <c:pt idx="2163">
                  <c:v>45530</c:v>
                </c:pt>
                <c:pt idx="2164">
                  <c:v>45531</c:v>
                </c:pt>
                <c:pt idx="2165">
                  <c:v>45532</c:v>
                </c:pt>
                <c:pt idx="2166">
                  <c:v>45533</c:v>
                </c:pt>
                <c:pt idx="2167">
                  <c:v>45534</c:v>
                </c:pt>
                <c:pt idx="2168">
                  <c:v>45538</c:v>
                </c:pt>
                <c:pt idx="2169">
                  <c:v>45539</c:v>
                </c:pt>
                <c:pt idx="2170">
                  <c:v>45540</c:v>
                </c:pt>
                <c:pt idx="2171">
                  <c:v>45541</c:v>
                </c:pt>
                <c:pt idx="2172">
                  <c:v>45544</c:v>
                </c:pt>
                <c:pt idx="2173">
                  <c:v>45545</c:v>
                </c:pt>
                <c:pt idx="2174">
                  <c:v>45546</c:v>
                </c:pt>
                <c:pt idx="2175">
                  <c:v>45547</c:v>
                </c:pt>
                <c:pt idx="2176">
                  <c:v>45548</c:v>
                </c:pt>
                <c:pt idx="2177">
                  <c:v>45551</c:v>
                </c:pt>
                <c:pt idx="2178">
                  <c:v>45552</c:v>
                </c:pt>
                <c:pt idx="2179">
                  <c:v>45553</c:v>
                </c:pt>
                <c:pt idx="2180">
                  <c:v>45554</c:v>
                </c:pt>
                <c:pt idx="2181">
                  <c:v>45555</c:v>
                </c:pt>
                <c:pt idx="2182">
                  <c:v>45558</c:v>
                </c:pt>
                <c:pt idx="2183">
                  <c:v>45559</c:v>
                </c:pt>
                <c:pt idx="2184">
                  <c:v>45560</c:v>
                </c:pt>
                <c:pt idx="2185">
                  <c:v>45561</c:v>
                </c:pt>
                <c:pt idx="2186">
                  <c:v>45562</c:v>
                </c:pt>
                <c:pt idx="2187">
                  <c:v>45565</c:v>
                </c:pt>
                <c:pt idx="2188">
                  <c:v>45566</c:v>
                </c:pt>
                <c:pt idx="2189">
                  <c:v>45567</c:v>
                </c:pt>
                <c:pt idx="2190">
                  <c:v>45568</c:v>
                </c:pt>
                <c:pt idx="2191">
                  <c:v>45569</c:v>
                </c:pt>
                <c:pt idx="2192">
                  <c:v>45572</c:v>
                </c:pt>
                <c:pt idx="2193">
                  <c:v>45573</c:v>
                </c:pt>
                <c:pt idx="2194">
                  <c:v>45574</c:v>
                </c:pt>
                <c:pt idx="2195">
                  <c:v>45575</c:v>
                </c:pt>
                <c:pt idx="2196">
                  <c:v>45576</c:v>
                </c:pt>
                <c:pt idx="2197">
                  <c:v>45580</c:v>
                </c:pt>
                <c:pt idx="2198">
                  <c:v>45581</c:v>
                </c:pt>
                <c:pt idx="2199">
                  <c:v>45582</c:v>
                </c:pt>
                <c:pt idx="2200">
                  <c:v>45583</c:v>
                </c:pt>
                <c:pt idx="2201">
                  <c:v>45586</c:v>
                </c:pt>
                <c:pt idx="2202">
                  <c:v>45587</c:v>
                </c:pt>
                <c:pt idx="2203">
                  <c:v>45588</c:v>
                </c:pt>
                <c:pt idx="2204">
                  <c:v>45589</c:v>
                </c:pt>
                <c:pt idx="2205">
                  <c:v>45590</c:v>
                </c:pt>
                <c:pt idx="2206">
                  <c:v>45593</c:v>
                </c:pt>
                <c:pt idx="2207">
                  <c:v>45594</c:v>
                </c:pt>
                <c:pt idx="2208">
                  <c:v>45595</c:v>
                </c:pt>
                <c:pt idx="2209">
                  <c:v>45596</c:v>
                </c:pt>
                <c:pt idx="2210">
                  <c:v>45597</c:v>
                </c:pt>
                <c:pt idx="2211">
                  <c:v>45600</c:v>
                </c:pt>
                <c:pt idx="2212">
                  <c:v>45601</c:v>
                </c:pt>
                <c:pt idx="2213">
                  <c:v>45602</c:v>
                </c:pt>
                <c:pt idx="2214">
                  <c:v>45603</c:v>
                </c:pt>
                <c:pt idx="2215">
                  <c:v>45604</c:v>
                </c:pt>
                <c:pt idx="2216">
                  <c:v>45608</c:v>
                </c:pt>
                <c:pt idx="2217">
                  <c:v>45609</c:v>
                </c:pt>
                <c:pt idx="2218">
                  <c:v>45610</c:v>
                </c:pt>
                <c:pt idx="2219">
                  <c:v>45611</c:v>
                </c:pt>
                <c:pt idx="2220">
                  <c:v>45614</c:v>
                </c:pt>
                <c:pt idx="2221">
                  <c:v>45615</c:v>
                </c:pt>
                <c:pt idx="2222">
                  <c:v>45616</c:v>
                </c:pt>
                <c:pt idx="2223">
                  <c:v>45617</c:v>
                </c:pt>
                <c:pt idx="2224">
                  <c:v>45618</c:v>
                </c:pt>
                <c:pt idx="2225">
                  <c:v>45621</c:v>
                </c:pt>
                <c:pt idx="2226">
                  <c:v>45622</c:v>
                </c:pt>
                <c:pt idx="2227">
                  <c:v>45623</c:v>
                </c:pt>
                <c:pt idx="2228">
                  <c:v>45625</c:v>
                </c:pt>
                <c:pt idx="2229">
                  <c:v>45628</c:v>
                </c:pt>
                <c:pt idx="2230">
                  <c:v>45629</c:v>
                </c:pt>
                <c:pt idx="2231">
                  <c:v>45630</c:v>
                </c:pt>
                <c:pt idx="2232">
                  <c:v>45631</c:v>
                </c:pt>
                <c:pt idx="2233">
                  <c:v>45632</c:v>
                </c:pt>
                <c:pt idx="2234">
                  <c:v>45635</c:v>
                </c:pt>
                <c:pt idx="2235">
                  <c:v>45636</c:v>
                </c:pt>
                <c:pt idx="2236">
                  <c:v>45637</c:v>
                </c:pt>
                <c:pt idx="2237">
                  <c:v>45638</c:v>
                </c:pt>
                <c:pt idx="2238">
                  <c:v>45639</c:v>
                </c:pt>
                <c:pt idx="2239">
                  <c:v>45642</c:v>
                </c:pt>
                <c:pt idx="2240">
                  <c:v>45643</c:v>
                </c:pt>
                <c:pt idx="2241">
                  <c:v>45644</c:v>
                </c:pt>
                <c:pt idx="2242">
                  <c:v>45645</c:v>
                </c:pt>
                <c:pt idx="2243">
                  <c:v>45646</c:v>
                </c:pt>
                <c:pt idx="2244">
                  <c:v>45649</c:v>
                </c:pt>
                <c:pt idx="2245">
                  <c:v>45650</c:v>
                </c:pt>
                <c:pt idx="2246">
                  <c:v>45652</c:v>
                </c:pt>
                <c:pt idx="2247">
                  <c:v>45653</c:v>
                </c:pt>
                <c:pt idx="2248">
                  <c:v>45656</c:v>
                </c:pt>
                <c:pt idx="2249">
                  <c:v>45657</c:v>
                </c:pt>
              </c:numCache>
            </c:numRef>
          </c:cat>
          <c:val>
            <c:numRef>
              <c:f>Data!$S$38:$S$2287</c:f>
              <c:numCache>
                <c:formatCode>0.00%</c:formatCode>
                <c:ptCount val="2250"/>
                <c:pt idx="0">
                  <c:v>1.7299999999999999E-2</c:v>
                </c:pt>
                <c:pt idx="1">
                  <c:v>1.7299999999999999E-2</c:v>
                </c:pt>
                <c:pt idx="2">
                  <c:v>1.6500000000000001E-2</c:v>
                </c:pt>
                <c:pt idx="3">
                  <c:v>1.61E-2</c:v>
                </c:pt>
                <c:pt idx="4">
                  <c:v>1.5700000000000002E-2</c:v>
                </c:pt>
                <c:pt idx="5">
                  <c:v>1.5800000000000002E-2</c:v>
                </c:pt>
                <c:pt idx="6">
                  <c:v>1.55E-2</c:v>
                </c:pt>
                <c:pt idx="7">
                  <c:v>1.5100000000000001E-2</c:v>
                </c:pt>
                <c:pt idx="8">
                  <c:v>1.52E-2</c:v>
                </c:pt>
                <c:pt idx="9">
                  <c:v>1.46E-2</c:v>
                </c:pt>
                <c:pt idx="10">
                  <c:v>1.49E-2</c:v>
                </c:pt>
                <c:pt idx="11">
                  <c:v>1.44E-2</c:v>
                </c:pt>
                <c:pt idx="12">
                  <c:v>1.44E-2</c:v>
                </c:pt>
                <c:pt idx="13">
                  <c:v>1.49E-2</c:v>
                </c:pt>
                <c:pt idx="14">
                  <c:v>1.47E-2</c:v>
                </c:pt>
                <c:pt idx="15">
                  <c:v>1.4499999999999999E-2</c:v>
                </c:pt>
                <c:pt idx="16">
                  <c:v>1.43E-2</c:v>
                </c:pt>
                <c:pt idx="17">
                  <c:v>1.3999999999999999E-2</c:v>
                </c:pt>
                <c:pt idx="18">
                  <c:v>1.3300000000000001E-2</c:v>
                </c:pt>
                <c:pt idx="19">
                  <c:v>1.38E-2</c:v>
                </c:pt>
                <c:pt idx="20">
                  <c:v>1.2800000000000001E-2</c:v>
                </c:pt>
                <c:pt idx="21">
                  <c:v>1.2699999999999999E-2</c:v>
                </c:pt>
                <c:pt idx="22">
                  <c:v>1.2500000000000001E-2</c:v>
                </c:pt>
                <c:pt idx="23">
                  <c:v>1.2500000000000001E-2</c:v>
                </c:pt>
                <c:pt idx="24">
                  <c:v>1.1599999999999999E-2</c:v>
                </c:pt>
                <c:pt idx="25">
                  <c:v>1.15E-2</c:v>
                </c:pt>
                <c:pt idx="26">
                  <c:v>1.15E-2</c:v>
                </c:pt>
                <c:pt idx="27">
                  <c:v>1.11E-2</c:v>
                </c:pt>
                <c:pt idx="28">
                  <c:v>1.2E-2</c:v>
                </c:pt>
                <c:pt idx="29">
                  <c:v>1.23E-2</c:v>
                </c:pt>
                <c:pt idx="30">
                  <c:v>1.26E-2</c:v>
                </c:pt>
                <c:pt idx="31">
                  <c:v>1.21E-2</c:v>
                </c:pt>
                <c:pt idx="32">
                  <c:v>1.24E-2</c:v>
                </c:pt>
                <c:pt idx="33">
                  <c:v>1.2500000000000001E-2</c:v>
                </c:pt>
                <c:pt idx="34">
                  <c:v>1.23E-2</c:v>
                </c:pt>
                <c:pt idx="35">
                  <c:v>1.21E-2</c:v>
                </c:pt>
                <c:pt idx="36">
                  <c:v>1.1599999999999999E-2</c:v>
                </c:pt>
                <c:pt idx="37">
                  <c:v>1.23E-2</c:v>
                </c:pt>
                <c:pt idx="38">
                  <c:v>1.2199999999999999E-2</c:v>
                </c:pt>
                <c:pt idx="39">
                  <c:v>1.3100000000000001E-2</c:v>
                </c:pt>
                <c:pt idx="40">
                  <c:v>1.34E-2</c:v>
                </c:pt>
                <c:pt idx="41">
                  <c:v>1.3300000000000001E-2</c:v>
                </c:pt>
                <c:pt idx="42">
                  <c:v>1.38E-2</c:v>
                </c:pt>
                <c:pt idx="43">
                  <c:v>1.4199999999999999E-2</c:v>
                </c:pt>
                <c:pt idx="44">
                  <c:v>1.34E-2</c:v>
                </c:pt>
                <c:pt idx="45">
                  <c:v>1.3899999999999999E-2</c:v>
                </c:pt>
                <c:pt idx="46">
                  <c:v>1.4499999999999999E-2</c:v>
                </c:pt>
                <c:pt idx="47">
                  <c:v>1.49E-2</c:v>
                </c:pt>
                <c:pt idx="48">
                  <c:v>1.49E-2</c:v>
                </c:pt>
                <c:pt idx="49">
                  <c:v>1.4999999999999999E-2</c:v>
                </c:pt>
                <c:pt idx="50">
                  <c:v>1.41E-2</c:v>
                </c:pt>
                <c:pt idx="51">
                  <c:v>1.3899999999999999E-2</c:v>
                </c:pt>
                <c:pt idx="52">
                  <c:v>1.34E-2</c:v>
                </c:pt>
                <c:pt idx="53">
                  <c:v>1.38E-2</c:v>
                </c:pt>
                <c:pt idx="54">
                  <c:v>1.4199999999999999E-2</c:v>
                </c:pt>
                <c:pt idx="55">
                  <c:v>1.37E-2</c:v>
                </c:pt>
                <c:pt idx="56">
                  <c:v>1.3899999999999999E-2</c:v>
                </c:pt>
                <c:pt idx="57">
                  <c:v>1.37E-2</c:v>
                </c:pt>
                <c:pt idx="58">
                  <c:v>1.29E-2</c:v>
                </c:pt>
                <c:pt idx="59">
                  <c:v>1.26E-2</c:v>
                </c:pt>
                <c:pt idx="60">
                  <c:v>1.21E-2</c:v>
                </c:pt>
                <c:pt idx="61">
                  <c:v>1.24E-2</c:v>
                </c:pt>
                <c:pt idx="62">
                  <c:v>1.2199999999999999E-2</c:v>
                </c:pt>
                <c:pt idx="63">
                  <c:v>1.1699999999999999E-2</c:v>
                </c:pt>
                <c:pt idx="64">
                  <c:v>1.2E-2</c:v>
                </c:pt>
                <c:pt idx="65">
                  <c:v>1.1399999999999999E-2</c:v>
                </c:pt>
                <c:pt idx="66">
                  <c:v>1.1599999999999999E-2</c:v>
                </c:pt>
                <c:pt idx="67">
                  <c:v>1.1599999999999999E-2</c:v>
                </c:pt>
                <c:pt idx="68">
                  <c:v>1.2199999999999999E-2</c:v>
                </c:pt>
                <c:pt idx="69">
                  <c:v>1.2199999999999999E-2</c:v>
                </c:pt>
                <c:pt idx="70">
                  <c:v>1.26E-2</c:v>
                </c:pt>
                <c:pt idx="71">
                  <c:v>1.2199999999999999E-2</c:v>
                </c:pt>
                <c:pt idx="72">
                  <c:v>1.24E-2</c:v>
                </c:pt>
                <c:pt idx="73">
                  <c:v>1.26E-2</c:v>
                </c:pt>
                <c:pt idx="74">
                  <c:v>1.32E-2</c:v>
                </c:pt>
                <c:pt idx="75">
                  <c:v>1.3500000000000002E-2</c:v>
                </c:pt>
                <c:pt idx="76">
                  <c:v>1.37E-2</c:v>
                </c:pt>
                <c:pt idx="77">
                  <c:v>1.38E-2</c:v>
                </c:pt>
                <c:pt idx="78">
                  <c:v>1.3999999999999999E-2</c:v>
                </c:pt>
                <c:pt idx="79">
                  <c:v>1.3300000000000001E-2</c:v>
                </c:pt>
                <c:pt idx="80">
                  <c:v>1.2800000000000001E-2</c:v>
                </c:pt>
                <c:pt idx="81">
                  <c:v>1.2800000000000001E-2</c:v>
                </c:pt>
                <c:pt idx="82">
                  <c:v>1.32E-2</c:v>
                </c:pt>
                <c:pt idx="83">
                  <c:v>1.2500000000000001E-2</c:v>
                </c:pt>
                <c:pt idx="84">
                  <c:v>1.23E-2</c:v>
                </c:pt>
                <c:pt idx="85">
                  <c:v>1.2E-2</c:v>
                </c:pt>
                <c:pt idx="86">
                  <c:v>1.23E-2</c:v>
                </c:pt>
                <c:pt idx="87">
                  <c:v>1.2E-2</c:v>
                </c:pt>
                <c:pt idx="88">
                  <c:v>1.2E-2</c:v>
                </c:pt>
                <c:pt idx="89">
                  <c:v>1.2E-2</c:v>
                </c:pt>
                <c:pt idx="90">
                  <c:v>1.24E-2</c:v>
                </c:pt>
                <c:pt idx="91">
                  <c:v>1.2199999999999999E-2</c:v>
                </c:pt>
                <c:pt idx="92">
                  <c:v>1.26E-2</c:v>
                </c:pt>
                <c:pt idx="93">
                  <c:v>1.29E-2</c:v>
                </c:pt>
                <c:pt idx="94">
                  <c:v>1.41E-2</c:v>
                </c:pt>
                <c:pt idx="95">
                  <c:v>1.38E-2</c:v>
                </c:pt>
                <c:pt idx="96">
                  <c:v>1.38E-2</c:v>
                </c:pt>
                <c:pt idx="97">
                  <c:v>1.38E-2</c:v>
                </c:pt>
                <c:pt idx="98">
                  <c:v>1.41E-2</c:v>
                </c:pt>
                <c:pt idx="99">
                  <c:v>1.3999999999999999E-2</c:v>
                </c:pt>
                <c:pt idx="100">
                  <c:v>1.3500000000000002E-2</c:v>
                </c:pt>
                <c:pt idx="101">
                  <c:v>1.3899999999999999E-2</c:v>
                </c:pt>
                <c:pt idx="102">
                  <c:v>1.37E-2</c:v>
                </c:pt>
                <c:pt idx="103">
                  <c:v>1.3899999999999999E-2</c:v>
                </c:pt>
                <c:pt idx="104">
                  <c:v>1.3600000000000001E-2</c:v>
                </c:pt>
                <c:pt idx="105">
                  <c:v>1.23E-2</c:v>
                </c:pt>
                <c:pt idx="106">
                  <c:v>1.2500000000000001E-2</c:v>
                </c:pt>
                <c:pt idx="107">
                  <c:v>1.23E-2</c:v>
                </c:pt>
                <c:pt idx="108">
                  <c:v>1.23E-2</c:v>
                </c:pt>
                <c:pt idx="109">
                  <c:v>1.2199999999999999E-2</c:v>
                </c:pt>
                <c:pt idx="110">
                  <c:v>1.1699999999999999E-2</c:v>
                </c:pt>
                <c:pt idx="111">
                  <c:v>1.1399999999999999E-2</c:v>
                </c:pt>
                <c:pt idx="112">
                  <c:v>1.15E-2</c:v>
                </c:pt>
                <c:pt idx="113">
                  <c:v>1.1000000000000001E-2</c:v>
                </c:pt>
                <c:pt idx="114">
                  <c:v>1.1000000000000001E-2</c:v>
                </c:pt>
                <c:pt idx="115">
                  <c:v>1.1299999999999999E-2</c:v>
                </c:pt>
                <c:pt idx="116">
                  <c:v>1.1699999999999999E-2</c:v>
                </c:pt>
                <c:pt idx="117">
                  <c:v>1.2199999999999999E-2</c:v>
                </c:pt>
                <c:pt idx="118">
                  <c:v>1.2E-2</c:v>
                </c:pt>
                <c:pt idx="119">
                  <c:v>1.2500000000000001E-2</c:v>
                </c:pt>
                <c:pt idx="120">
                  <c:v>1.0800000000000001E-2</c:v>
                </c:pt>
                <c:pt idx="121">
                  <c:v>0.01</c:v>
                </c:pt>
                <c:pt idx="122">
                  <c:v>0.01</c:v>
                </c:pt>
                <c:pt idx="123">
                  <c:v>1.03E-2</c:v>
                </c:pt>
                <c:pt idx="124">
                  <c:v>1.01E-2</c:v>
                </c:pt>
                <c:pt idx="125">
                  <c:v>0.01</c:v>
                </c:pt>
                <c:pt idx="126">
                  <c:v>9.3999999999999986E-3</c:v>
                </c:pt>
                <c:pt idx="127">
                  <c:v>9.4999999999999998E-3</c:v>
                </c:pt>
                <c:pt idx="128">
                  <c:v>9.7000000000000003E-3</c:v>
                </c:pt>
                <c:pt idx="129">
                  <c:v>9.4999999999999998E-3</c:v>
                </c:pt>
                <c:pt idx="130">
                  <c:v>1.03E-2</c:v>
                </c:pt>
                <c:pt idx="131">
                  <c:v>1.1000000000000001E-2</c:v>
                </c:pt>
                <c:pt idx="132">
                  <c:v>1.0700000000000001E-2</c:v>
                </c:pt>
                <c:pt idx="133">
                  <c:v>1.1000000000000001E-2</c:v>
                </c:pt>
                <c:pt idx="134">
                  <c:v>1.15E-2</c:v>
                </c:pt>
                <c:pt idx="135">
                  <c:v>1.1399999999999999E-2</c:v>
                </c:pt>
                <c:pt idx="136">
                  <c:v>1.1200000000000002E-2</c:v>
                </c:pt>
                <c:pt idx="137">
                  <c:v>1.15E-2</c:v>
                </c:pt>
                <c:pt idx="138">
                  <c:v>1.11E-2</c:v>
                </c:pt>
                <c:pt idx="139">
                  <c:v>1.1299999999999999E-2</c:v>
                </c:pt>
                <c:pt idx="140">
                  <c:v>1.15E-2</c:v>
                </c:pt>
                <c:pt idx="141">
                  <c:v>1.15E-2</c:v>
                </c:pt>
                <c:pt idx="142">
                  <c:v>1.1000000000000001E-2</c:v>
                </c:pt>
                <c:pt idx="143">
                  <c:v>1.09E-2</c:v>
                </c:pt>
                <c:pt idx="144">
                  <c:v>1.03E-2</c:v>
                </c:pt>
                <c:pt idx="145">
                  <c:v>1.06E-2</c:v>
                </c:pt>
                <c:pt idx="146">
                  <c:v>1.0700000000000001E-2</c:v>
                </c:pt>
                <c:pt idx="147">
                  <c:v>1.0700000000000001E-2</c:v>
                </c:pt>
                <c:pt idx="148">
                  <c:v>1.03E-2</c:v>
                </c:pt>
                <c:pt idx="149">
                  <c:v>1.1299999999999999E-2</c:v>
                </c:pt>
                <c:pt idx="150">
                  <c:v>1.15E-2</c:v>
                </c:pt>
                <c:pt idx="151">
                  <c:v>1.11E-2</c:v>
                </c:pt>
                <c:pt idx="152">
                  <c:v>1.0700000000000001E-2</c:v>
                </c:pt>
                <c:pt idx="153">
                  <c:v>1.1599999999999999E-2</c:v>
                </c:pt>
                <c:pt idx="154">
                  <c:v>1.1000000000000001E-2</c:v>
                </c:pt>
                <c:pt idx="155">
                  <c:v>1.1399999999999999E-2</c:v>
                </c:pt>
                <c:pt idx="156">
                  <c:v>1.1599999999999999E-2</c:v>
                </c:pt>
                <c:pt idx="157">
                  <c:v>1.15E-2</c:v>
                </c:pt>
                <c:pt idx="158">
                  <c:v>1.1200000000000002E-2</c:v>
                </c:pt>
                <c:pt idx="159">
                  <c:v>1.1699999999999999E-2</c:v>
                </c:pt>
                <c:pt idx="160">
                  <c:v>1.15E-2</c:v>
                </c:pt>
                <c:pt idx="161">
                  <c:v>1.15E-2</c:v>
                </c:pt>
                <c:pt idx="162">
                  <c:v>1.1299999999999999E-2</c:v>
                </c:pt>
                <c:pt idx="163">
                  <c:v>1.1599999999999999E-2</c:v>
                </c:pt>
                <c:pt idx="164">
                  <c:v>1.23E-2</c:v>
                </c:pt>
                <c:pt idx="165">
                  <c:v>1.18E-2</c:v>
                </c:pt>
                <c:pt idx="166">
                  <c:v>1.18E-2</c:v>
                </c:pt>
                <c:pt idx="167">
                  <c:v>1.1899999999999999E-2</c:v>
                </c:pt>
                <c:pt idx="168">
                  <c:v>1.18E-2</c:v>
                </c:pt>
                <c:pt idx="169">
                  <c:v>1.2E-2</c:v>
                </c:pt>
                <c:pt idx="170">
                  <c:v>1.1299999999999999E-2</c:v>
                </c:pt>
                <c:pt idx="171">
                  <c:v>1.1200000000000002E-2</c:v>
                </c:pt>
                <c:pt idx="172">
                  <c:v>1.1899999999999999E-2</c:v>
                </c:pt>
                <c:pt idx="173">
                  <c:v>1.23E-2</c:v>
                </c:pt>
                <c:pt idx="174">
                  <c:v>1.21E-2</c:v>
                </c:pt>
                <c:pt idx="175">
                  <c:v>1.26E-2</c:v>
                </c:pt>
                <c:pt idx="176">
                  <c:v>1.21E-2</c:v>
                </c:pt>
                <c:pt idx="177">
                  <c:v>1.2E-2</c:v>
                </c:pt>
                <c:pt idx="178">
                  <c:v>1.21E-2</c:v>
                </c:pt>
                <c:pt idx="179">
                  <c:v>1.2199999999999999E-2</c:v>
                </c:pt>
                <c:pt idx="180">
                  <c:v>1.2E-2</c:v>
                </c:pt>
                <c:pt idx="181">
                  <c:v>1.2E-2</c:v>
                </c:pt>
                <c:pt idx="182">
                  <c:v>1.18E-2</c:v>
                </c:pt>
                <c:pt idx="183">
                  <c:v>1.1599999999999999E-2</c:v>
                </c:pt>
                <c:pt idx="184">
                  <c:v>1.1299999999999999E-2</c:v>
                </c:pt>
                <c:pt idx="185">
                  <c:v>1.1200000000000002E-2</c:v>
                </c:pt>
                <c:pt idx="186">
                  <c:v>1.1299999999999999E-2</c:v>
                </c:pt>
                <c:pt idx="187">
                  <c:v>1.1200000000000002E-2</c:v>
                </c:pt>
                <c:pt idx="188">
                  <c:v>1.1399999999999999E-2</c:v>
                </c:pt>
                <c:pt idx="189">
                  <c:v>1.18E-2</c:v>
                </c:pt>
                <c:pt idx="190">
                  <c:v>1.2199999999999999E-2</c:v>
                </c:pt>
                <c:pt idx="191">
                  <c:v>1.26E-2</c:v>
                </c:pt>
                <c:pt idx="192">
                  <c:v>1.2800000000000001E-2</c:v>
                </c:pt>
                <c:pt idx="193">
                  <c:v>1.26E-2</c:v>
                </c:pt>
                <c:pt idx="194">
                  <c:v>1.3000000000000001E-2</c:v>
                </c:pt>
                <c:pt idx="195">
                  <c:v>1.3100000000000001E-2</c:v>
                </c:pt>
                <c:pt idx="196">
                  <c:v>1.2699999999999999E-2</c:v>
                </c:pt>
                <c:pt idx="197">
                  <c:v>1.2800000000000001E-2</c:v>
                </c:pt>
                <c:pt idx="198">
                  <c:v>1.26E-2</c:v>
                </c:pt>
                <c:pt idx="199">
                  <c:v>1.24E-2</c:v>
                </c:pt>
                <c:pt idx="200">
                  <c:v>1.24E-2</c:v>
                </c:pt>
                <c:pt idx="201">
                  <c:v>1.26E-2</c:v>
                </c:pt>
                <c:pt idx="202">
                  <c:v>1.2500000000000001E-2</c:v>
                </c:pt>
                <c:pt idx="203">
                  <c:v>1.2699999999999999E-2</c:v>
                </c:pt>
                <c:pt idx="204">
                  <c:v>1.29E-2</c:v>
                </c:pt>
                <c:pt idx="205">
                  <c:v>1.3000000000000001E-2</c:v>
                </c:pt>
                <c:pt idx="206">
                  <c:v>1.3300000000000001E-2</c:v>
                </c:pt>
                <c:pt idx="207">
                  <c:v>1.3300000000000001E-2</c:v>
                </c:pt>
                <c:pt idx="208">
                  <c:v>1.3100000000000001E-2</c:v>
                </c:pt>
                <c:pt idx="209">
                  <c:v>1.3000000000000001E-2</c:v>
                </c:pt>
                <c:pt idx="210">
                  <c:v>1.26E-2</c:v>
                </c:pt>
                <c:pt idx="211">
                  <c:v>1.26E-2</c:v>
                </c:pt>
                <c:pt idx="212">
                  <c:v>1.24E-2</c:v>
                </c:pt>
                <c:pt idx="213">
                  <c:v>1.29E-2</c:v>
                </c:pt>
                <c:pt idx="214">
                  <c:v>1.34E-2</c:v>
                </c:pt>
                <c:pt idx="215">
                  <c:v>1.49E-2</c:v>
                </c:pt>
                <c:pt idx="216">
                  <c:v>1.5600000000000001E-2</c:v>
                </c:pt>
                <c:pt idx="217">
                  <c:v>1.66E-2</c:v>
                </c:pt>
                <c:pt idx="218">
                  <c:v>1.6799999999999999E-2</c:v>
                </c:pt>
                <c:pt idx="219">
                  <c:v>1.6799999999999999E-2</c:v>
                </c:pt>
                <c:pt idx="220">
                  <c:v>1.7299999999999999E-2</c:v>
                </c:pt>
                <c:pt idx="221">
                  <c:v>1.8000000000000002E-2</c:v>
                </c:pt>
                <c:pt idx="222">
                  <c:v>1.7899999999999999E-2</c:v>
                </c:pt>
                <c:pt idx="223">
                  <c:v>1.77E-2</c:v>
                </c:pt>
                <c:pt idx="224">
                  <c:v>1.83E-2</c:v>
                </c:pt>
                <c:pt idx="225">
                  <c:v>1.83E-2</c:v>
                </c:pt>
                <c:pt idx="226">
                  <c:v>1.8000000000000002E-2</c:v>
                </c:pt>
                <c:pt idx="227">
                  <c:v>1.78E-2</c:v>
                </c:pt>
                <c:pt idx="228">
                  <c:v>1.83E-2</c:v>
                </c:pt>
                <c:pt idx="229">
                  <c:v>1.9E-2</c:v>
                </c:pt>
                <c:pt idx="230">
                  <c:v>1.84E-2</c:v>
                </c:pt>
                <c:pt idx="231">
                  <c:v>1.84E-2</c:v>
                </c:pt>
                <c:pt idx="232">
                  <c:v>1.84E-2</c:v>
                </c:pt>
                <c:pt idx="233">
                  <c:v>1.8000000000000002E-2</c:v>
                </c:pt>
                <c:pt idx="234">
                  <c:v>1.83E-2</c:v>
                </c:pt>
                <c:pt idx="235">
                  <c:v>1.89E-2</c:v>
                </c:pt>
                <c:pt idx="236">
                  <c:v>1.9E-2</c:v>
                </c:pt>
                <c:pt idx="237">
                  <c:v>1.9199999999999998E-2</c:v>
                </c:pt>
                <c:pt idx="238">
                  <c:v>2.0199999999999999E-2</c:v>
                </c:pt>
                <c:pt idx="239">
                  <c:v>2.1000000000000001E-2</c:v>
                </c:pt>
                <c:pt idx="240">
                  <c:v>2.07E-2</c:v>
                </c:pt>
                <c:pt idx="241">
                  <c:v>2.0299999999999999E-2</c:v>
                </c:pt>
                <c:pt idx="242">
                  <c:v>2.06E-2</c:v>
                </c:pt>
                <c:pt idx="243">
                  <c:v>2.0400000000000001E-2</c:v>
                </c:pt>
                <c:pt idx="244">
                  <c:v>2.0400000000000001E-2</c:v>
                </c:pt>
                <c:pt idx="245">
                  <c:v>2.0400000000000001E-2</c:v>
                </c:pt>
                <c:pt idx="246">
                  <c:v>2.07E-2</c:v>
                </c:pt>
                <c:pt idx="247">
                  <c:v>2.0199999999999999E-2</c:v>
                </c:pt>
                <c:pt idx="248">
                  <c:v>1.9599999999999999E-2</c:v>
                </c:pt>
                <c:pt idx="249">
                  <c:v>1.9299999999999998E-2</c:v>
                </c:pt>
                <c:pt idx="250">
                  <c:v>1.9400000000000001E-2</c:v>
                </c:pt>
                <c:pt idx="251">
                  <c:v>1.9400000000000001E-2</c:v>
                </c:pt>
                <c:pt idx="252">
                  <c:v>1.8600000000000002E-2</c:v>
                </c:pt>
                <c:pt idx="253">
                  <c:v>1.9199999999999998E-2</c:v>
                </c:pt>
                <c:pt idx="254">
                  <c:v>1.89E-2</c:v>
                </c:pt>
                <c:pt idx="255">
                  <c:v>1.89E-2</c:v>
                </c:pt>
                <c:pt idx="256">
                  <c:v>1.89E-2</c:v>
                </c:pt>
                <c:pt idx="257">
                  <c:v>1.8700000000000001E-2</c:v>
                </c:pt>
                <c:pt idx="258">
                  <c:v>1.9E-2</c:v>
                </c:pt>
                <c:pt idx="259">
                  <c:v>1.84E-2</c:v>
                </c:pt>
                <c:pt idx="260">
                  <c:v>1.9299999999999998E-2</c:v>
                </c:pt>
                <c:pt idx="261">
                  <c:v>1.9699999999999999E-2</c:v>
                </c:pt>
                <c:pt idx="262">
                  <c:v>1.95E-2</c:v>
                </c:pt>
                <c:pt idx="263">
                  <c:v>1.8799999999999997E-2</c:v>
                </c:pt>
                <c:pt idx="264">
                  <c:v>1.9400000000000001E-2</c:v>
                </c:pt>
                <c:pt idx="265">
                  <c:v>1.9900000000000001E-2</c:v>
                </c:pt>
                <c:pt idx="266">
                  <c:v>1.95E-2</c:v>
                </c:pt>
                <c:pt idx="267">
                  <c:v>1.9400000000000001E-2</c:v>
                </c:pt>
                <c:pt idx="268">
                  <c:v>1.9400000000000001E-2</c:v>
                </c:pt>
                <c:pt idx="269">
                  <c:v>1.9E-2</c:v>
                </c:pt>
                <c:pt idx="270">
                  <c:v>1.9299999999999998E-2</c:v>
                </c:pt>
                <c:pt idx="271">
                  <c:v>1.9199999999999998E-2</c:v>
                </c:pt>
                <c:pt idx="272">
                  <c:v>1.9299999999999998E-2</c:v>
                </c:pt>
                <c:pt idx="273">
                  <c:v>1.8600000000000002E-2</c:v>
                </c:pt>
                <c:pt idx="274">
                  <c:v>1.8500000000000003E-2</c:v>
                </c:pt>
                <c:pt idx="275">
                  <c:v>1.8100000000000002E-2</c:v>
                </c:pt>
                <c:pt idx="276">
                  <c:v>1.8799999999999997E-2</c:v>
                </c:pt>
                <c:pt idx="277">
                  <c:v>1.89E-2</c:v>
                </c:pt>
                <c:pt idx="278">
                  <c:v>1.9199999999999998E-2</c:v>
                </c:pt>
                <c:pt idx="279">
                  <c:v>1.9799999999999998E-2</c:v>
                </c:pt>
                <c:pt idx="280">
                  <c:v>2.0099999999999996E-2</c:v>
                </c:pt>
                <c:pt idx="281">
                  <c:v>1.95E-2</c:v>
                </c:pt>
                <c:pt idx="282">
                  <c:v>1.9199999999999998E-2</c:v>
                </c:pt>
                <c:pt idx="283">
                  <c:v>1.9299999999999998E-2</c:v>
                </c:pt>
                <c:pt idx="284">
                  <c:v>1.9199999999999998E-2</c:v>
                </c:pt>
                <c:pt idx="285">
                  <c:v>1.8700000000000001E-2</c:v>
                </c:pt>
                <c:pt idx="286">
                  <c:v>1.8000000000000002E-2</c:v>
                </c:pt>
                <c:pt idx="287">
                  <c:v>1.8700000000000001E-2</c:v>
                </c:pt>
                <c:pt idx="288">
                  <c:v>1.89E-2</c:v>
                </c:pt>
                <c:pt idx="289">
                  <c:v>1.9900000000000001E-2</c:v>
                </c:pt>
                <c:pt idx="290">
                  <c:v>2.0299999999999999E-2</c:v>
                </c:pt>
                <c:pt idx="291">
                  <c:v>2.0199999999999999E-2</c:v>
                </c:pt>
                <c:pt idx="292">
                  <c:v>2.0199999999999999E-2</c:v>
                </c:pt>
                <c:pt idx="293">
                  <c:v>2.0499999999999997E-2</c:v>
                </c:pt>
                <c:pt idx="294">
                  <c:v>2.0799999999999999E-2</c:v>
                </c:pt>
                <c:pt idx="295">
                  <c:v>2.1299999999999999E-2</c:v>
                </c:pt>
                <c:pt idx="296">
                  <c:v>2.1099999999999997E-2</c:v>
                </c:pt>
                <c:pt idx="297">
                  <c:v>2.1400000000000002E-2</c:v>
                </c:pt>
                <c:pt idx="298">
                  <c:v>2.1299999999999999E-2</c:v>
                </c:pt>
                <c:pt idx="299">
                  <c:v>2.0199999999999999E-2</c:v>
                </c:pt>
                <c:pt idx="300">
                  <c:v>2.0499999999999997E-2</c:v>
                </c:pt>
                <c:pt idx="301">
                  <c:v>2.0299999999999999E-2</c:v>
                </c:pt>
                <c:pt idx="302">
                  <c:v>0.02</c:v>
                </c:pt>
                <c:pt idx="303">
                  <c:v>1.9599999999999999E-2</c:v>
                </c:pt>
                <c:pt idx="304">
                  <c:v>1.95E-2</c:v>
                </c:pt>
                <c:pt idx="305">
                  <c:v>1.95E-2</c:v>
                </c:pt>
                <c:pt idx="306">
                  <c:v>1.9299999999999998E-2</c:v>
                </c:pt>
                <c:pt idx="307">
                  <c:v>1.9299999999999998E-2</c:v>
                </c:pt>
                <c:pt idx="308">
                  <c:v>1.9699999999999999E-2</c:v>
                </c:pt>
                <c:pt idx="309">
                  <c:v>1.9299999999999998E-2</c:v>
                </c:pt>
                <c:pt idx="310">
                  <c:v>1.9599999999999999E-2</c:v>
                </c:pt>
                <c:pt idx="311">
                  <c:v>1.9299999999999998E-2</c:v>
                </c:pt>
                <c:pt idx="312">
                  <c:v>1.8799999999999997E-2</c:v>
                </c:pt>
                <c:pt idx="313">
                  <c:v>1.8799999999999997E-2</c:v>
                </c:pt>
                <c:pt idx="314">
                  <c:v>1.8500000000000003E-2</c:v>
                </c:pt>
                <c:pt idx="315">
                  <c:v>1.8700000000000001E-2</c:v>
                </c:pt>
                <c:pt idx="316">
                  <c:v>1.9199999999999998E-2</c:v>
                </c:pt>
                <c:pt idx="317">
                  <c:v>1.9099999999999999E-2</c:v>
                </c:pt>
                <c:pt idx="318">
                  <c:v>1.84E-2</c:v>
                </c:pt>
                <c:pt idx="319">
                  <c:v>1.8100000000000002E-2</c:v>
                </c:pt>
                <c:pt idx="320">
                  <c:v>1.77E-2</c:v>
                </c:pt>
                <c:pt idx="321">
                  <c:v>1.7899999999999999E-2</c:v>
                </c:pt>
                <c:pt idx="322">
                  <c:v>1.7100000000000001E-2</c:v>
                </c:pt>
                <c:pt idx="323">
                  <c:v>1.7399999999999999E-2</c:v>
                </c:pt>
                <c:pt idx="324">
                  <c:v>1.78E-2</c:v>
                </c:pt>
                <c:pt idx="325">
                  <c:v>1.77E-2</c:v>
                </c:pt>
                <c:pt idx="326">
                  <c:v>1.8100000000000002E-2</c:v>
                </c:pt>
                <c:pt idx="327">
                  <c:v>1.8700000000000001E-2</c:v>
                </c:pt>
                <c:pt idx="328">
                  <c:v>1.84E-2</c:v>
                </c:pt>
                <c:pt idx="329">
                  <c:v>1.8100000000000002E-2</c:v>
                </c:pt>
                <c:pt idx="330">
                  <c:v>1.8100000000000002E-2</c:v>
                </c:pt>
                <c:pt idx="331">
                  <c:v>1.84E-2</c:v>
                </c:pt>
                <c:pt idx="332">
                  <c:v>1.8100000000000002E-2</c:v>
                </c:pt>
                <c:pt idx="333">
                  <c:v>1.8600000000000002E-2</c:v>
                </c:pt>
                <c:pt idx="334">
                  <c:v>1.8799999999999997E-2</c:v>
                </c:pt>
                <c:pt idx="335">
                  <c:v>1.89E-2</c:v>
                </c:pt>
                <c:pt idx="336">
                  <c:v>1.9099999999999999E-2</c:v>
                </c:pt>
                <c:pt idx="337">
                  <c:v>1.9400000000000001E-2</c:v>
                </c:pt>
                <c:pt idx="338">
                  <c:v>1.9400000000000001E-2</c:v>
                </c:pt>
                <c:pt idx="339">
                  <c:v>1.9299999999999998E-2</c:v>
                </c:pt>
                <c:pt idx="340">
                  <c:v>1.8500000000000003E-2</c:v>
                </c:pt>
                <c:pt idx="341">
                  <c:v>1.8600000000000002E-2</c:v>
                </c:pt>
                <c:pt idx="342">
                  <c:v>1.8600000000000002E-2</c:v>
                </c:pt>
                <c:pt idx="343">
                  <c:v>1.7600000000000001E-2</c:v>
                </c:pt>
                <c:pt idx="344">
                  <c:v>1.78E-2</c:v>
                </c:pt>
                <c:pt idx="345">
                  <c:v>1.7899999999999999E-2</c:v>
                </c:pt>
                <c:pt idx="346">
                  <c:v>1.8000000000000002E-2</c:v>
                </c:pt>
                <c:pt idx="347">
                  <c:v>1.84E-2</c:v>
                </c:pt>
                <c:pt idx="348">
                  <c:v>1.7899999999999999E-2</c:v>
                </c:pt>
                <c:pt idx="349">
                  <c:v>1.78E-2</c:v>
                </c:pt>
                <c:pt idx="350">
                  <c:v>1.7899999999999999E-2</c:v>
                </c:pt>
                <c:pt idx="351">
                  <c:v>1.7600000000000001E-2</c:v>
                </c:pt>
                <c:pt idx="352">
                  <c:v>1.7500000000000002E-2</c:v>
                </c:pt>
                <c:pt idx="353">
                  <c:v>1.7600000000000001E-2</c:v>
                </c:pt>
                <c:pt idx="354">
                  <c:v>1.7100000000000001E-2</c:v>
                </c:pt>
                <c:pt idx="355">
                  <c:v>1.7399999999999999E-2</c:v>
                </c:pt>
                <c:pt idx="356">
                  <c:v>1.7100000000000001E-2</c:v>
                </c:pt>
                <c:pt idx="357">
                  <c:v>1.7399999999999999E-2</c:v>
                </c:pt>
                <c:pt idx="358">
                  <c:v>1.7500000000000002E-2</c:v>
                </c:pt>
                <c:pt idx="359">
                  <c:v>1.77E-2</c:v>
                </c:pt>
                <c:pt idx="360">
                  <c:v>1.78E-2</c:v>
                </c:pt>
                <c:pt idx="361">
                  <c:v>1.7899999999999999E-2</c:v>
                </c:pt>
                <c:pt idx="362">
                  <c:v>1.7399999999999999E-2</c:v>
                </c:pt>
                <c:pt idx="363">
                  <c:v>1.7600000000000001E-2</c:v>
                </c:pt>
                <c:pt idx="364">
                  <c:v>1.7500000000000002E-2</c:v>
                </c:pt>
                <c:pt idx="365">
                  <c:v>1.8000000000000002E-2</c:v>
                </c:pt>
                <c:pt idx="366">
                  <c:v>1.77E-2</c:v>
                </c:pt>
                <c:pt idx="367">
                  <c:v>1.78E-2</c:v>
                </c:pt>
                <c:pt idx="368">
                  <c:v>1.7600000000000001E-2</c:v>
                </c:pt>
                <c:pt idx="369">
                  <c:v>1.77E-2</c:v>
                </c:pt>
                <c:pt idx="370">
                  <c:v>1.77E-2</c:v>
                </c:pt>
                <c:pt idx="371">
                  <c:v>1.83E-2</c:v>
                </c:pt>
                <c:pt idx="372">
                  <c:v>1.8100000000000002E-2</c:v>
                </c:pt>
                <c:pt idx="373">
                  <c:v>1.8500000000000003E-2</c:v>
                </c:pt>
                <c:pt idx="374">
                  <c:v>1.89E-2</c:v>
                </c:pt>
                <c:pt idx="375">
                  <c:v>1.9299999999999998E-2</c:v>
                </c:pt>
                <c:pt idx="376">
                  <c:v>1.9199999999999998E-2</c:v>
                </c:pt>
                <c:pt idx="377">
                  <c:v>1.9400000000000001E-2</c:v>
                </c:pt>
                <c:pt idx="378">
                  <c:v>1.95E-2</c:v>
                </c:pt>
                <c:pt idx="379">
                  <c:v>1.9299999999999998E-2</c:v>
                </c:pt>
                <c:pt idx="380">
                  <c:v>1.9199999999999998E-2</c:v>
                </c:pt>
                <c:pt idx="381">
                  <c:v>1.8799999999999997E-2</c:v>
                </c:pt>
                <c:pt idx="382">
                  <c:v>1.89E-2</c:v>
                </c:pt>
                <c:pt idx="383">
                  <c:v>1.8700000000000001E-2</c:v>
                </c:pt>
                <c:pt idx="384">
                  <c:v>1.8600000000000002E-2</c:v>
                </c:pt>
                <c:pt idx="385">
                  <c:v>1.8200000000000001E-2</c:v>
                </c:pt>
                <c:pt idx="386">
                  <c:v>1.83E-2</c:v>
                </c:pt>
                <c:pt idx="387">
                  <c:v>1.8200000000000001E-2</c:v>
                </c:pt>
                <c:pt idx="388">
                  <c:v>1.8100000000000002E-2</c:v>
                </c:pt>
                <c:pt idx="389">
                  <c:v>1.83E-2</c:v>
                </c:pt>
                <c:pt idx="390">
                  <c:v>1.9E-2</c:v>
                </c:pt>
                <c:pt idx="391">
                  <c:v>1.83E-2</c:v>
                </c:pt>
                <c:pt idx="392">
                  <c:v>1.84E-2</c:v>
                </c:pt>
                <c:pt idx="393">
                  <c:v>1.83E-2</c:v>
                </c:pt>
                <c:pt idx="394">
                  <c:v>1.84E-2</c:v>
                </c:pt>
                <c:pt idx="395">
                  <c:v>1.8000000000000002E-2</c:v>
                </c:pt>
                <c:pt idx="396">
                  <c:v>1.8200000000000001E-2</c:v>
                </c:pt>
                <c:pt idx="397">
                  <c:v>1.7899999999999999E-2</c:v>
                </c:pt>
                <c:pt idx="398">
                  <c:v>1.8200000000000001E-2</c:v>
                </c:pt>
                <c:pt idx="399">
                  <c:v>1.8100000000000002E-2</c:v>
                </c:pt>
                <c:pt idx="400">
                  <c:v>1.84E-2</c:v>
                </c:pt>
                <c:pt idx="401">
                  <c:v>1.8100000000000002E-2</c:v>
                </c:pt>
                <c:pt idx="402">
                  <c:v>1.78E-2</c:v>
                </c:pt>
                <c:pt idx="403">
                  <c:v>1.7399999999999999E-2</c:v>
                </c:pt>
                <c:pt idx="404">
                  <c:v>1.77E-2</c:v>
                </c:pt>
                <c:pt idx="405">
                  <c:v>1.83E-2</c:v>
                </c:pt>
                <c:pt idx="406">
                  <c:v>1.7899999999999999E-2</c:v>
                </c:pt>
                <c:pt idx="407">
                  <c:v>1.7600000000000001E-2</c:v>
                </c:pt>
                <c:pt idx="408">
                  <c:v>1.77E-2</c:v>
                </c:pt>
                <c:pt idx="409">
                  <c:v>1.7600000000000001E-2</c:v>
                </c:pt>
                <c:pt idx="410">
                  <c:v>1.8000000000000002E-2</c:v>
                </c:pt>
                <c:pt idx="411">
                  <c:v>1.7600000000000001E-2</c:v>
                </c:pt>
                <c:pt idx="412">
                  <c:v>1.78E-2</c:v>
                </c:pt>
                <c:pt idx="413">
                  <c:v>1.77E-2</c:v>
                </c:pt>
                <c:pt idx="414">
                  <c:v>1.7399999999999999E-2</c:v>
                </c:pt>
                <c:pt idx="415">
                  <c:v>1.7000000000000001E-2</c:v>
                </c:pt>
                <c:pt idx="416">
                  <c:v>1.72E-2</c:v>
                </c:pt>
                <c:pt idx="417">
                  <c:v>1.7000000000000001E-2</c:v>
                </c:pt>
                <c:pt idx="418">
                  <c:v>1.7299999999999999E-2</c:v>
                </c:pt>
                <c:pt idx="419">
                  <c:v>1.6500000000000001E-2</c:v>
                </c:pt>
                <c:pt idx="420">
                  <c:v>1.6899999999999998E-2</c:v>
                </c:pt>
                <c:pt idx="421">
                  <c:v>1.6299999999999999E-2</c:v>
                </c:pt>
                <c:pt idx="422">
                  <c:v>1.6399999999999998E-2</c:v>
                </c:pt>
                <c:pt idx="423">
                  <c:v>1.7100000000000001E-2</c:v>
                </c:pt>
                <c:pt idx="424">
                  <c:v>1.7500000000000002E-2</c:v>
                </c:pt>
                <c:pt idx="425">
                  <c:v>1.78E-2</c:v>
                </c:pt>
                <c:pt idx="426">
                  <c:v>1.7899999999999999E-2</c:v>
                </c:pt>
                <c:pt idx="427">
                  <c:v>1.8100000000000002E-2</c:v>
                </c:pt>
                <c:pt idx="428">
                  <c:v>1.83E-2</c:v>
                </c:pt>
                <c:pt idx="429">
                  <c:v>1.84E-2</c:v>
                </c:pt>
                <c:pt idx="430">
                  <c:v>1.89E-2</c:v>
                </c:pt>
                <c:pt idx="431">
                  <c:v>1.89E-2</c:v>
                </c:pt>
                <c:pt idx="432">
                  <c:v>1.8799999999999997E-2</c:v>
                </c:pt>
                <c:pt idx="433">
                  <c:v>1.8500000000000003E-2</c:v>
                </c:pt>
                <c:pt idx="434">
                  <c:v>1.8700000000000001E-2</c:v>
                </c:pt>
                <c:pt idx="435">
                  <c:v>1.9099999999999999E-2</c:v>
                </c:pt>
                <c:pt idx="436">
                  <c:v>1.89E-2</c:v>
                </c:pt>
                <c:pt idx="437">
                  <c:v>1.9199999999999998E-2</c:v>
                </c:pt>
                <c:pt idx="438">
                  <c:v>1.9400000000000001E-2</c:v>
                </c:pt>
                <c:pt idx="439">
                  <c:v>1.9199999999999998E-2</c:v>
                </c:pt>
                <c:pt idx="440">
                  <c:v>1.9199999999999998E-2</c:v>
                </c:pt>
                <c:pt idx="441">
                  <c:v>1.9400000000000001E-2</c:v>
                </c:pt>
                <c:pt idx="442">
                  <c:v>1.9699999999999999E-2</c:v>
                </c:pt>
                <c:pt idx="443">
                  <c:v>1.95E-2</c:v>
                </c:pt>
                <c:pt idx="444">
                  <c:v>1.95E-2</c:v>
                </c:pt>
                <c:pt idx="445">
                  <c:v>1.95E-2</c:v>
                </c:pt>
                <c:pt idx="446">
                  <c:v>1.9099999999999999E-2</c:v>
                </c:pt>
                <c:pt idx="447">
                  <c:v>1.95E-2</c:v>
                </c:pt>
                <c:pt idx="448">
                  <c:v>1.9699999999999999E-2</c:v>
                </c:pt>
                <c:pt idx="449">
                  <c:v>1.9900000000000001E-2</c:v>
                </c:pt>
                <c:pt idx="450">
                  <c:v>1.9799999999999998E-2</c:v>
                </c:pt>
                <c:pt idx="451">
                  <c:v>2.0299999999999999E-2</c:v>
                </c:pt>
                <c:pt idx="452">
                  <c:v>2.0099999999999996E-2</c:v>
                </c:pt>
                <c:pt idx="453">
                  <c:v>2.0499999999999997E-2</c:v>
                </c:pt>
                <c:pt idx="454">
                  <c:v>2.06E-2</c:v>
                </c:pt>
                <c:pt idx="455">
                  <c:v>2.07E-2</c:v>
                </c:pt>
                <c:pt idx="456">
                  <c:v>2.0299999999999999E-2</c:v>
                </c:pt>
                <c:pt idx="457">
                  <c:v>0.02</c:v>
                </c:pt>
                <c:pt idx="458">
                  <c:v>2.0099999999999996E-2</c:v>
                </c:pt>
                <c:pt idx="459">
                  <c:v>2.0099999999999996E-2</c:v>
                </c:pt>
                <c:pt idx="460">
                  <c:v>0.02</c:v>
                </c:pt>
                <c:pt idx="461">
                  <c:v>1.9900000000000001E-2</c:v>
                </c:pt>
                <c:pt idx="462">
                  <c:v>1.9900000000000001E-2</c:v>
                </c:pt>
                <c:pt idx="463">
                  <c:v>1.9900000000000001E-2</c:v>
                </c:pt>
                <c:pt idx="464">
                  <c:v>2.0099999999999996E-2</c:v>
                </c:pt>
                <c:pt idx="465">
                  <c:v>2.0099999999999996E-2</c:v>
                </c:pt>
                <c:pt idx="466">
                  <c:v>2.06E-2</c:v>
                </c:pt>
                <c:pt idx="467">
                  <c:v>2.0799999999999999E-2</c:v>
                </c:pt>
                <c:pt idx="468">
                  <c:v>2.06E-2</c:v>
                </c:pt>
                <c:pt idx="469">
                  <c:v>2.0400000000000001E-2</c:v>
                </c:pt>
                <c:pt idx="470">
                  <c:v>2.07E-2</c:v>
                </c:pt>
                <c:pt idx="471">
                  <c:v>2.06E-2</c:v>
                </c:pt>
                <c:pt idx="472">
                  <c:v>2.0899999999999998E-2</c:v>
                </c:pt>
                <c:pt idx="473">
                  <c:v>2.1099999999999997E-2</c:v>
                </c:pt>
                <c:pt idx="474">
                  <c:v>2.0499999999999997E-2</c:v>
                </c:pt>
                <c:pt idx="475">
                  <c:v>2.07E-2</c:v>
                </c:pt>
                <c:pt idx="476">
                  <c:v>2.06E-2</c:v>
                </c:pt>
                <c:pt idx="477">
                  <c:v>2.07E-2</c:v>
                </c:pt>
                <c:pt idx="478">
                  <c:v>2.0899999999999998E-2</c:v>
                </c:pt>
                <c:pt idx="479">
                  <c:v>2.1400000000000002E-2</c:v>
                </c:pt>
                <c:pt idx="480">
                  <c:v>2.1299999999999999E-2</c:v>
                </c:pt>
                <c:pt idx="481">
                  <c:v>2.1499999999999998E-2</c:v>
                </c:pt>
                <c:pt idx="482">
                  <c:v>2.1499999999999998E-2</c:v>
                </c:pt>
                <c:pt idx="483">
                  <c:v>2.1099999999999997E-2</c:v>
                </c:pt>
                <c:pt idx="484">
                  <c:v>2.1400000000000002E-2</c:v>
                </c:pt>
                <c:pt idx="485">
                  <c:v>2.1400000000000002E-2</c:v>
                </c:pt>
                <c:pt idx="486">
                  <c:v>2.1600000000000001E-2</c:v>
                </c:pt>
                <c:pt idx="487">
                  <c:v>2.18E-2</c:v>
                </c:pt>
                <c:pt idx="488">
                  <c:v>2.12E-2</c:v>
                </c:pt>
                <c:pt idx="489">
                  <c:v>2.1400000000000002E-2</c:v>
                </c:pt>
                <c:pt idx="490">
                  <c:v>2.1600000000000001E-2</c:v>
                </c:pt>
                <c:pt idx="491">
                  <c:v>2.1700000000000001E-2</c:v>
                </c:pt>
                <c:pt idx="492">
                  <c:v>2.23E-2</c:v>
                </c:pt>
                <c:pt idx="493">
                  <c:v>2.2400000000000003E-2</c:v>
                </c:pt>
                <c:pt idx="494">
                  <c:v>2.2599999999999999E-2</c:v>
                </c:pt>
                <c:pt idx="495">
                  <c:v>2.2599999999999999E-2</c:v>
                </c:pt>
                <c:pt idx="496">
                  <c:v>2.2499999999999999E-2</c:v>
                </c:pt>
                <c:pt idx="497">
                  <c:v>2.2200000000000001E-2</c:v>
                </c:pt>
                <c:pt idx="498">
                  <c:v>2.23E-2</c:v>
                </c:pt>
                <c:pt idx="499">
                  <c:v>2.2000000000000002E-2</c:v>
                </c:pt>
                <c:pt idx="500">
                  <c:v>2.2499999999999999E-2</c:v>
                </c:pt>
                <c:pt idx="501">
                  <c:v>2.2499999999999999E-2</c:v>
                </c:pt>
                <c:pt idx="502">
                  <c:v>2.2700000000000001E-2</c:v>
                </c:pt>
                <c:pt idx="503">
                  <c:v>2.29E-2</c:v>
                </c:pt>
                <c:pt idx="504">
                  <c:v>2.29E-2</c:v>
                </c:pt>
                <c:pt idx="505">
                  <c:v>2.3300000000000001E-2</c:v>
                </c:pt>
                <c:pt idx="506">
                  <c:v>2.3199999999999998E-2</c:v>
                </c:pt>
                <c:pt idx="507">
                  <c:v>2.3199999999999998E-2</c:v>
                </c:pt>
                <c:pt idx="508">
                  <c:v>2.35E-2</c:v>
                </c:pt>
                <c:pt idx="509">
                  <c:v>2.3599999999999999E-2</c:v>
                </c:pt>
                <c:pt idx="510">
                  <c:v>2.3900000000000001E-2</c:v>
                </c:pt>
                <c:pt idx="511">
                  <c:v>2.4300000000000002E-2</c:v>
                </c:pt>
                <c:pt idx="512">
                  <c:v>2.4500000000000001E-2</c:v>
                </c:pt>
                <c:pt idx="513">
                  <c:v>2.46E-2</c:v>
                </c:pt>
                <c:pt idx="514">
                  <c:v>2.4300000000000002E-2</c:v>
                </c:pt>
                <c:pt idx="515">
                  <c:v>2.4300000000000002E-2</c:v>
                </c:pt>
                <c:pt idx="516">
                  <c:v>2.41E-2</c:v>
                </c:pt>
                <c:pt idx="517">
                  <c:v>2.4700000000000003E-2</c:v>
                </c:pt>
                <c:pt idx="518">
                  <c:v>2.4900000000000002E-2</c:v>
                </c:pt>
                <c:pt idx="519">
                  <c:v>2.5099999999999997E-2</c:v>
                </c:pt>
                <c:pt idx="520">
                  <c:v>2.52E-2</c:v>
                </c:pt>
                <c:pt idx="521">
                  <c:v>2.5600000000000001E-2</c:v>
                </c:pt>
                <c:pt idx="522">
                  <c:v>2.58E-2</c:v>
                </c:pt>
                <c:pt idx="523">
                  <c:v>2.5000000000000001E-2</c:v>
                </c:pt>
                <c:pt idx="524">
                  <c:v>2.52E-2</c:v>
                </c:pt>
                <c:pt idx="525">
                  <c:v>2.5699999999999997E-2</c:v>
                </c:pt>
                <c:pt idx="526">
                  <c:v>2.5699999999999997E-2</c:v>
                </c:pt>
                <c:pt idx="527">
                  <c:v>2.52E-2</c:v>
                </c:pt>
                <c:pt idx="528">
                  <c:v>2.5600000000000001E-2</c:v>
                </c:pt>
                <c:pt idx="529">
                  <c:v>2.5399999999999999E-2</c:v>
                </c:pt>
                <c:pt idx="530">
                  <c:v>2.6499999999999999E-2</c:v>
                </c:pt>
                <c:pt idx="531">
                  <c:v>2.6499999999999999E-2</c:v>
                </c:pt>
                <c:pt idx="532">
                  <c:v>2.63E-2</c:v>
                </c:pt>
                <c:pt idx="533">
                  <c:v>2.6499999999999999E-2</c:v>
                </c:pt>
                <c:pt idx="534">
                  <c:v>2.69E-2</c:v>
                </c:pt>
                <c:pt idx="535">
                  <c:v>2.6600000000000002E-2</c:v>
                </c:pt>
                <c:pt idx="536">
                  <c:v>2.6200000000000001E-2</c:v>
                </c:pt>
                <c:pt idx="537">
                  <c:v>2.6000000000000002E-2</c:v>
                </c:pt>
                <c:pt idx="538">
                  <c:v>2.6699999999999998E-2</c:v>
                </c:pt>
                <c:pt idx="539">
                  <c:v>2.6499999999999999E-2</c:v>
                </c:pt>
                <c:pt idx="540">
                  <c:v>2.58E-2</c:v>
                </c:pt>
                <c:pt idx="541">
                  <c:v>2.63E-2</c:v>
                </c:pt>
                <c:pt idx="542">
                  <c:v>2.6499999999999999E-2</c:v>
                </c:pt>
                <c:pt idx="543">
                  <c:v>2.6499999999999999E-2</c:v>
                </c:pt>
                <c:pt idx="544">
                  <c:v>2.6499999999999999E-2</c:v>
                </c:pt>
                <c:pt idx="545">
                  <c:v>2.63E-2</c:v>
                </c:pt>
                <c:pt idx="546">
                  <c:v>2.6499999999999999E-2</c:v>
                </c:pt>
                <c:pt idx="547">
                  <c:v>2.64E-2</c:v>
                </c:pt>
                <c:pt idx="548">
                  <c:v>2.6200000000000001E-2</c:v>
                </c:pt>
                <c:pt idx="549">
                  <c:v>2.6099999999999998E-2</c:v>
                </c:pt>
                <c:pt idx="550">
                  <c:v>2.6200000000000001E-2</c:v>
                </c:pt>
                <c:pt idx="551">
                  <c:v>2.6499999999999999E-2</c:v>
                </c:pt>
                <c:pt idx="552">
                  <c:v>2.6499999999999999E-2</c:v>
                </c:pt>
                <c:pt idx="553">
                  <c:v>2.69E-2</c:v>
                </c:pt>
                <c:pt idx="554">
                  <c:v>2.69E-2</c:v>
                </c:pt>
                <c:pt idx="555">
                  <c:v>2.63E-2</c:v>
                </c:pt>
                <c:pt idx="556">
                  <c:v>2.6099999999999998E-2</c:v>
                </c:pt>
                <c:pt idx="557">
                  <c:v>2.64E-2</c:v>
                </c:pt>
                <c:pt idx="558">
                  <c:v>2.58E-2</c:v>
                </c:pt>
                <c:pt idx="559">
                  <c:v>2.5899999999999999E-2</c:v>
                </c:pt>
                <c:pt idx="560">
                  <c:v>2.5600000000000001E-2</c:v>
                </c:pt>
                <c:pt idx="561">
                  <c:v>2.5499999999999998E-2</c:v>
                </c:pt>
                <c:pt idx="562">
                  <c:v>2.6000000000000002E-2</c:v>
                </c:pt>
                <c:pt idx="563">
                  <c:v>2.6099999999999998E-2</c:v>
                </c:pt>
                <c:pt idx="564">
                  <c:v>2.64E-2</c:v>
                </c:pt>
                <c:pt idx="565">
                  <c:v>2.58E-2</c:v>
                </c:pt>
                <c:pt idx="566">
                  <c:v>2.6000000000000002E-2</c:v>
                </c:pt>
                <c:pt idx="567">
                  <c:v>2.6200000000000001E-2</c:v>
                </c:pt>
                <c:pt idx="568">
                  <c:v>2.6200000000000001E-2</c:v>
                </c:pt>
                <c:pt idx="569">
                  <c:v>2.6699999999999998E-2</c:v>
                </c:pt>
                <c:pt idx="570">
                  <c:v>2.6699999999999998E-2</c:v>
                </c:pt>
                <c:pt idx="571">
                  <c:v>2.69E-2</c:v>
                </c:pt>
                <c:pt idx="572">
                  <c:v>2.6800000000000001E-2</c:v>
                </c:pt>
                <c:pt idx="573">
                  <c:v>2.7300000000000001E-2</c:v>
                </c:pt>
                <c:pt idx="574">
                  <c:v>2.7699999999999999E-2</c:v>
                </c:pt>
                <c:pt idx="575">
                  <c:v>2.7999999999999997E-2</c:v>
                </c:pt>
                <c:pt idx="576">
                  <c:v>2.8300000000000002E-2</c:v>
                </c:pt>
                <c:pt idx="577">
                  <c:v>2.8300000000000002E-2</c:v>
                </c:pt>
                <c:pt idx="578">
                  <c:v>2.8399999999999998E-2</c:v>
                </c:pt>
                <c:pt idx="579">
                  <c:v>2.8199999999999999E-2</c:v>
                </c:pt>
                <c:pt idx="580">
                  <c:v>2.7999999999999997E-2</c:v>
                </c:pt>
                <c:pt idx="581">
                  <c:v>2.7900000000000001E-2</c:v>
                </c:pt>
                <c:pt idx="582">
                  <c:v>2.8199999999999999E-2</c:v>
                </c:pt>
                <c:pt idx="583">
                  <c:v>2.7999999999999997E-2</c:v>
                </c:pt>
                <c:pt idx="584">
                  <c:v>2.7799999999999998E-2</c:v>
                </c:pt>
                <c:pt idx="585">
                  <c:v>2.7799999999999998E-2</c:v>
                </c:pt>
                <c:pt idx="586">
                  <c:v>2.7799999999999998E-2</c:v>
                </c:pt>
                <c:pt idx="587">
                  <c:v>2.81E-2</c:v>
                </c:pt>
                <c:pt idx="588">
                  <c:v>2.8399999999999998E-2</c:v>
                </c:pt>
                <c:pt idx="589">
                  <c:v>2.8300000000000002E-2</c:v>
                </c:pt>
                <c:pt idx="590">
                  <c:v>2.8399999999999998E-2</c:v>
                </c:pt>
                <c:pt idx="591">
                  <c:v>2.8500000000000001E-2</c:v>
                </c:pt>
                <c:pt idx="592">
                  <c:v>2.92E-2</c:v>
                </c:pt>
                <c:pt idx="593">
                  <c:v>2.9399999999999999E-2</c:v>
                </c:pt>
                <c:pt idx="594">
                  <c:v>2.9399999999999999E-2</c:v>
                </c:pt>
                <c:pt idx="595">
                  <c:v>2.8999999999999998E-2</c:v>
                </c:pt>
                <c:pt idx="596">
                  <c:v>2.8999999999999998E-2</c:v>
                </c:pt>
                <c:pt idx="597">
                  <c:v>2.8999999999999998E-2</c:v>
                </c:pt>
                <c:pt idx="598">
                  <c:v>2.8300000000000002E-2</c:v>
                </c:pt>
                <c:pt idx="599">
                  <c:v>2.8199999999999999E-2</c:v>
                </c:pt>
                <c:pt idx="600">
                  <c:v>2.76E-2</c:v>
                </c:pt>
                <c:pt idx="601">
                  <c:v>2.58E-2</c:v>
                </c:pt>
                <c:pt idx="602">
                  <c:v>2.6699999999999998E-2</c:v>
                </c:pt>
                <c:pt idx="603">
                  <c:v>2.6800000000000001E-2</c:v>
                </c:pt>
                <c:pt idx="604">
                  <c:v>2.7400000000000001E-2</c:v>
                </c:pt>
                <c:pt idx="605">
                  <c:v>2.7799999999999998E-2</c:v>
                </c:pt>
                <c:pt idx="606">
                  <c:v>2.76E-2</c:v>
                </c:pt>
                <c:pt idx="607">
                  <c:v>2.81E-2</c:v>
                </c:pt>
                <c:pt idx="608">
                  <c:v>2.7699999999999999E-2</c:v>
                </c:pt>
                <c:pt idx="609">
                  <c:v>2.7699999999999999E-2</c:v>
                </c:pt>
                <c:pt idx="610">
                  <c:v>2.7999999999999997E-2</c:v>
                </c:pt>
                <c:pt idx="611">
                  <c:v>2.81E-2</c:v>
                </c:pt>
                <c:pt idx="612">
                  <c:v>2.8500000000000001E-2</c:v>
                </c:pt>
                <c:pt idx="613">
                  <c:v>2.81E-2</c:v>
                </c:pt>
                <c:pt idx="614">
                  <c:v>2.81E-2</c:v>
                </c:pt>
                <c:pt idx="615">
                  <c:v>2.7999999999999997E-2</c:v>
                </c:pt>
                <c:pt idx="616">
                  <c:v>2.7699999999999999E-2</c:v>
                </c:pt>
                <c:pt idx="617">
                  <c:v>2.7999999999999997E-2</c:v>
                </c:pt>
                <c:pt idx="618">
                  <c:v>2.7699999999999999E-2</c:v>
                </c:pt>
                <c:pt idx="619">
                  <c:v>2.7699999999999999E-2</c:v>
                </c:pt>
                <c:pt idx="620">
                  <c:v>2.75E-2</c:v>
                </c:pt>
                <c:pt idx="621">
                  <c:v>2.75E-2</c:v>
                </c:pt>
                <c:pt idx="622">
                  <c:v>2.7099999999999999E-2</c:v>
                </c:pt>
                <c:pt idx="623">
                  <c:v>2.7300000000000001E-2</c:v>
                </c:pt>
                <c:pt idx="624">
                  <c:v>2.7300000000000001E-2</c:v>
                </c:pt>
                <c:pt idx="625">
                  <c:v>2.75E-2</c:v>
                </c:pt>
                <c:pt idx="626">
                  <c:v>2.7200000000000002E-2</c:v>
                </c:pt>
                <c:pt idx="627">
                  <c:v>2.7400000000000001E-2</c:v>
                </c:pt>
                <c:pt idx="628">
                  <c:v>2.7099999999999999E-2</c:v>
                </c:pt>
                <c:pt idx="629">
                  <c:v>2.75E-2</c:v>
                </c:pt>
                <c:pt idx="630">
                  <c:v>2.7699999999999999E-2</c:v>
                </c:pt>
                <c:pt idx="631">
                  <c:v>2.7400000000000001E-2</c:v>
                </c:pt>
                <c:pt idx="632">
                  <c:v>2.75E-2</c:v>
                </c:pt>
                <c:pt idx="633">
                  <c:v>2.7300000000000001E-2</c:v>
                </c:pt>
                <c:pt idx="634">
                  <c:v>2.75E-2</c:v>
                </c:pt>
                <c:pt idx="635">
                  <c:v>2.76E-2</c:v>
                </c:pt>
                <c:pt idx="636">
                  <c:v>2.7699999999999999E-2</c:v>
                </c:pt>
                <c:pt idx="637">
                  <c:v>2.7400000000000001E-2</c:v>
                </c:pt>
                <c:pt idx="638">
                  <c:v>2.7699999999999999E-2</c:v>
                </c:pt>
                <c:pt idx="639">
                  <c:v>2.8300000000000002E-2</c:v>
                </c:pt>
                <c:pt idx="640">
                  <c:v>2.8300000000000002E-2</c:v>
                </c:pt>
                <c:pt idx="641">
                  <c:v>2.8199999999999999E-2</c:v>
                </c:pt>
                <c:pt idx="642">
                  <c:v>2.86E-2</c:v>
                </c:pt>
                <c:pt idx="643">
                  <c:v>2.8399999999999998E-2</c:v>
                </c:pt>
                <c:pt idx="644">
                  <c:v>2.8500000000000001E-2</c:v>
                </c:pt>
                <c:pt idx="645">
                  <c:v>2.8500000000000001E-2</c:v>
                </c:pt>
                <c:pt idx="646">
                  <c:v>2.87E-2</c:v>
                </c:pt>
                <c:pt idx="647">
                  <c:v>2.8500000000000001E-2</c:v>
                </c:pt>
                <c:pt idx="648">
                  <c:v>2.8199999999999999E-2</c:v>
                </c:pt>
                <c:pt idx="649">
                  <c:v>2.7999999999999997E-2</c:v>
                </c:pt>
                <c:pt idx="650">
                  <c:v>2.8399999999999998E-2</c:v>
                </c:pt>
                <c:pt idx="651">
                  <c:v>2.8300000000000002E-2</c:v>
                </c:pt>
                <c:pt idx="652">
                  <c:v>2.7999999999999997E-2</c:v>
                </c:pt>
                <c:pt idx="653">
                  <c:v>2.75E-2</c:v>
                </c:pt>
                <c:pt idx="654">
                  <c:v>2.75E-2</c:v>
                </c:pt>
                <c:pt idx="655">
                  <c:v>2.7699999999999999E-2</c:v>
                </c:pt>
                <c:pt idx="656">
                  <c:v>2.7300000000000001E-2</c:v>
                </c:pt>
                <c:pt idx="657">
                  <c:v>2.75E-2</c:v>
                </c:pt>
                <c:pt idx="658">
                  <c:v>2.75E-2</c:v>
                </c:pt>
                <c:pt idx="659">
                  <c:v>2.7000000000000003E-2</c:v>
                </c:pt>
                <c:pt idx="660">
                  <c:v>2.7300000000000001E-2</c:v>
                </c:pt>
                <c:pt idx="661">
                  <c:v>2.7000000000000003E-2</c:v>
                </c:pt>
                <c:pt idx="662">
                  <c:v>2.7200000000000002E-2</c:v>
                </c:pt>
                <c:pt idx="663">
                  <c:v>2.7200000000000002E-2</c:v>
                </c:pt>
                <c:pt idx="664">
                  <c:v>2.7400000000000001E-2</c:v>
                </c:pt>
                <c:pt idx="665">
                  <c:v>2.7699999999999999E-2</c:v>
                </c:pt>
                <c:pt idx="666">
                  <c:v>2.7799999999999998E-2</c:v>
                </c:pt>
                <c:pt idx="667">
                  <c:v>2.75E-2</c:v>
                </c:pt>
                <c:pt idx="668">
                  <c:v>2.7400000000000001E-2</c:v>
                </c:pt>
                <c:pt idx="669">
                  <c:v>2.7799999999999998E-2</c:v>
                </c:pt>
                <c:pt idx="670">
                  <c:v>2.7699999999999999E-2</c:v>
                </c:pt>
                <c:pt idx="671">
                  <c:v>2.76E-2</c:v>
                </c:pt>
                <c:pt idx="672">
                  <c:v>2.8199999999999999E-2</c:v>
                </c:pt>
                <c:pt idx="673">
                  <c:v>2.8300000000000002E-2</c:v>
                </c:pt>
                <c:pt idx="674">
                  <c:v>2.87E-2</c:v>
                </c:pt>
                <c:pt idx="675">
                  <c:v>2.87E-2</c:v>
                </c:pt>
                <c:pt idx="676">
                  <c:v>2.87E-2</c:v>
                </c:pt>
                <c:pt idx="677">
                  <c:v>2.8999999999999998E-2</c:v>
                </c:pt>
                <c:pt idx="678">
                  <c:v>2.8900000000000002E-2</c:v>
                </c:pt>
                <c:pt idx="679">
                  <c:v>2.9399999999999999E-2</c:v>
                </c:pt>
                <c:pt idx="680">
                  <c:v>2.9600000000000001E-2</c:v>
                </c:pt>
                <c:pt idx="681">
                  <c:v>2.9600000000000001E-2</c:v>
                </c:pt>
                <c:pt idx="682">
                  <c:v>2.9500000000000002E-2</c:v>
                </c:pt>
                <c:pt idx="683">
                  <c:v>2.9600000000000001E-2</c:v>
                </c:pt>
                <c:pt idx="684">
                  <c:v>2.9900000000000003E-2</c:v>
                </c:pt>
                <c:pt idx="685">
                  <c:v>2.9600000000000001E-2</c:v>
                </c:pt>
                <c:pt idx="686">
                  <c:v>2.9600000000000001E-2</c:v>
                </c:pt>
                <c:pt idx="687">
                  <c:v>2.9399999999999999E-2</c:v>
                </c:pt>
                <c:pt idx="688">
                  <c:v>2.9600000000000001E-2</c:v>
                </c:pt>
                <c:pt idx="689">
                  <c:v>2.9399999999999999E-2</c:v>
                </c:pt>
                <c:pt idx="690">
                  <c:v>3.0200000000000001E-2</c:v>
                </c:pt>
                <c:pt idx="691">
                  <c:v>3.0499999999999999E-2</c:v>
                </c:pt>
                <c:pt idx="692">
                  <c:v>3.0699999999999998E-2</c:v>
                </c:pt>
                <c:pt idx="693">
                  <c:v>3.0499999999999999E-2</c:v>
                </c:pt>
                <c:pt idx="694">
                  <c:v>3.0499999999999999E-2</c:v>
                </c:pt>
                <c:pt idx="695">
                  <c:v>0.03</c:v>
                </c:pt>
                <c:pt idx="696">
                  <c:v>0.03</c:v>
                </c:pt>
                <c:pt idx="697">
                  <c:v>3.0099999999999998E-2</c:v>
                </c:pt>
                <c:pt idx="698">
                  <c:v>3.0200000000000001E-2</c:v>
                </c:pt>
                <c:pt idx="699">
                  <c:v>3.04E-2</c:v>
                </c:pt>
                <c:pt idx="700">
                  <c:v>3.0299999999999997E-2</c:v>
                </c:pt>
                <c:pt idx="701">
                  <c:v>3.0499999999999999E-2</c:v>
                </c:pt>
                <c:pt idx="702">
                  <c:v>3.0499999999999999E-2</c:v>
                </c:pt>
                <c:pt idx="703">
                  <c:v>3.0099999999999998E-2</c:v>
                </c:pt>
                <c:pt idx="704">
                  <c:v>2.9399999999999999E-2</c:v>
                </c:pt>
                <c:pt idx="705">
                  <c:v>2.98E-2</c:v>
                </c:pt>
                <c:pt idx="706">
                  <c:v>2.9100000000000001E-2</c:v>
                </c:pt>
                <c:pt idx="707">
                  <c:v>2.9100000000000001E-2</c:v>
                </c:pt>
                <c:pt idx="708">
                  <c:v>2.9399999999999999E-2</c:v>
                </c:pt>
                <c:pt idx="709">
                  <c:v>2.98E-2</c:v>
                </c:pt>
                <c:pt idx="710">
                  <c:v>2.9600000000000001E-2</c:v>
                </c:pt>
                <c:pt idx="711">
                  <c:v>3.04E-2</c:v>
                </c:pt>
                <c:pt idx="712">
                  <c:v>3.0299999999999997E-2</c:v>
                </c:pt>
                <c:pt idx="713">
                  <c:v>3.0499999999999999E-2</c:v>
                </c:pt>
                <c:pt idx="714">
                  <c:v>3.0699999999999998E-2</c:v>
                </c:pt>
                <c:pt idx="715">
                  <c:v>3.0899999999999997E-2</c:v>
                </c:pt>
                <c:pt idx="716">
                  <c:v>3.0499999999999999E-2</c:v>
                </c:pt>
                <c:pt idx="717">
                  <c:v>2.9900000000000003E-2</c:v>
                </c:pt>
                <c:pt idx="718">
                  <c:v>2.9500000000000002E-2</c:v>
                </c:pt>
                <c:pt idx="719">
                  <c:v>2.9399999999999999E-2</c:v>
                </c:pt>
                <c:pt idx="720">
                  <c:v>2.8999999999999998E-2</c:v>
                </c:pt>
                <c:pt idx="721">
                  <c:v>2.87E-2</c:v>
                </c:pt>
                <c:pt idx="722">
                  <c:v>2.8799999999999999E-2</c:v>
                </c:pt>
                <c:pt idx="723">
                  <c:v>2.8900000000000002E-2</c:v>
                </c:pt>
                <c:pt idx="724">
                  <c:v>2.8799999999999999E-2</c:v>
                </c:pt>
                <c:pt idx="725">
                  <c:v>2.8999999999999998E-2</c:v>
                </c:pt>
                <c:pt idx="726">
                  <c:v>2.8900000000000002E-2</c:v>
                </c:pt>
                <c:pt idx="727">
                  <c:v>2.87E-2</c:v>
                </c:pt>
                <c:pt idx="728">
                  <c:v>2.8500000000000001E-2</c:v>
                </c:pt>
                <c:pt idx="729">
                  <c:v>2.8399999999999998E-2</c:v>
                </c:pt>
                <c:pt idx="730">
                  <c:v>2.8300000000000002E-2</c:v>
                </c:pt>
                <c:pt idx="731">
                  <c:v>2.7900000000000001E-2</c:v>
                </c:pt>
                <c:pt idx="732">
                  <c:v>2.75E-2</c:v>
                </c:pt>
                <c:pt idx="733">
                  <c:v>2.7000000000000003E-2</c:v>
                </c:pt>
                <c:pt idx="734">
                  <c:v>2.7099999999999999E-2</c:v>
                </c:pt>
                <c:pt idx="735">
                  <c:v>2.75E-2</c:v>
                </c:pt>
                <c:pt idx="736">
                  <c:v>2.7699999999999999E-2</c:v>
                </c:pt>
                <c:pt idx="737">
                  <c:v>2.75E-2</c:v>
                </c:pt>
                <c:pt idx="738">
                  <c:v>2.7300000000000001E-2</c:v>
                </c:pt>
                <c:pt idx="739">
                  <c:v>2.69E-2</c:v>
                </c:pt>
                <c:pt idx="740">
                  <c:v>2.6499999999999999E-2</c:v>
                </c:pt>
                <c:pt idx="741">
                  <c:v>2.6200000000000001E-2</c:v>
                </c:pt>
                <c:pt idx="742">
                  <c:v>2.6499999999999999E-2</c:v>
                </c:pt>
                <c:pt idx="743">
                  <c:v>2.64E-2</c:v>
                </c:pt>
                <c:pt idx="744">
                  <c:v>2.58E-2</c:v>
                </c:pt>
                <c:pt idx="745">
                  <c:v>2.6699999999999998E-2</c:v>
                </c:pt>
                <c:pt idx="746">
                  <c:v>2.6000000000000002E-2</c:v>
                </c:pt>
                <c:pt idx="747">
                  <c:v>2.5600000000000001E-2</c:v>
                </c:pt>
                <c:pt idx="748">
                  <c:v>2.5099999999999997E-2</c:v>
                </c:pt>
                <c:pt idx="749">
                  <c:v>2.4900000000000002E-2</c:v>
                </c:pt>
                <c:pt idx="750">
                  <c:v>2.3700000000000002E-2</c:v>
                </c:pt>
                <c:pt idx="751">
                  <c:v>2.4900000000000002E-2</c:v>
                </c:pt>
                <c:pt idx="752">
                  <c:v>2.53E-2</c:v>
                </c:pt>
                <c:pt idx="753">
                  <c:v>2.58E-2</c:v>
                </c:pt>
                <c:pt idx="754">
                  <c:v>2.5699999999999997E-2</c:v>
                </c:pt>
                <c:pt idx="755">
                  <c:v>2.5600000000000001E-2</c:v>
                </c:pt>
                <c:pt idx="756">
                  <c:v>2.52E-2</c:v>
                </c:pt>
                <c:pt idx="757">
                  <c:v>2.53E-2</c:v>
                </c:pt>
                <c:pt idx="758">
                  <c:v>2.53E-2</c:v>
                </c:pt>
                <c:pt idx="759">
                  <c:v>2.5399999999999999E-2</c:v>
                </c:pt>
                <c:pt idx="760">
                  <c:v>2.58E-2</c:v>
                </c:pt>
                <c:pt idx="761">
                  <c:v>2.6200000000000001E-2</c:v>
                </c:pt>
                <c:pt idx="762">
                  <c:v>2.5699999999999997E-2</c:v>
                </c:pt>
                <c:pt idx="763">
                  <c:v>2.5899999999999999E-2</c:v>
                </c:pt>
                <c:pt idx="764">
                  <c:v>2.5499999999999998E-2</c:v>
                </c:pt>
                <c:pt idx="765">
                  <c:v>2.5899999999999999E-2</c:v>
                </c:pt>
                <c:pt idx="766">
                  <c:v>2.58E-2</c:v>
                </c:pt>
                <c:pt idx="767">
                  <c:v>2.5499999999999998E-2</c:v>
                </c:pt>
                <c:pt idx="768">
                  <c:v>2.4900000000000002E-2</c:v>
                </c:pt>
                <c:pt idx="769">
                  <c:v>2.4300000000000002E-2</c:v>
                </c:pt>
                <c:pt idx="770">
                  <c:v>2.5099999999999997E-2</c:v>
                </c:pt>
                <c:pt idx="771">
                  <c:v>2.53E-2</c:v>
                </c:pt>
                <c:pt idx="772">
                  <c:v>2.5099999999999997E-2</c:v>
                </c:pt>
                <c:pt idx="773">
                  <c:v>2.5000000000000001E-2</c:v>
                </c:pt>
                <c:pt idx="774">
                  <c:v>2.46E-2</c:v>
                </c:pt>
                <c:pt idx="775">
                  <c:v>2.4399999999999998E-2</c:v>
                </c:pt>
                <c:pt idx="776">
                  <c:v>2.4700000000000003E-2</c:v>
                </c:pt>
                <c:pt idx="777">
                  <c:v>2.4900000000000002E-2</c:v>
                </c:pt>
                <c:pt idx="778">
                  <c:v>2.53E-2</c:v>
                </c:pt>
                <c:pt idx="779">
                  <c:v>2.4799999999999999E-2</c:v>
                </c:pt>
                <c:pt idx="780">
                  <c:v>2.4900000000000002E-2</c:v>
                </c:pt>
                <c:pt idx="781">
                  <c:v>2.4700000000000003E-2</c:v>
                </c:pt>
                <c:pt idx="782">
                  <c:v>2.4700000000000003E-2</c:v>
                </c:pt>
                <c:pt idx="783">
                  <c:v>2.5099999999999997E-2</c:v>
                </c:pt>
                <c:pt idx="784">
                  <c:v>2.4700000000000003E-2</c:v>
                </c:pt>
                <c:pt idx="785">
                  <c:v>2.4799999999999999E-2</c:v>
                </c:pt>
                <c:pt idx="786">
                  <c:v>2.4500000000000001E-2</c:v>
                </c:pt>
                <c:pt idx="787">
                  <c:v>2.4900000000000002E-2</c:v>
                </c:pt>
                <c:pt idx="788">
                  <c:v>2.52E-2</c:v>
                </c:pt>
                <c:pt idx="789">
                  <c:v>2.5600000000000001E-2</c:v>
                </c:pt>
                <c:pt idx="790">
                  <c:v>2.53E-2</c:v>
                </c:pt>
                <c:pt idx="791">
                  <c:v>2.53E-2</c:v>
                </c:pt>
                <c:pt idx="792">
                  <c:v>2.4900000000000002E-2</c:v>
                </c:pt>
                <c:pt idx="793">
                  <c:v>2.4399999999999998E-2</c:v>
                </c:pt>
                <c:pt idx="794">
                  <c:v>2.4199999999999999E-2</c:v>
                </c:pt>
                <c:pt idx="795">
                  <c:v>2.4399999999999998E-2</c:v>
                </c:pt>
                <c:pt idx="796">
                  <c:v>2.41E-2</c:v>
                </c:pt>
                <c:pt idx="797">
                  <c:v>2.4199999999999999E-2</c:v>
                </c:pt>
                <c:pt idx="798">
                  <c:v>2.4300000000000002E-2</c:v>
                </c:pt>
                <c:pt idx="799">
                  <c:v>2.4E-2</c:v>
                </c:pt>
                <c:pt idx="800">
                  <c:v>2.4199999999999999E-2</c:v>
                </c:pt>
                <c:pt idx="801">
                  <c:v>2.4199999999999999E-2</c:v>
                </c:pt>
                <c:pt idx="802">
                  <c:v>2.3399999999999997E-2</c:v>
                </c:pt>
                <c:pt idx="803">
                  <c:v>2.3399999999999997E-2</c:v>
                </c:pt>
                <c:pt idx="804">
                  <c:v>2.2400000000000003E-2</c:v>
                </c:pt>
                <c:pt idx="805">
                  <c:v>2.2099999999999998E-2</c:v>
                </c:pt>
                <c:pt idx="806">
                  <c:v>2.18E-2</c:v>
                </c:pt>
                <c:pt idx="807">
                  <c:v>2.18E-2</c:v>
                </c:pt>
                <c:pt idx="808">
                  <c:v>2.2000000000000002E-2</c:v>
                </c:pt>
                <c:pt idx="809">
                  <c:v>2.23E-2</c:v>
                </c:pt>
                <c:pt idx="810">
                  <c:v>2.3099999999999999E-2</c:v>
                </c:pt>
                <c:pt idx="811">
                  <c:v>2.2799999999999997E-2</c:v>
                </c:pt>
                <c:pt idx="812">
                  <c:v>2.3199999999999998E-2</c:v>
                </c:pt>
                <c:pt idx="813">
                  <c:v>2.3199999999999998E-2</c:v>
                </c:pt>
                <c:pt idx="814">
                  <c:v>2.3099999999999999E-2</c:v>
                </c:pt>
                <c:pt idx="815">
                  <c:v>2.3300000000000001E-2</c:v>
                </c:pt>
                <c:pt idx="816">
                  <c:v>2.3099999999999999E-2</c:v>
                </c:pt>
                <c:pt idx="817">
                  <c:v>2.2799999999999997E-2</c:v>
                </c:pt>
                <c:pt idx="818">
                  <c:v>2.3099999999999999E-2</c:v>
                </c:pt>
                <c:pt idx="819">
                  <c:v>2.3799999999999998E-2</c:v>
                </c:pt>
                <c:pt idx="820">
                  <c:v>2.3700000000000002E-2</c:v>
                </c:pt>
                <c:pt idx="821">
                  <c:v>2.41E-2</c:v>
                </c:pt>
                <c:pt idx="822">
                  <c:v>2.4E-2</c:v>
                </c:pt>
                <c:pt idx="823">
                  <c:v>2.3799999999999998E-2</c:v>
                </c:pt>
                <c:pt idx="824">
                  <c:v>2.3900000000000001E-2</c:v>
                </c:pt>
                <c:pt idx="825">
                  <c:v>2.3599999999999999E-2</c:v>
                </c:pt>
                <c:pt idx="826">
                  <c:v>2.3199999999999998E-2</c:v>
                </c:pt>
                <c:pt idx="827">
                  <c:v>2.3300000000000001E-2</c:v>
                </c:pt>
                <c:pt idx="828">
                  <c:v>2.29E-2</c:v>
                </c:pt>
                <c:pt idx="829">
                  <c:v>2.3199999999999998E-2</c:v>
                </c:pt>
                <c:pt idx="830">
                  <c:v>2.2799999999999997E-2</c:v>
                </c:pt>
                <c:pt idx="831">
                  <c:v>2.3099999999999999E-2</c:v>
                </c:pt>
                <c:pt idx="832">
                  <c:v>2.3399999999999997E-2</c:v>
                </c:pt>
                <c:pt idx="833">
                  <c:v>2.3300000000000001E-2</c:v>
                </c:pt>
                <c:pt idx="834">
                  <c:v>2.3E-2</c:v>
                </c:pt>
                <c:pt idx="835">
                  <c:v>2.2499999999999999E-2</c:v>
                </c:pt>
                <c:pt idx="836">
                  <c:v>2.2799999999999997E-2</c:v>
                </c:pt>
                <c:pt idx="837">
                  <c:v>2.2499999999999999E-2</c:v>
                </c:pt>
                <c:pt idx="838">
                  <c:v>2.2599999999999999E-2</c:v>
                </c:pt>
                <c:pt idx="839">
                  <c:v>2.18E-2</c:v>
                </c:pt>
                <c:pt idx="840">
                  <c:v>2.2000000000000002E-2</c:v>
                </c:pt>
                <c:pt idx="841">
                  <c:v>2.1499999999999998E-2</c:v>
                </c:pt>
                <c:pt idx="842">
                  <c:v>2.18E-2</c:v>
                </c:pt>
                <c:pt idx="843">
                  <c:v>2.1700000000000001E-2</c:v>
                </c:pt>
                <c:pt idx="844">
                  <c:v>2.2099999999999998E-2</c:v>
                </c:pt>
                <c:pt idx="845">
                  <c:v>2.23E-2</c:v>
                </c:pt>
                <c:pt idx="846">
                  <c:v>2.1899999999999999E-2</c:v>
                </c:pt>
                <c:pt idx="847">
                  <c:v>2.1099999999999997E-2</c:v>
                </c:pt>
                <c:pt idx="848">
                  <c:v>2.12E-2</c:v>
                </c:pt>
                <c:pt idx="849">
                  <c:v>2.06E-2</c:v>
                </c:pt>
                <c:pt idx="850">
                  <c:v>2.0499999999999997E-2</c:v>
                </c:pt>
                <c:pt idx="851">
                  <c:v>2.0299999999999999E-2</c:v>
                </c:pt>
                <c:pt idx="852">
                  <c:v>1.9299999999999998E-2</c:v>
                </c:pt>
                <c:pt idx="853">
                  <c:v>1.83E-2</c:v>
                </c:pt>
                <c:pt idx="854">
                  <c:v>1.89E-2</c:v>
                </c:pt>
                <c:pt idx="855">
                  <c:v>1.8600000000000002E-2</c:v>
                </c:pt>
                <c:pt idx="856">
                  <c:v>1.8799999999999997E-2</c:v>
                </c:pt>
                <c:pt idx="857">
                  <c:v>1.8500000000000003E-2</c:v>
                </c:pt>
                <c:pt idx="858">
                  <c:v>1.9099999999999999E-2</c:v>
                </c:pt>
                <c:pt idx="859">
                  <c:v>1.9199999999999998E-2</c:v>
                </c:pt>
                <c:pt idx="860">
                  <c:v>1.8799999999999997E-2</c:v>
                </c:pt>
                <c:pt idx="861">
                  <c:v>1.84E-2</c:v>
                </c:pt>
                <c:pt idx="862">
                  <c:v>1.8500000000000003E-2</c:v>
                </c:pt>
                <c:pt idx="863">
                  <c:v>1.8500000000000003E-2</c:v>
                </c:pt>
                <c:pt idx="864">
                  <c:v>1.83E-2</c:v>
                </c:pt>
                <c:pt idx="865">
                  <c:v>1.77E-2</c:v>
                </c:pt>
                <c:pt idx="866">
                  <c:v>1.7399999999999999E-2</c:v>
                </c:pt>
                <c:pt idx="867">
                  <c:v>1.8000000000000002E-2</c:v>
                </c:pt>
                <c:pt idx="868">
                  <c:v>1.7500000000000002E-2</c:v>
                </c:pt>
                <c:pt idx="869">
                  <c:v>1.7299999999999999E-2</c:v>
                </c:pt>
                <c:pt idx="870">
                  <c:v>1.8000000000000002E-2</c:v>
                </c:pt>
                <c:pt idx="871">
                  <c:v>1.7600000000000001E-2</c:v>
                </c:pt>
                <c:pt idx="872">
                  <c:v>1.7600000000000001E-2</c:v>
                </c:pt>
                <c:pt idx="873">
                  <c:v>1.7899999999999999E-2</c:v>
                </c:pt>
                <c:pt idx="874">
                  <c:v>1.7500000000000002E-2</c:v>
                </c:pt>
                <c:pt idx="875">
                  <c:v>1.7399999999999999E-2</c:v>
                </c:pt>
                <c:pt idx="876">
                  <c:v>1.84E-2</c:v>
                </c:pt>
                <c:pt idx="877">
                  <c:v>1.8600000000000002E-2</c:v>
                </c:pt>
                <c:pt idx="878">
                  <c:v>1.8799999999999997E-2</c:v>
                </c:pt>
                <c:pt idx="879">
                  <c:v>1.8200000000000001E-2</c:v>
                </c:pt>
                <c:pt idx="880">
                  <c:v>1.8799999999999997E-2</c:v>
                </c:pt>
                <c:pt idx="881">
                  <c:v>1.8600000000000002E-2</c:v>
                </c:pt>
                <c:pt idx="882">
                  <c:v>1.84E-2</c:v>
                </c:pt>
                <c:pt idx="883">
                  <c:v>1.8799999999999997E-2</c:v>
                </c:pt>
                <c:pt idx="884">
                  <c:v>1.83E-2</c:v>
                </c:pt>
                <c:pt idx="885">
                  <c:v>1.78E-2</c:v>
                </c:pt>
                <c:pt idx="886">
                  <c:v>1.8000000000000002E-2</c:v>
                </c:pt>
                <c:pt idx="887">
                  <c:v>1.8000000000000002E-2</c:v>
                </c:pt>
                <c:pt idx="888">
                  <c:v>1.83E-2</c:v>
                </c:pt>
                <c:pt idx="889">
                  <c:v>1.8200000000000001E-2</c:v>
                </c:pt>
                <c:pt idx="890">
                  <c:v>1.8500000000000003E-2</c:v>
                </c:pt>
                <c:pt idx="891">
                  <c:v>1.8500000000000003E-2</c:v>
                </c:pt>
                <c:pt idx="892">
                  <c:v>1.84E-2</c:v>
                </c:pt>
                <c:pt idx="893">
                  <c:v>1.84E-2</c:v>
                </c:pt>
                <c:pt idx="894">
                  <c:v>1.84E-2</c:v>
                </c:pt>
                <c:pt idx="895">
                  <c:v>1.6799999999999999E-2</c:v>
                </c:pt>
                <c:pt idx="896">
                  <c:v>1.66E-2</c:v>
                </c:pt>
                <c:pt idx="897">
                  <c:v>1.55E-2</c:v>
                </c:pt>
                <c:pt idx="898">
                  <c:v>1.5300000000000001E-2</c:v>
                </c:pt>
                <c:pt idx="899">
                  <c:v>1.52E-2</c:v>
                </c:pt>
                <c:pt idx="900">
                  <c:v>1.54E-2</c:v>
                </c:pt>
                <c:pt idx="901">
                  <c:v>1.5700000000000002E-2</c:v>
                </c:pt>
                <c:pt idx="902">
                  <c:v>1.49E-2</c:v>
                </c:pt>
                <c:pt idx="903">
                  <c:v>1.5700000000000002E-2</c:v>
                </c:pt>
                <c:pt idx="904">
                  <c:v>1.5100000000000001E-2</c:v>
                </c:pt>
                <c:pt idx="905">
                  <c:v>1.4199999999999999E-2</c:v>
                </c:pt>
                <c:pt idx="906">
                  <c:v>1.4199999999999999E-2</c:v>
                </c:pt>
                <c:pt idx="907">
                  <c:v>1.47E-2</c:v>
                </c:pt>
                <c:pt idx="908">
                  <c:v>1.4199999999999999E-2</c:v>
                </c:pt>
                <c:pt idx="909">
                  <c:v>1.47E-2</c:v>
                </c:pt>
                <c:pt idx="910">
                  <c:v>1.4999999999999999E-2</c:v>
                </c:pt>
                <c:pt idx="911">
                  <c:v>1.3999999999999999E-2</c:v>
                </c:pt>
                <c:pt idx="912">
                  <c:v>1.43E-2</c:v>
                </c:pt>
                <c:pt idx="913">
                  <c:v>1.3999999999999999E-2</c:v>
                </c:pt>
                <c:pt idx="914">
                  <c:v>1.37E-2</c:v>
                </c:pt>
                <c:pt idx="915">
                  <c:v>1.3999999999999999E-2</c:v>
                </c:pt>
                <c:pt idx="916">
                  <c:v>1.3899999999999999E-2</c:v>
                </c:pt>
                <c:pt idx="917">
                  <c:v>1.3500000000000002E-2</c:v>
                </c:pt>
                <c:pt idx="918">
                  <c:v>1.32E-2</c:v>
                </c:pt>
                <c:pt idx="919">
                  <c:v>1.43E-2</c:v>
                </c:pt>
                <c:pt idx="920">
                  <c:v>1.4199999999999999E-2</c:v>
                </c:pt>
                <c:pt idx="921">
                  <c:v>1.49E-2</c:v>
                </c:pt>
                <c:pt idx="922">
                  <c:v>1.5800000000000002E-2</c:v>
                </c:pt>
                <c:pt idx="923">
                  <c:v>1.6E-2</c:v>
                </c:pt>
                <c:pt idx="924">
                  <c:v>1.6500000000000001E-2</c:v>
                </c:pt>
                <c:pt idx="925">
                  <c:v>1.7500000000000002E-2</c:v>
                </c:pt>
                <c:pt idx="926">
                  <c:v>1.6899999999999998E-2</c:v>
                </c:pt>
                <c:pt idx="927">
                  <c:v>1.66E-2</c:v>
                </c:pt>
                <c:pt idx="928">
                  <c:v>1.6799999999999999E-2</c:v>
                </c:pt>
                <c:pt idx="929">
                  <c:v>1.66E-2</c:v>
                </c:pt>
                <c:pt idx="930">
                  <c:v>1.61E-2</c:v>
                </c:pt>
                <c:pt idx="931">
                  <c:v>1.5900000000000001E-2</c:v>
                </c:pt>
                <c:pt idx="932">
                  <c:v>1.52E-2</c:v>
                </c:pt>
                <c:pt idx="933">
                  <c:v>1.6E-2</c:v>
                </c:pt>
                <c:pt idx="934">
                  <c:v>1.5900000000000001E-2</c:v>
                </c:pt>
                <c:pt idx="935">
                  <c:v>1.5600000000000001E-2</c:v>
                </c:pt>
                <c:pt idx="936">
                  <c:v>1.55E-2</c:v>
                </c:pt>
                <c:pt idx="937">
                  <c:v>1.5100000000000001E-2</c:v>
                </c:pt>
                <c:pt idx="938">
                  <c:v>1.43E-2</c:v>
                </c:pt>
                <c:pt idx="939">
                  <c:v>1.34E-2</c:v>
                </c:pt>
                <c:pt idx="940">
                  <c:v>1.34E-2</c:v>
                </c:pt>
                <c:pt idx="941">
                  <c:v>1.38E-2</c:v>
                </c:pt>
                <c:pt idx="942">
                  <c:v>1.3600000000000001E-2</c:v>
                </c:pt>
                <c:pt idx="943">
                  <c:v>1.3999999999999999E-2</c:v>
                </c:pt>
                <c:pt idx="944">
                  <c:v>1.4800000000000001E-2</c:v>
                </c:pt>
                <c:pt idx="945">
                  <c:v>1.5900000000000001E-2</c:v>
                </c:pt>
                <c:pt idx="946">
                  <c:v>1.5900000000000001E-2</c:v>
                </c:pt>
                <c:pt idx="947">
                  <c:v>1.5700000000000002E-2</c:v>
                </c:pt>
                <c:pt idx="948">
                  <c:v>1.5700000000000002E-2</c:v>
                </c:pt>
                <c:pt idx="949">
                  <c:v>1.5600000000000001E-2</c:v>
                </c:pt>
                <c:pt idx="950">
                  <c:v>1.61E-2</c:v>
                </c:pt>
                <c:pt idx="951">
                  <c:v>1.6E-2</c:v>
                </c:pt>
                <c:pt idx="952">
                  <c:v>1.5800000000000002E-2</c:v>
                </c:pt>
                <c:pt idx="953">
                  <c:v>1.5800000000000002E-2</c:v>
                </c:pt>
                <c:pt idx="954">
                  <c:v>1.6200000000000003E-2</c:v>
                </c:pt>
                <c:pt idx="955">
                  <c:v>1.66E-2</c:v>
                </c:pt>
                <c:pt idx="956">
                  <c:v>1.66E-2</c:v>
                </c:pt>
                <c:pt idx="957">
                  <c:v>1.61E-2</c:v>
                </c:pt>
                <c:pt idx="958">
                  <c:v>1.5100000000000001E-2</c:v>
                </c:pt>
                <c:pt idx="959">
                  <c:v>1.55E-2</c:v>
                </c:pt>
                <c:pt idx="960">
                  <c:v>1.6E-2</c:v>
                </c:pt>
                <c:pt idx="961">
                  <c:v>1.66E-2</c:v>
                </c:pt>
                <c:pt idx="962">
                  <c:v>1.6299999999999999E-2</c:v>
                </c:pt>
                <c:pt idx="963">
                  <c:v>1.7399999999999999E-2</c:v>
                </c:pt>
                <c:pt idx="964">
                  <c:v>1.7399999999999999E-2</c:v>
                </c:pt>
                <c:pt idx="965">
                  <c:v>1.7299999999999999E-2</c:v>
                </c:pt>
                <c:pt idx="966">
                  <c:v>1.6899999999999998E-2</c:v>
                </c:pt>
                <c:pt idx="967">
                  <c:v>1.6299999999999999E-2</c:v>
                </c:pt>
                <c:pt idx="968">
                  <c:v>1.6500000000000001E-2</c:v>
                </c:pt>
                <c:pt idx="969">
                  <c:v>1.6299999999999999E-2</c:v>
                </c:pt>
                <c:pt idx="970">
                  <c:v>1.6299999999999999E-2</c:v>
                </c:pt>
                <c:pt idx="971">
                  <c:v>1.5800000000000002E-2</c:v>
                </c:pt>
                <c:pt idx="972">
                  <c:v>1.6200000000000003E-2</c:v>
                </c:pt>
                <c:pt idx="973">
                  <c:v>1.6200000000000003E-2</c:v>
                </c:pt>
                <c:pt idx="974">
                  <c:v>1.6200000000000003E-2</c:v>
                </c:pt>
                <c:pt idx="975">
                  <c:v>1.5800000000000002E-2</c:v>
                </c:pt>
                <c:pt idx="976">
                  <c:v>1.6299999999999999E-2</c:v>
                </c:pt>
                <c:pt idx="977">
                  <c:v>1.6200000000000003E-2</c:v>
                </c:pt>
                <c:pt idx="978">
                  <c:v>1.6500000000000001E-2</c:v>
                </c:pt>
                <c:pt idx="979">
                  <c:v>1.54E-2</c:v>
                </c:pt>
                <c:pt idx="980">
                  <c:v>1.6E-2</c:v>
                </c:pt>
                <c:pt idx="981">
                  <c:v>1.6200000000000003E-2</c:v>
                </c:pt>
                <c:pt idx="982">
                  <c:v>1.67E-2</c:v>
                </c:pt>
                <c:pt idx="983">
                  <c:v>1.67E-2</c:v>
                </c:pt>
                <c:pt idx="984">
                  <c:v>1.6799999999999999E-2</c:v>
                </c:pt>
                <c:pt idx="985">
                  <c:v>1.6399999999999998E-2</c:v>
                </c:pt>
                <c:pt idx="986">
                  <c:v>1.7299999999999999E-2</c:v>
                </c:pt>
                <c:pt idx="987">
                  <c:v>1.66E-2</c:v>
                </c:pt>
                <c:pt idx="988">
                  <c:v>1.72E-2</c:v>
                </c:pt>
                <c:pt idx="989">
                  <c:v>1.7100000000000001E-2</c:v>
                </c:pt>
                <c:pt idx="990">
                  <c:v>1.7399999999999999E-2</c:v>
                </c:pt>
                <c:pt idx="991">
                  <c:v>1.7299999999999999E-2</c:v>
                </c:pt>
                <c:pt idx="992">
                  <c:v>1.7299999999999999E-2</c:v>
                </c:pt>
                <c:pt idx="993">
                  <c:v>1.7500000000000002E-2</c:v>
                </c:pt>
                <c:pt idx="994">
                  <c:v>1.72E-2</c:v>
                </c:pt>
                <c:pt idx="995">
                  <c:v>1.72E-2</c:v>
                </c:pt>
                <c:pt idx="996">
                  <c:v>1.6799999999999999E-2</c:v>
                </c:pt>
                <c:pt idx="997">
                  <c:v>1.6799999999999999E-2</c:v>
                </c:pt>
                <c:pt idx="998">
                  <c:v>1.6899999999999998E-2</c:v>
                </c:pt>
                <c:pt idx="999">
                  <c:v>1.67E-2</c:v>
                </c:pt>
                <c:pt idx="1000">
                  <c:v>1.5900000000000001E-2</c:v>
                </c:pt>
                <c:pt idx="1001">
                  <c:v>1.61E-2</c:v>
                </c:pt>
                <c:pt idx="1002">
                  <c:v>1.6200000000000003E-2</c:v>
                </c:pt>
                <c:pt idx="1003">
                  <c:v>1.67E-2</c:v>
                </c:pt>
                <c:pt idx="1004">
                  <c:v>1.6500000000000001E-2</c:v>
                </c:pt>
                <c:pt idx="1005">
                  <c:v>1.6299999999999999E-2</c:v>
                </c:pt>
                <c:pt idx="1006">
                  <c:v>1.6500000000000001E-2</c:v>
                </c:pt>
                <c:pt idx="1007">
                  <c:v>1.6299999999999999E-2</c:v>
                </c:pt>
                <c:pt idx="1008">
                  <c:v>1.6E-2</c:v>
                </c:pt>
                <c:pt idx="1009">
                  <c:v>1.6299999999999999E-2</c:v>
                </c:pt>
                <c:pt idx="1010">
                  <c:v>1.6299999999999999E-2</c:v>
                </c:pt>
                <c:pt idx="1011">
                  <c:v>1.5700000000000002E-2</c:v>
                </c:pt>
                <c:pt idx="1012">
                  <c:v>1.5700000000000002E-2</c:v>
                </c:pt>
                <c:pt idx="1013">
                  <c:v>1.55E-2</c:v>
                </c:pt>
                <c:pt idx="1014">
                  <c:v>1.5100000000000001E-2</c:v>
                </c:pt>
                <c:pt idx="1015">
                  <c:v>1.44E-2</c:v>
                </c:pt>
                <c:pt idx="1016">
                  <c:v>1.47E-2</c:v>
                </c:pt>
                <c:pt idx="1017">
                  <c:v>1.41E-2</c:v>
                </c:pt>
                <c:pt idx="1018">
                  <c:v>1.3899999999999999E-2</c:v>
                </c:pt>
                <c:pt idx="1019">
                  <c:v>1.32E-2</c:v>
                </c:pt>
                <c:pt idx="1020">
                  <c:v>1.3500000000000002E-2</c:v>
                </c:pt>
                <c:pt idx="1021">
                  <c:v>1.4199999999999999E-2</c:v>
                </c:pt>
                <c:pt idx="1022">
                  <c:v>1.46E-2</c:v>
                </c:pt>
                <c:pt idx="1023">
                  <c:v>1.4499999999999999E-2</c:v>
                </c:pt>
                <c:pt idx="1024">
                  <c:v>1.41E-2</c:v>
                </c:pt>
                <c:pt idx="1025">
                  <c:v>1.38E-2</c:v>
                </c:pt>
                <c:pt idx="1026">
                  <c:v>1.3999999999999999E-2</c:v>
                </c:pt>
                <c:pt idx="1027">
                  <c:v>1.4499999999999999E-2</c:v>
                </c:pt>
                <c:pt idx="1028">
                  <c:v>1.43E-2</c:v>
                </c:pt>
                <c:pt idx="1029">
                  <c:v>1.4199999999999999E-2</c:v>
                </c:pt>
                <c:pt idx="1030">
                  <c:v>1.3899999999999999E-2</c:v>
                </c:pt>
                <c:pt idx="1031">
                  <c:v>1.41E-2</c:v>
                </c:pt>
                <c:pt idx="1032">
                  <c:v>1.37E-2</c:v>
                </c:pt>
                <c:pt idx="1033">
                  <c:v>1.3000000000000001E-2</c:v>
                </c:pt>
                <c:pt idx="1034">
                  <c:v>1.21E-2</c:v>
                </c:pt>
                <c:pt idx="1035">
                  <c:v>1.1599999999999999E-2</c:v>
                </c:pt>
                <c:pt idx="1036">
                  <c:v>1.1399999999999999E-2</c:v>
                </c:pt>
                <c:pt idx="1037">
                  <c:v>1.11E-2</c:v>
                </c:pt>
                <c:pt idx="1038">
                  <c:v>8.8999999999999999E-3</c:v>
                </c:pt>
                <c:pt idx="1039">
                  <c:v>8.8000000000000005E-3</c:v>
                </c:pt>
                <c:pt idx="1040">
                  <c:v>7.7000000000000002E-3</c:v>
                </c:pt>
                <c:pt idx="1041">
                  <c:v>7.4999999999999997E-3</c:v>
                </c:pt>
                <c:pt idx="1042">
                  <c:v>6.7000000000000002E-3</c:v>
                </c:pt>
                <c:pt idx="1043">
                  <c:v>5.7999999999999996E-3</c:v>
                </c:pt>
                <c:pt idx="1044">
                  <c:v>4.5999999999999999E-3</c:v>
                </c:pt>
                <c:pt idx="1045">
                  <c:v>6.3E-3</c:v>
                </c:pt>
                <c:pt idx="1046">
                  <c:v>6.6E-3</c:v>
                </c:pt>
                <c:pt idx="1047">
                  <c:v>6.6E-3</c:v>
                </c:pt>
                <c:pt idx="1048">
                  <c:v>6.9999999999999993E-3</c:v>
                </c:pt>
                <c:pt idx="1049">
                  <c:v>4.8999999999999998E-3</c:v>
                </c:pt>
                <c:pt idx="1050">
                  <c:v>6.6E-3</c:v>
                </c:pt>
                <c:pt idx="1051">
                  <c:v>7.9000000000000008E-3</c:v>
                </c:pt>
                <c:pt idx="1052">
                  <c:v>6.6E-3</c:v>
                </c:pt>
                <c:pt idx="1053">
                  <c:v>5.1999999999999998E-3</c:v>
                </c:pt>
                <c:pt idx="1054">
                  <c:v>3.8E-3</c:v>
                </c:pt>
                <c:pt idx="1055">
                  <c:v>5.1999999999999998E-3</c:v>
                </c:pt>
                <c:pt idx="1056">
                  <c:v>5.6000000000000008E-3</c:v>
                </c:pt>
                <c:pt idx="1057">
                  <c:v>5.1000000000000004E-3</c:v>
                </c:pt>
                <c:pt idx="1058">
                  <c:v>4.0999999999999995E-3</c:v>
                </c:pt>
                <c:pt idx="1059">
                  <c:v>3.9000000000000003E-3</c:v>
                </c:pt>
                <c:pt idx="1060">
                  <c:v>3.7000000000000002E-3</c:v>
                </c:pt>
                <c:pt idx="1061">
                  <c:v>3.7000000000000002E-3</c:v>
                </c:pt>
                <c:pt idx="1062">
                  <c:v>3.9000000000000003E-3</c:v>
                </c:pt>
                <c:pt idx="1063">
                  <c:v>3.9000000000000003E-3</c:v>
                </c:pt>
                <c:pt idx="1064">
                  <c:v>4.4000000000000003E-3</c:v>
                </c:pt>
                <c:pt idx="1065">
                  <c:v>4.7999999999999996E-3</c:v>
                </c:pt>
                <c:pt idx="1066">
                  <c:v>4.6999999999999993E-3</c:v>
                </c:pt>
                <c:pt idx="1067">
                  <c:v>4.0999999999999995E-3</c:v>
                </c:pt>
                <c:pt idx="1068">
                  <c:v>4.4000000000000003E-3</c:v>
                </c:pt>
                <c:pt idx="1069">
                  <c:v>4.1999999999999997E-3</c:v>
                </c:pt>
                <c:pt idx="1070">
                  <c:v>3.4000000000000002E-3</c:v>
                </c:pt>
                <c:pt idx="1071">
                  <c:v>3.4999999999999996E-3</c:v>
                </c:pt>
                <c:pt idx="1072">
                  <c:v>3.5999999999999999E-3</c:v>
                </c:pt>
                <c:pt idx="1073">
                  <c:v>3.4999999999999996E-3</c:v>
                </c:pt>
                <c:pt idx="1074">
                  <c:v>3.4000000000000002E-3</c:v>
                </c:pt>
                <c:pt idx="1075">
                  <c:v>3.7000000000000002E-3</c:v>
                </c:pt>
                <c:pt idx="1076">
                  <c:v>3.7000000000000002E-3</c:v>
                </c:pt>
                <c:pt idx="1077">
                  <c:v>3.5999999999999999E-3</c:v>
                </c:pt>
                <c:pt idx="1078">
                  <c:v>4.0999999999999995E-3</c:v>
                </c:pt>
                <c:pt idx="1079">
                  <c:v>3.7000000000000002E-3</c:v>
                </c:pt>
                <c:pt idx="1080">
                  <c:v>3.5999999999999999E-3</c:v>
                </c:pt>
                <c:pt idx="1081">
                  <c:v>3.5999999999999999E-3</c:v>
                </c:pt>
                <c:pt idx="1082">
                  <c:v>3.5999999999999999E-3</c:v>
                </c:pt>
                <c:pt idx="1083">
                  <c:v>3.5999999999999999E-3</c:v>
                </c:pt>
                <c:pt idx="1084">
                  <c:v>3.5999999999999999E-3</c:v>
                </c:pt>
                <c:pt idx="1085">
                  <c:v>3.7000000000000002E-3</c:v>
                </c:pt>
                <c:pt idx="1086">
                  <c:v>2.8999999999999998E-3</c:v>
                </c:pt>
                <c:pt idx="1087">
                  <c:v>3.3E-3</c:v>
                </c:pt>
                <c:pt idx="1088">
                  <c:v>3.5999999999999999E-3</c:v>
                </c:pt>
                <c:pt idx="1089">
                  <c:v>3.4000000000000002E-3</c:v>
                </c:pt>
                <c:pt idx="1090">
                  <c:v>3.0999999999999999E-3</c:v>
                </c:pt>
                <c:pt idx="1091">
                  <c:v>3.0999999999999999E-3</c:v>
                </c:pt>
                <c:pt idx="1092">
                  <c:v>3.0999999999999999E-3</c:v>
                </c:pt>
                <c:pt idx="1093">
                  <c:v>3.8E-3</c:v>
                </c:pt>
                <c:pt idx="1094">
                  <c:v>3.4999999999999996E-3</c:v>
                </c:pt>
                <c:pt idx="1095">
                  <c:v>3.4000000000000002E-3</c:v>
                </c:pt>
                <c:pt idx="1096">
                  <c:v>3.4999999999999996E-3</c:v>
                </c:pt>
                <c:pt idx="1097">
                  <c:v>3.4000000000000002E-3</c:v>
                </c:pt>
                <c:pt idx="1098">
                  <c:v>3.4999999999999996E-3</c:v>
                </c:pt>
                <c:pt idx="1099">
                  <c:v>3.4000000000000002E-3</c:v>
                </c:pt>
                <c:pt idx="1100">
                  <c:v>3.4000000000000002E-3</c:v>
                </c:pt>
                <c:pt idx="1101">
                  <c:v>3.0000000000000001E-3</c:v>
                </c:pt>
                <c:pt idx="1102">
                  <c:v>3.0999999999999999E-3</c:v>
                </c:pt>
                <c:pt idx="1103">
                  <c:v>3.2000000000000002E-3</c:v>
                </c:pt>
                <c:pt idx="1104">
                  <c:v>3.8E-3</c:v>
                </c:pt>
                <c:pt idx="1105">
                  <c:v>4.0000000000000001E-3</c:v>
                </c:pt>
                <c:pt idx="1106">
                  <c:v>4.6999999999999993E-3</c:v>
                </c:pt>
                <c:pt idx="1107">
                  <c:v>4.5000000000000005E-3</c:v>
                </c:pt>
                <c:pt idx="1108">
                  <c:v>4.0000000000000001E-3</c:v>
                </c:pt>
                <c:pt idx="1109">
                  <c:v>3.3E-3</c:v>
                </c:pt>
                <c:pt idx="1110">
                  <c:v>3.2000000000000002E-3</c:v>
                </c:pt>
                <c:pt idx="1111">
                  <c:v>3.3E-3</c:v>
                </c:pt>
                <c:pt idx="1112">
                  <c:v>3.3E-3</c:v>
                </c:pt>
                <c:pt idx="1113">
                  <c:v>3.4000000000000002E-3</c:v>
                </c:pt>
                <c:pt idx="1114">
                  <c:v>3.4000000000000002E-3</c:v>
                </c:pt>
                <c:pt idx="1115">
                  <c:v>3.4000000000000002E-3</c:v>
                </c:pt>
                <c:pt idx="1116">
                  <c:v>3.3E-3</c:v>
                </c:pt>
                <c:pt idx="1117">
                  <c:v>3.4000000000000002E-3</c:v>
                </c:pt>
                <c:pt idx="1118">
                  <c:v>3.3E-3</c:v>
                </c:pt>
                <c:pt idx="1119">
                  <c:v>3.3E-3</c:v>
                </c:pt>
                <c:pt idx="1120">
                  <c:v>3.2000000000000002E-3</c:v>
                </c:pt>
                <c:pt idx="1121">
                  <c:v>3.0000000000000001E-3</c:v>
                </c:pt>
                <c:pt idx="1122">
                  <c:v>2.8000000000000004E-3</c:v>
                </c:pt>
                <c:pt idx="1123">
                  <c:v>2.8999999999999998E-3</c:v>
                </c:pt>
                <c:pt idx="1124">
                  <c:v>3.0999999999999999E-3</c:v>
                </c:pt>
                <c:pt idx="1125">
                  <c:v>2.8999999999999998E-3</c:v>
                </c:pt>
                <c:pt idx="1126">
                  <c:v>3.0999999999999999E-3</c:v>
                </c:pt>
                <c:pt idx="1127">
                  <c:v>2.8999999999999998E-3</c:v>
                </c:pt>
                <c:pt idx="1128">
                  <c:v>3.0000000000000001E-3</c:v>
                </c:pt>
                <c:pt idx="1129">
                  <c:v>2.8000000000000004E-3</c:v>
                </c:pt>
                <c:pt idx="1130">
                  <c:v>3.0000000000000001E-3</c:v>
                </c:pt>
                <c:pt idx="1131">
                  <c:v>3.0000000000000001E-3</c:v>
                </c:pt>
                <c:pt idx="1132">
                  <c:v>2.8000000000000004E-3</c:v>
                </c:pt>
                <c:pt idx="1133">
                  <c:v>2.8000000000000004E-3</c:v>
                </c:pt>
                <c:pt idx="1134">
                  <c:v>2.8000000000000004E-3</c:v>
                </c:pt>
                <c:pt idx="1135">
                  <c:v>2.8999999999999998E-3</c:v>
                </c:pt>
                <c:pt idx="1136">
                  <c:v>2.8999999999999998E-3</c:v>
                </c:pt>
                <c:pt idx="1137">
                  <c:v>2.7000000000000001E-3</c:v>
                </c:pt>
                <c:pt idx="1138">
                  <c:v>2.7000000000000001E-3</c:v>
                </c:pt>
                <c:pt idx="1139">
                  <c:v>2.7000000000000001E-3</c:v>
                </c:pt>
                <c:pt idx="1140">
                  <c:v>2.7000000000000001E-3</c:v>
                </c:pt>
                <c:pt idx="1141">
                  <c:v>3.0000000000000001E-3</c:v>
                </c:pt>
                <c:pt idx="1142">
                  <c:v>2.5999999999999999E-3</c:v>
                </c:pt>
                <c:pt idx="1143">
                  <c:v>2.5000000000000001E-3</c:v>
                </c:pt>
                <c:pt idx="1144">
                  <c:v>2.3E-3</c:v>
                </c:pt>
                <c:pt idx="1145">
                  <c:v>2.0999999999999999E-3</c:v>
                </c:pt>
                <c:pt idx="1146">
                  <c:v>2.2000000000000001E-3</c:v>
                </c:pt>
                <c:pt idx="1147">
                  <c:v>1.9E-3</c:v>
                </c:pt>
                <c:pt idx="1148">
                  <c:v>2.2000000000000001E-3</c:v>
                </c:pt>
                <c:pt idx="1149">
                  <c:v>2.0999999999999999E-3</c:v>
                </c:pt>
                <c:pt idx="1150">
                  <c:v>2.3E-3</c:v>
                </c:pt>
                <c:pt idx="1151">
                  <c:v>2.3999999999999998E-3</c:v>
                </c:pt>
                <c:pt idx="1152">
                  <c:v>2.7000000000000001E-3</c:v>
                </c:pt>
                <c:pt idx="1153">
                  <c:v>3.0000000000000001E-3</c:v>
                </c:pt>
                <c:pt idx="1154">
                  <c:v>3.2000000000000002E-3</c:v>
                </c:pt>
                <c:pt idx="1155">
                  <c:v>2.8999999999999998E-3</c:v>
                </c:pt>
                <c:pt idx="1156">
                  <c:v>2.8999999999999998E-3</c:v>
                </c:pt>
                <c:pt idx="1157">
                  <c:v>2.7000000000000001E-3</c:v>
                </c:pt>
                <c:pt idx="1158">
                  <c:v>2.8999999999999998E-3</c:v>
                </c:pt>
                <c:pt idx="1159">
                  <c:v>2.5999999999999999E-3</c:v>
                </c:pt>
                <c:pt idx="1160">
                  <c:v>2.7000000000000001E-3</c:v>
                </c:pt>
                <c:pt idx="1161">
                  <c:v>2.8000000000000004E-3</c:v>
                </c:pt>
                <c:pt idx="1162">
                  <c:v>3.0000000000000001E-3</c:v>
                </c:pt>
                <c:pt idx="1163">
                  <c:v>2.8000000000000004E-3</c:v>
                </c:pt>
                <c:pt idx="1164">
                  <c:v>3.0999999999999999E-3</c:v>
                </c:pt>
                <c:pt idx="1165">
                  <c:v>2.8000000000000004E-3</c:v>
                </c:pt>
                <c:pt idx="1166">
                  <c:v>2.8000000000000004E-3</c:v>
                </c:pt>
                <c:pt idx="1167">
                  <c:v>2.5999999999999999E-3</c:v>
                </c:pt>
                <c:pt idx="1168">
                  <c:v>2.5999999999999999E-3</c:v>
                </c:pt>
                <c:pt idx="1169">
                  <c:v>2.3999999999999998E-3</c:v>
                </c:pt>
                <c:pt idx="1170">
                  <c:v>3.0000000000000001E-3</c:v>
                </c:pt>
                <c:pt idx="1171">
                  <c:v>2.8000000000000004E-3</c:v>
                </c:pt>
                <c:pt idx="1172">
                  <c:v>2.8000000000000004E-3</c:v>
                </c:pt>
                <c:pt idx="1173">
                  <c:v>2.5999999999999999E-3</c:v>
                </c:pt>
                <c:pt idx="1174">
                  <c:v>2.5999999999999999E-3</c:v>
                </c:pt>
                <c:pt idx="1175">
                  <c:v>2.7000000000000001E-3</c:v>
                </c:pt>
                <c:pt idx="1176">
                  <c:v>2.7000000000000001E-3</c:v>
                </c:pt>
                <c:pt idx="1177">
                  <c:v>2.8000000000000004E-3</c:v>
                </c:pt>
                <c:pt idx="1178">
                  <c:v>2.8000000000000004E-3</c:v>
                </c:pt>
                <c:pt idx="1179">
                  <c:v>2.8999999999999998E-3</c:v>
                </c:pt>
                <c:pt idx="1180">
                  <c:v>2.7000000000000001E-3</c:v>
                </c:pt>
                <c:pt idx="1181">
                  <c:v>2.7000000000000001E-3</c:v>
                </c:pt>
                <c:pt idx="1182">
                  <c:v>2.8000000000000004E-3</c:v>
                </c:pt>
                <c:pt idx="1183">
                  <c:v>2.7000000000000001E-3</c:v>
                </c:pt>
                <c:pt idx="1184">
                  <c:v>2.5999999999999999E-3</c:v>
                </c:pt>
                <c:pt idx="1185">
                  <c:v>2.5999999999999999E-3</c:v>
                </c:pt>
                <c:pt idx="1186">
                  <c:v>2.3999999999999998E-3</c:v>
                </c:pt>
                <c:pt idx="1187">
                  <c:v>2.8000000000000004E-3</c:v>
                </c:pt>
                <c:pt idx="1188">
                  <c:v>2.7000000000000001E-3</c:v>
                </c:pt>
                <c:pt idx="1189">
                  <c:v>2.8000000000000004E-3</c:v>
                </c:pt>
                <c:pt idx="1190">
                  <c:v>3.3E-3</c:v>
                </c:pt>
                <c:pt idx="1191">
                  <c:v>3.2000000000000002E-3</c:v>
                </c:pt>
                <c:pt idx="1192">
                  <c:v>3.4999999999999996E-3</c:v>
                </c:pt>
                <c:pt idx="1193">
                  <c:v>3.3E-3</c:v>
                </c:pt>
                <c:pt idx="1194">
                  <c:v>3.4000000000000002E-3</c:v>
                </c:pt>
                <c:pt idx="1195">
                  <c:v>3.0999999999999999E-3</c:v>
                </c:pt>
                <c:pt idx="1196">
                  <c:v>3.0000000000000001E-3</c:v>
                </c:pt>
                <c:pt idx="1197">
                  <c:v>3.2000000000000002E-3</c:v>
                </c:pt>
                <c:pt idx="1198">
                  <c:v>3.2000000000000002E-3</c:v>
                </c:pt>
                <c:pt idx="1199">
                  <c:v>3.4000000000000002E-3</c:v>
                </c:pt>
                <c:pt idx="1200">
                  <c:v>3.4000000000000002E-3</c:v>
                </c:pt>
                <c:pt idx="1201">
                  <c:v>3.5999999999999999E-3</c:v>
                </c:pt>
                <c:pt idx="1202">
                  <c:v>3.8E-3</c:v>
                </c:pt>
                <c:pt idx="1203">
                  <c:v>3.7000000000000002E-3</c:v>
                </c:pt>
                <c:pt idx="1204">
                  <c:v>3.4999999999999996E-3</c:v>
                </c:pt>
                <c:pt idx="1205">
                  <c:v>3.4000000000000002E-3</c:v>
                </c:pt>
                <c:pt idx="1206">
                  <c:v>3.4000000000000002E-3</c:v>
                </c:pt>
                <c:pt idx="1207">
                  <c:v>3.8E-3</c:v>
                </c:pt>
                <c:pt idx="1208">
                  <c:v>3.8E-3</c:v>
                </c:pt>
                <c:pt idx="1209">
                  <c:v>3.8E-3</c:v>
                </c:pt>
                <c:pt idx="1210">
                  <c:v>3.9000000000000003E-3</c:v>
                </c:pt>
                <c:pt idx="1211">
                  <c:v>3.3E-3</c:v>
                </c:pt>
                <c:pt idx="1212">
                  <c:v>3.3E-3</c:v>
                </c:pt>
                <c:pt idx="1213">
                  <c:v>3.5999999999999999E-3</c:v>
                </c:pt>
                <c:pt idx="1214">
                  <c:v>4.4000000000000003E-3</c:v>
                </c:pt>
                <c:pt idx="1215">
                  <c:v>4.5999999999999999E-3</c:v>
                </c:pt>
                <c:pt idx="1216">
                  <c:v>4.0000000000000001E-3</c:v>
                </c:pt>
                <c:pt idx="1217">
                  <c:v>4.0999999999999995E-3</c:v>
                </c:pt>
                <c:pt idx="1218">
                  <c:v>4.0999999999999995E-3</c:v>
                </c:pt>
                <c:pt idx="1219">
                  <c:v>3.9000000000000003E-3</c:v>
                </c:pt>
                <c:pt idx="1220">
                  <c:v>4.0000000000000001E-3</c:v>
                </c:pt>
                <c:pt idx="1221">
                  <c:v>3.9000000000000003E-3</c:v>
                </c:pt>
                <c:pt idx="1222">
                  <c:v>3.8E-3</c:v>
                </c:pt>
                <c:pt idx="1223">
                  <c:v>3.9000000000000003E-3</c:v>
                </c:pt>
                <c:pt idx="1224">
                  <c:v>3.9000000000000003E-3</c:v>
                </c:pt>
                <c:pt idx="1225">
                  <c:v>3.9000000000000003E-3</c:v>
                </c:pt>
                <c:pt idx="1226">
                  <c:v>3.7000000000000002E-3</c:v>
                </c:pt>
                <c:pt idx="1227">
                  <c:v>3.5999999999999999E-3</c:v>
                </c:pt>
                <c:pt idx="1228">
                  <c:v>4.1999999999999997E-3</c:v>
                </c:pt>
                <c:pt idx="1229">
                  <c:v>4.1999999999999997E-3</c:v>
                </c:pt>
                <c:pt idx="1230">
                  <c:v>4.0000000000000001E-3</c:v>
                </c:pt>
                <c:pt idx="1231">
                  <c:v>4.1999999999999997E-3</c:v>
                </c:pt>
                <c:pt idx="1232">
                  <c:v>4.0000000000000001E-3</c:v>
                </c:pt>
                <c:pt idx="1233">
                  <c:v>3.9000000000000003E-3</c:v>
                </c:pt>
                <c:pt idx="1234">
                  <c:v>4.0999999999999995E-3</c:v>
                </c:pt>
                <c:pt idx="1235">
                  <c:v>3.9000000000000003E-3</c:v>
                </c:pt>
                <c:pt idx="1236">
                  <c:v>3.7000000000000002E-3</c:v>
                </c:pt>
                <c:pt idx="1237">
                  <c:v>3.7000000000000002E-3</c:v>
                </c:pt>
                <c:pt idx="1238">
                  <c:v>3.7000000000000002E-3</c:v>
                </c:pt>
                <c:pt idx="1239">
                  <c:v>3.7000000000000002E-3</c:v>
                </c:pt>
                <c:pt idx="1240">
                  <c:v>3.8E-3</c:v>
                </c:pt>
                <c:pt idx="1241">
                  <c:v>3.9000000000000003E-3</c:v>
                </c:pt>
                <c:pt idx="1242">
                  <c:v>3.9000000000000003E-3</c:v>
                </c:pt>
                <c:pt idx="1243">
                  <c:v>3.7000000000000002E-3</c:v>
                </c:pt>
                <c:pt idx="1244">
                  <c:v>3.8E-3</c:v>
                </c:pt>
                <c:pt idx="1245">
                  <c:v>3.7000000000000002E-3</c:v>
                </c:pt>
                <c:pt idx="1246">
                  <c:v>3.8E-3</c:v>
                </c:pt>
                <c:pt idx="1247">
                  <c:v>3.7000000000000002E-3</c:v>
                </c:pt>
                <c:pt idx="1248">
                  <c:v>3.7000000000000002E-3</c:v>
                </c:pt>
                <c:pt idx="1249">
                  <c:v>3.5999999999999999E-3</c:v>
                </c:pt>
                <c:pt idx="1250">
                  <c:v>3.5999999999999999E-3</c:v>
                </c:pt>
                <c:pt idx="1251">
                  <c:v>3.8E-3</c:v>
                </c:pt>
                <c:pt idx="1252">
                  <c:v>4.3E-3</c:v>
                </c:pt>
                <c:pt idx="1253">
                  <c:v>4.5999999999999999E-3</c:v>
                </c:pt>
                <c:pt idx="1254">
                  <c:v>4.8999999999999998E-3</c:v>
                </c:pt>
                <c:pt idx="1255">
                  <c:v>5.0000000000000001E-3</c:v>
                </c:pt>
                <c:pt idx="1256">
                  <c:v>5.0000000000000001E-3</c:v>
                </c:pt>
                <c:pt idx="1257">
                  <c:v>4.7999999999999996E-3</c:v>
                </c:pt>
                <c:pt idx="1258">
                  <c:v>4.8999999999999998E-3</c:v>
                </c:pt>
                <c:pt idx="1259">
                  <c:v>4.5999999999999999E-3</c:v>
                </c:pt>
                <c:pt idx="1260">
                  <c:v>4.5000000000000005E-3</c:v>
                </c:pt>
                <c:pt idx="1261">
                  <c:v>4.5000000000000005E-3</c:v>
                </c:pt>
                <c:pt idx="1262">
                  <c:v>4.5000000000000005E-3</c:v>
                </c:pt>
                <c:pt idx="1263">
                  <c:v>4.4000000000000003E-3</c:v>
                </c:pt>
                <c:pt idx="1264">
                  <c:v>4.1999999999999997E-3</c:v>
                </c:pt>
                <c:pt idx="1265">
                  <c:v>4.1999999999999997E-3</c:v>
                </c:pt>
                <c:pt idx="1266">
                  <c:v>4.0999999999999995E-3</c:v>
                </c:pt>
                <c:pt idx="1267">
                  <c:v>4.1999999999999997E-3</c:v>
                </c:pt>
                <c:pt idx="1268">
                  <c:v>4.5000000000000005E-3</c:v>
                </c:pt>
                <c:pt idx="1269">
                  <c:v>4.1999999999999997E-3</c:v>
                </c:pt>
                <c:pt idx="1270">
                  <c:v>4.5000000000000005E-3</c:v>
                </c:pt>
                <c:pt idx="1271">
                  <c:v>4.5999999999999999E-3</c:v>
                </c:pt>
                <c:pt idx="1272">
                  <c:v>4.5999999999999999E-3</c:v>
                </c:pt>
                <c:pt idx="1273">
                  <c:v>4.6999999999999993E-3</c:v>
                </c:pt>
                <c:pt idx="1274">
                  <c:v>4.7999999999999996E-3</c:v>
                </c:pt>
                <c:pt idx="1275">
                  <c:v>4.7999999999999996E-3</c:v>
                </c:pt>
                <c:pt idx="1276">
                  <c:v>4.5999999999999999E-3</c:v>
                </c:pt>
                <c:pt idx="1277">
                  <c:v>4.5999999999999999E-3</c:v>
                </c:pt>
                <c:pt idx="1278">
                  <c:v>5.0000000000000001E-3</c:v>
                </c:pt>
                <c:pt idx="1279">
                  <c:v>5.6999999999999993E-3</c:v>
                </c:pt>
                <c:pt idx="1280">
                  <c:v>5.6999999999999993E-3</c:v>
                </c:pt>
                <c:pt idx="1281">
                  <c:v>5.6000000000000008E-3</c:v>
                </c:pt>
                <c:pt idx="1282">
                  <c:v>5.8999999999999999E-3</c:v>
                </c:pt>
                <c:pt idx="1283">
                  <c:v>6.0999999999999995E-3</c:v>
                </c:pt>
                <c:pt idx="1284">
                  <c:v>5.8999999999999999E-3</c:v>
                </c:pt>
                <c:pt idx="1285">
                  <c:v>6.1999999999999998E-3</c:v>
                </c:pt>
                <c:pt idx="1286">
                  <c:v>8.1000000000000013E-3</c:v>
                </c:pt>
                <c:pt idx="1287">
                  <c:v>7.4999999999999997E-3</c:v>
                </c:pt>
                <c:pt idx="1288">
                  <c:v>7.0999999999999995E-3</c:v>
                </c:pt>
                <c:pt idx="1289">
                  <c:v>6.7000000000000002E-3</c:v>
                </c:pt>
                <c:pt idx="1290">
                  <c:v>7.3000000000000001E-3</c:v>
                </c:pt>
                <c:pt idx="1291">
                  <c:v>7.7000000000000002E-3</c:v>
                </c:pt>
                <c:pt idx="1292">
                  <c:v>7.9000000000000008E-3</c:v>
                </c:pt>
                <c:pt idx="1293">
                  <c:v>8.6E-3</c:v>
                </c:pt>
                <c:pt idx="1294">
                  <c:v>8.3000000000000001E-3</c:v>
                </c:pt>
                <c:pt idx="1295">
                  <c:v>8.0000000000000002E-3</c:v>
                </c:pt>
                <c:pt idx="1296">
                  <c:v>7.8000000000000005E-3</c:v>
                </c:pt>
                <c:pt idx="1297">
                  <c:v>8.5000000000000006E-3</c:v>
                </c:pt>
                <c:pt idx="1298">
                  <c:v>8.3999999999999995E-3</c:v>
                </c:pt>
                <c:pt idx="1299">
                  <c:v>8.3000000000000001E-3</c:v>
                </c:pt>
                <c:pt idx="1300">
                  <c:v>8.0000000000000002E-3</c:v>
                </c:pt>
                <c:pt idx="1301">
                  <c:v>8.6E-3</c:v>
                </c:pt>
                <c:pt idx="1302">
                  <c:v>9.0000000000000011E-3</c:v>
                </c:pt>
                <c:pt idx="1303">
                  <c:v>8.6999999999999994E-3</c:v>
                </c:pt>
                <c:pt idx="1304">
                  <c:v>8.3000000000000001E-3</c:v>
                </c:pt>
                <c:pt idx="1305">
                  <c:v>8.3000000000000001E-3</c:v>
                </c:pt>
                <c:pt idx="1306">
                  <c:v>8.199999999999999E-3</c:v>
                </c:pt>
                <c:pt idx="1307">
                  <c:v>8.5000000000000006E-3</c:v>
                </c:pt>
                <c:pt idx="1308">
                  <c:v>8.8999999999999999E-3</c:v>
                </c:pt>
                <c:pt idx="1309">
                  <c:v>9.0000000000000011E-3</c:v>
                </c:pt>
                <c:pt idx="1310">
                  <c:v>9.1999999999999998E-3</c:v>
                </c:pt>
                <c:pt idx="1311">
                  <c:v>9.0000000000000011E-3</c:v>
                </c:pt>
                <c:pt idx="1312">
                  <c:v>9.7000000000000003E-3</c:v>
                </c:pt>
                <c:pt idx="1313">
                  <c:v>9.3999999999999986E-3</c:v>
                </c:pt>
                <c:pt idx="1314">
                  <c:v>8.8000000000000005E-3</c:v>
                </c:pt>
                <c:pt idx="1315">
                  <c:v>8.6999999999999994E-3</c:v>
                </c:pt>
                <c:pt idx="1316">
                  <c:v>8.5000000000000006E-3</c:v>
                </c:pt>
                <c:pt idx="1317">
                  <c:v>8.6999999999999994E-3</c:v>
                </c:pt>
                <c:pt idx="1318">
                  <c:v>8.8999999999999999E-3</c:v>
                </c:pt>
                <c:pt idx="1319">
                  <c:v>8.5000000000000006E-3</c:v>
                </c:pt>
                <c:pt idx="1320">
                  <c:v>8.6999999999999994E-3</c:v>
                </c:pt>
                <c:pt idx="1321">
                  <c:v>8.1000000000000013E-3</c:v>
                </c:pt>
                <c:pt idx="1322">
                  <c:v>8.3999999999999995E-3</c:v>
                </c:pt>
                <c:pt idx="1323">
                  <c:v>8.5000000000000006E-3</c:v>
                </c:pt>
                <c:pt idx="1324">
                  <c:v>8.1000000000000013E-3</c:v>
                </c:pt>
                <c:pt idx="1325">
                  <c:v>8.1000000000000013E-3</c:v>
                </c:pt>
                <c:pt idx="1326">
                  <c:v>8.1000000000000013E-3</c:v>
                </c:pt>
                <c:pt idx="1327">
                  <c:v>8.3000000000000001E-3</c:v>
                </c:pt>
                <c:pt idx="1328">
                  <c:v>8.5000000000000006E-3</c:v>
                </c:pt>
                <c:pt idx="1329">
                  <c:v>8.8000000000000005E-3</c:v>
                </c:pt>
                <c:pt idx="1330">
                  <c:v>8.6E-3</c:v>
                </c:pt>
                <c:pt idx="1331">
                  <c:v>8.6E-3</c:v>
                </c:pt>
                <c:pt idx="1332">
                  <c:v>8.6E-3</c:v>
                </c:pt>
                <c:pt idx="1333">
                  <c:v>8.3999999999999995E-3</c:v>
                </c:pt>
                <c:pt idx="1334">
                  <c:v>8.199999999999999E-3</c:v>
                </c:pt>
                <c:pt idx="1335">
                  <c:v>8.0000000000000002E-3</c:v>
                </c:pt>
                <c:pt idx="1336">
                  <c:v>8.1000000000000013E-3</c:v>
                </c:pt>
                <c:pt idx="1337">
                  <c:v>7.7000000000000002E-3</c:v>
                </c:pt>
                <c:pt idx="1338">
                  <c:v>8.0000000000000002E-3</c:v>
                </c:pt>
                <c:pt idx="1339">
                  <c:v>8.0000000000000002E-3</c:v>
                </c:pt>
                <c:pt idx="1340">
                  <c:v>8.6999999999999994E-3</c:v>
                </c:pt>
                <c:pt idx="1341">
                  <c:v>8.3999999999999995E-3</c:v>
                </c:pt>
                <c:pt idx="1342">
                  <c:v>8.199999999999999E-3</c:v>
                </c:pt>
                <c:pt idx="1343">
                  <c:v>8.3999999999999995E-3</c:v>
                </c:pt>
                <c:pt idx="1344">
                  <c:v>8.3000000000000001E-3</c:v>
                </c:pt>
                <c:pt idx="1345">
                  <c:v>8.6999999999999994E-3</c:v>
                </c:pt>
                <c:pt idx="1346">
                  <c:v>8.3000000000000001E-3</c:v>
                </c:pt>
                <c:pt idx="1347">
                  <c:v>8.3999999999999995E-3</c:v>
                </c:pt>
                <c:pt idx="1348">
                  <c:v>8.199999999999999E-3</c:v>
                </c:pt>
                <c:pt idx="1349">
                  <c:v>7.9000000000000008E-3</c:v>
                </c:pt>
                <c:pt idx="1350">
                  <c:v>8.0000000000000002E-3</c:v>
                </c:pt>
                <c:pt idx="1351">
                  <c:v>8.1000000000000013E-3</c:v>
                </c:pt>
                <c:pt idx="1352">
                  <c:v>7.9000000000000008E-3</c:v>
                </c:pt>
                <c:pt idx="1353">
                  <c:v>8.1000000000000013E-3</c:v>
                </c:pt>
                <c:pt idx="1354">
                  <c:v>8.0000000000000002E-3</c:v>
                </c:pt>
                <c:pt idx="1355">
                  <c:v>8.3999999999999995E-3</c:v>
                </c:pt>
                <c:pt idx="1356">
                  <c:v>7.8000000000000005E-3</c:v>
                </c:pt>
                <c:pt idx="1357">
                  <c:v>7.9000000000000008E-3</c:v>
                </c:pt>
                <c:pt idx="1358">
                  <c:v>7.7000000000000002E-3</c:v>
                </c:pt>
                <c:pt idx="1359">
                  <c:v>7.4999999999999997E-3</c:v>
                </c:pt>
                <c:pt idx="1360">
                  <c:v>7.3000000000000001E-3</c:v>
                </c:pt>
                <c:pt idx="1361">
                  <c:v>7.6E-3</c:v>
                </c:pt>
                <c:pt idx="1362">
                  <c:v>8.0000000000000002E-3</c:v>
                </c:pt>
                <c:pt idx="1363">
                  <c:v>7.9000000000000008E-3</c:v>
                </c:pt>
                <c:pt idx="1364">
                  <c:v>8.8999999999999999E-3</c:v>
                </c:pt>
                <c:pt idx="1365">
                  <c:v>9.0000000000000011E-3</c:v>
                </c:pt>
                <c:pt idx="1366">
                  <c:v>8.8999999999999999E-3</c:v>
                </c:pt>
                <c:pt idx="1367">
                  <c:v>9.0000000000000011E-3</c:v>
                </c:pt>
                <c:pt idx="1368">
                  <c:v>8.6999999999999994E-3</c:v>
                </c:pt>
                <c:pt idx="1369">
                  <c:v>9.0000000000000011E-3</c:v>
                </c:pt>
                <c:pt idx="1370">
                  <c:v>9.0000000000000011E-3</c:v>
                </c:pt>
                <c:pt idx="1371">
                  <c:v>9.1999999999999998E-3</c:v>
                </c:pt>
                <c:pt idx="1372">
                  <c:v>9.0000000000000011E-3</c:v>
                </c:pt>
                <c:pt idx="1373">
                  <c:v>8.8999999999999999E-3</c:v>
                </c:pt>
                <c:pt idx="1374">
                  <c:v>8.6999999999999994E-3</c:v>
                </c:pt>
                <c:pt idx="1375">
                  <c:v>8.8999999999999999E-3</c:v>
                </c:pt>
                <c:pt idx="1376">
                  <c:v>8.6E-3</c:v>
                </c:pt>
                <c:pt idx="1377">
                  <c:v>8.1000000000000013E-3</c:v>
                </c:pt>
                <c:pt idx="1378">
                  <c:v>7.9000000000000008E-3</c:v>
                </c:pt>
                <c:pt idx="1379">
                  <c:v>7.4000000000000003E-3</c:v>
                </c:pt>
                <c:pt idx="1380">
                  <c:v>7.9000000000000008E-3</c:v>
                </c:pt>
                <c:pt idx="1381">
                  <c:v>8.1000000000000013E-3</c:v>
                </c:pt>
                <c:pt idx="1382">
                  <c:v>8.5000000000000006E-3</c:v>
                </c:pt>
                <c:pt idx="1383">
                  <c:v>8.0000000000000002E-3</c:v>
                </c:pt>
                <c:pt idx="1384">
                  <c:v>7.8000000000000005E-3</c:v>
                </c:pt>
                <c:pt idx="1385">
                  <c:v>7.9000000000000008E-3</c:v>
                </c:pt>
                <c:pt idx="1386">
                  <c:v>6.9999999999999993E-3</c:v>
                </c:pt>
                <c:pt idx="1387">
                  <c:v>6.8999999999999999E-3</c:v>
                </c:pt>
                <c:pt idx="1388">
                  <c:v>7.4000000000000003E-3</c:v>
                </c:pt>
                <c:pt idx="1389">
                  <c:v>7.0999999999999995E-3</c:v>
                </c:pt>
                <c:pt idx="1390">
                  <c:v>7.1999999999999998E-3</c:v>
                </c:pt>
                <c:pt idx="1391">
                  <c:v>7.3000000000000001E-3</c:v>
                </c:pt>
                <c:pt idx="1392">
                  <c:v>7.0999999999999995E-3</c:v>
                </c:pt>
                <c:pt idx="1393">
                  <c:v>7.1999999999999998E-3</c:v>
                </c:pt>
                <c:pt idx="1394">
                  <c:v>7.3000000000000001E-3</c:v>
                </c:pt>
                <c:pt idx="1395">
                  <c:v>6.8999999999999999E-3</c:v>
                </c:pt>
                <c:pt idx="1396">
                  <c:v>6.6E-3</c:v>
                </c:pt>
                <c:pt idx="1397">
                  <c:v>6.5000000000000006E-3</c:v>
                </c:pt>
                <c:pt idx="1398">
                  <c:v>6.7000000000000002E-3</c:v>
                </c:pt>
                <c:pt idx="1399">
                  <c:v>7.1999999999999998E-3</c:v>
                </c:pt>
                <c:pt idx="1400">
                  <c:v>7.7000000000000002E-3</c:v>
                </c:pt>
                <c:pt idx="1401">
                  <c:v>7.9000000000000008E-3</c:v>
                </c:pt>
                <c:pt idx="1402">
                  <c:v>8.199999999999999E-3</c:v>
                </c:pt>
                <c:pt idx="1403">
                  <c:v>8.1000000000000013E-3</c:v>
                </c:pt>
                <c:pt idx="1404">
                  <c:v>8.3000000000000001E-3</c:v>
                </c:pt>
                <c:pt idx="1405">
                  <c:v>7.9000000000000008E-3</c:v>
                </c:pt>
                <c:pt idx="1406">
                  <c:v>7.4999999999999997E-3</c:v>
                </c:pt>
                <c:pt idx="1407">
                  <c:v>7.7000000000000002E-3</c:v>
                </c:pt>
                <c:pt idx="1408">
                  <c:v>7.9000000000000008E-3</c:v>
                </c:pt>
                <c:pt idx="1409">
                  <c:v>7.8000000000000005E-3</c:v>
                </c:pt>
                <c:pt idx="1410">
                  <c:v>8.0000000000000002E-3</c:v>
                </c:pt>
                <c:pt idx="1411">
                  <c:v>7.8000000000000005E-3</c:v>
                </c:pt>
                <c:pt idx="1412">
                  <c:v>8.0000000000000002E-3</c:v>
                </c:pt>
                <c:pt idx="1413">
                  <c:v>8.3999999999999995E-3</c:v>
                </c:pt>
                <c:pt idx="1414">
                  <c:v>8.3999999999999995E-3</c:v>
                </c:pt>
                <c:pt idx="1415">
                  <c:v>7.9000000000000008E-3</c:v>
                </c:pt>
                <c:pt idx="1416">
                  <c:v>7.7000000000000002E-3</c:v>
                </c:pt>
                <c:pt idx="1417">
                  <c:v>7.7000000000000002E-3</c:v>
                </c:pt>
                <c:pt idx="1418">
                  <c:v>7.8000000000000005E-3</c:v>
                </c:pt>
                <c:pt idx="1419">
                  <c:v>7.8000000000000005E-3</c:v>
                </c:pt>
                <c:pt idx="1420">
                  <c:v>7.8000000000000005E-3</c:v>
                </c:pt>
                <c:pt idx="1421">
                  <c:v>8.199999999999999E-3</c:v>
                </c:pt>
                <c:pt idx="1422">
                  <c:v>8.1000000000000013E-3</c:v>
                </c:pt>
                <c:pt idx="1423">
                  <c:v>7.9000000000000008E-3</c:v>
                </c:pt>
                <c:pt idx="1424">
                  <c:v>8.199999999999999E-3</c:v>
                </c:pt>
                <c:pt idx="1425">
                  <c:v>8.1000000000000013E-3</c:v>
                </c:pt>
                <c:pt idx="1426">
                  <c:v>7.9000000000000008E-3</c:v>
                </c:pt>
                <c:pt idx="1427">
                  <c:v>8.1000000000000013E-3</c:v>
                </c:pt>
                <c:pt idx="1428">
                  <c:v>8.3999999999999995E-3</c:v>
                </c:pt>
                <c:pt idx="1429">
                  <c:v>8.8000000000000005E-3</c:v>
                </c:pt>
                <c:pt idx="1430">
                  <c:v>8.3000000000000001E-3</c:v>
                </c:pt>
                <c:pt idx="1431">
                  <c:v>8.3999999999999995E-3</c:v>
                </c:pt>
                <c:pt idx="1432">
                  <c:v>8.6E-3</c:v>
                </c:pt>
                <c:pt idx="1433">
                  <c:v>9.3999999999999986E-3</c:v>
                </c:pt>
                <c:pt idx="1434">
                  <c:v>9.7000000000000003E-3</c:v>
                </c:pt>
                <c:pt idx="1435">
                  <c:v>9.7999999999999997E-3</c:v>
                </c:pt>
                <c:pt idx="1436">
                  <c:v>1.0200000000000001E-2</c:v>
                </c:pt>
                <c:pt idx="1437">
                  <c:v>1.01E-2</c:v>
                </c:pt>
                <c:pt idx="1438">
                  <c:v>9.7999999999999997E-3</c:v>
                </c:pt>
                <c:pt idx="1439">
                  <c:v>9.300000000000001E-3</c:v>
                </c:pt>
                <c:pt idx="1440">
                  <c:v>9.4999999999999998E-3</c:v>
                </c:pt>
                <c:pt idx="1441">
                  <c:v>9.7999999999999997E-3</c:v>
                </c:pt>
                <c:pt idx="1442">
                  <c:v>9.8999999999999991E-3</c:v>
                </c:pt>
                <c:pt idx="1443">
                  <c:v>1.0200000000000001E-2</c:v>
                </c:pt>
                <c:pt idx="1444">
                  <c:v>1.0500000000000001E-2</c:v>
                </c:pt>
                <c:pt idx="1445">
                  <c:v>1.0800000000000001E-2</c:v>
                </c:pt>
                <c:pt idx="1446">
                  <c:v>1.09E-2</c:v>
                </c:pt>
                <c:pt idx="1447">
                  <c:v>1.0500000000000001E-2</c:v>
                </c:pt>
                <c:pt idx="1448">
                  <c:v>1.1299999999999999E-2</c:v>
                </c:pt>
                <c:pt idx="1449">
                  <c:v>1.1599999999999999E-2</c:v>
                </c:pt>
                <c:pt idx="1450">
                  <c:v>1.1699999999999999E-2</c:v>
                </c:pt>
                <c:pt idx="1451">
                  <c:v>1.1599999999999999E-2</c:v>
                </c:pt>
                <c:pt idx="1452">
                  <c:v>1.23E-2</c:v>
                </c:pt>
                <c:pt idx="1453">
                  <c:v>1.2199999999999999E-2</c:v>
                </c:pt>
                <c:pt idx="1454">
                  <c:v>1.1899999999999999E-2</c:v>
                </c:pt>
                <c:pt idx="1455">
                  <c:v>1.2E-2</c:v>
                </c:pt>
                <c:pt idx="1456">
                  <c:v>1.1599999999999999E-2</c:v>
                </c:pt>
                <c:pt idx="1457">
                  <c:v>1.18E-2</c:v>
                </c:pt>
                <c:pt idx="1458">
                  <c:v>1.18E-2</c:v>
                </c:pt>
                <c:pt idx="1459">
                  <c:v>1.2E-2</c:v>
                </c:pt>
                <c:pt idx="1460">
                  <c:v>1.15E-2</c:v>
                </c:pt>
                <c:pt idx="1461">
                  <c:v>1.1899999999999999E-2</c:v>
                </c:pt>
                <c:pt idx="1462">
                  <c:v>1.1000000000000001E-2</c:v>
                </c:pt>
                <c:pt idx="1463">
                  <c:v>1.04E-2</c:v>
                </c:pt>
                <c:pt idx="1464">
                  <c:v>1.1299999999999999E-2</c:v>
                </c:pt>
                <c:pt idx="1465">
                  <c:v>1.0800000000000001E-2</c:v>
                </c:pt>
                <c:pt idx="1466">
                  <c:v>1.23E-2</c:v>
                </c:pt>
                <c:pt idx="1467">
                  <c:v>1.24E-2</c:v>
                </c:pt>
                <c:pt idx="1468">
                  <c:v>1.26E-2</c:v>
                </c:pt>
                <c:pt idx="1469">
                  <c:v>1.2699999999999999E-2</c:v>
                </c:pt>
                <c:pt idx="1470">
                  <c:v>1.24E-2</c:v>
                </c:pt>
                <c:pt idx="1471">
                  <c:v>1.2199999999999999E-2</c:v>
                </c:pt>
                <c:pt idx="1472">
                  <c:v>1.2199999999999999E-2</c:v>
                </c:pt>
                <c:pt idx="1473">
                  <c:v>1.3300000000000001E-2</c:v>
                </c:pt>
                <c:pt idx="1474">
                  <c:v>1.3300000000000001E-2</c:v>
                </c:pt>
                <c:pt idx="1475">
                  <c:v>1.34E-2</c:v>
                </c:pt>
                <c:pt idx="1476">
                  <c:v>1.1599999999999999E-2</c:v>
                </c:pt>
                <c:pt idx="1477">
                  <c:v>1.18E-2</c:v>
                </c:pt>
                <c:pt idx="1478">
                  <c:v>1.1399999999999999E-2</c:v>
                </c:pt>
                <c:pt idx="1479">
                  <c:v>1.15E-2</c:v>
                </c:pt>
                <c:pt idx="1480">
                  <c:v>1.21E-2</c:v>
                </c:pt>
                <c:pt idx="1481">
                  <c:v>1.1299999999999999E-2</c:v>
                </c:pt>
                <c:pt idx="1482">
                  <c:v>1.21E-2</c:v>
                </c:pt>
                <c:pt idx="1483">
                  <c:v>1.26E-2</c:v>
                </c:pt>
                <c:pt idx="1484">
                  <c:v>1.2699999999999999E-2</c:v>
                </c:pt>
                <c:pt idx="1485">
                  <c:v>1.26E-2</c:v>
                </c:pt>
                <c:pt idx="1486">
                  <c:v>1.2500000000000001E-2</c:v>
                </c:pt>
                <c:pt idx="1487">
                  <c:v>1.21E-2</c:v>
                </c:pt>
                <c:pt idx="1488">
                  <c:v>1.23E-2</c:v>
                </c:pt>
                <c:pt idx="1489">
                  <c:v>1.26E-2</c:v>
                </c:pt>
                <c:pt idx="1490">
                  <c:v>1.1899999999999999E-2</c:v>
                </c:pt>
                <c:pt idx="1491">
                  <c:v>1.18E-2</c:v>
                </c:pt>
                <c:pt idx="1492">
                  <c:v>1.1699999999999999E-2</c:v>
                </c:pt>
                <c:pt idx="1493">
                  <c:v>1.24E-2</c:v>
                </c:pt>
                <c:pt idx="1494">
                  <c:v>1.23E-2</c:v>
                </c:pt>
                <c:pt idx="1495">
                  <c:v>1.2500000000000001E-2</c:v>
                </c:pt>
                <c:pt idx="1496">
                  <c:v>1.26E-2</c:v>
                </c:pt>
                <c:pt idx="1497">
                  <c:v>1.2699999999999999E-2</c:v>
                </c:pt>
                <c:pt idx="1498">
                  <c:v>1.29E-2</c:v>
                </c:pt>
                <c:pt idx="1499">
                  <c:v>1.2699999999999999E-2</c:v>
                </c:pt>
                <c:pt idx="1500">
                  <c:v>1.26E-2</c:v>
                </c:pt>
                <c:pt idx="1501">
                  <c:v>1.37E-2</c:v>
                </c:pt>
                <c:pt idx="1502">
                  <c:v>1.37E-2</c:v>
                </c:pt>
                <c:pt idx="1503">
                  <c:v>1.43E-2</c:v>
                </c:pt>
                <c:pt idx="1504">
                  <c:v>1.47E-2</c:v>
                </c:pt>
                <c:pt idx="1505">
                  <c:v>1.4999999999999999E-2</c:v>
                </c:pt>
                <c:pt idx="1506">
                  <c:v>1.5300000000000001E-2</c:v>
                </c:pt>
                <c:pt idx="1507">
                  <c:v>1.5100000000000001E-2</c:v>
                </c:pt>
                <c:pt idx="1508">
                  <c:v>1.4999999999999999E-2</c:v>
                </c:pt>
                <c:pt idx="1509">
                  <c:v>1.47E-2</c:v>
                </c:pt>
                <c:pt idx="1510">
                  <c:v>1.55E-2</c:v>
                </c:pt>
                <c:pt idx="1511">
                  <c:v>1.6500000000000001E-2</c:v>
                </c:pt>
                <c:pt idx="1512">
                  <c:v>1.6200000000000003E-2</c:v>
                </c:pt>
                <c:pt idx="1513">
                  <c:v>1.6200000000000003E-2</c:v>
                </c:pt>
                <c:pt idx="1514">
                  <c:v>1.54E-2</c:v>
                </c:pt>
                <c:pt idx="1515">
                  <c:v>1.5300000000000001E-2</c:v>
                </c:pt>
                <c:pt idx="1516">
                  <c:v>1.5600000000000001E-2</c:v>
                </c:pt>
                <c:pt idx="1517">
                  <c:v>1.66E-2</c:v>
                </c:pt>
                <c:pt idx="1518">
                  <c:v>1.66E-2</c:v>
                </c:pt>
                <c:pt idx="1519">
                  <c:v>1.61E-2</c:v>
                </c:pt>
                <c:pt idx="1520">
                  <c:v>1.6200000000000003E-2</c:v>
                </c:pt>
                <c:pt idx="1521">
                  <c:v>1.6299999999999999E-2</c:v>
                </c:pt>
                <c:pt idx="1522">
                  <c:v>1.6E-2</c:v>
                </c:pt>
                <c:pt idx="1523">
                  <c:v>1.66E-2</c:v>
                </c:pt>
                <c:pt idx="1524">
                  <c:v>1.78E-2</c:v>
                </c:pt>
                <c:pt idx="1525">
                  <c:v>1.7600000000000001E-2</c:v>
                </c:pt>
                <c:pt idx="1526">
                  <c:v>1.8100000000000002E-2</c:v>
                </c:pt>
                <c:pt idx="1527">
                  <c:v>1.8200000000000001E-2</c:v>
                </c:pt>
                <c:pt idx="1528">
                  <c:v>1.9599999999999999E-2</c:v>
                </c:pt>
                <c:pt idx="1529">
                  <c:v>1.84E-2</c:v>
                </c:pt>
                <c:pt idx="1530">
                  <c:v>1.9E-2</c:v>
                </c:pt>
                <c:pt idx="1531">
                  <c:v>1.9400000000000001E-2</c:v>
                </c:pt>
                <c:pt idx="1532">
                  <c:v>1.9E-2</c:v>
                </c:pt>
                <c:pt idx="1533">
                  <c:v>1.8500000000000003E-2</c:v>
                </c:pt>
                <c:pt idx="1534">
                  <c:v>1.8200000000000001E-2</c:v>
                </c:pt>
                <c:pt idx="1535">
                  <c:v>1.8500000000000003E-2</c:v>
                </c:pt>
                <c:pt idx="1536">
                  <c:v>1.89E-2</c:v>
                </c:pt>
                <c:pt idx="1537">
                  <c:v>1.84E-2</c:v>
                </c:pt>
                <c:pt idx="1538">
                  <c:v>1.8600000000000002E-2</c:v>
                </c:pt>
                <c:pt idx="1539">
                  <c:v>1.7100000000000001E-2</c:v>
                </c:pt>
                <c:pt idx="1540">
                  <c:v>1.5600000000000001E-2</c:v>
                </c:pt>
                <c:pt idx="1541">
                  <c:v>1.7399999999999999E-2</c:v>
                </c:pt>
                <c:pt idx="1542">
                  <c:v>1.7399999999999999E-2</c:v>
                </c:pt>
                <c:pt idx="1543">
                  <c:v>1.6500000000000001E-2</c:v>
                </c:pt>
                <c:pt idx="1544">
                  <c:v>1.7100000000000001E-2</c:v>
                </c:pt>
                <c:pt idx="1545">
                  <c:v>1.8000000000000002E-2</c:v>
                </c:pt>
                <c:pt idx="1546">
                  <c:v>1.8700000000000001E-2</c:v>
                </c:pt>
                <c:pt idx="1547">
                  <c:v>1.9199999999999998E-2</c:v>
                </c:pt>
                <c:pt idx="1548">
                  <c:v>1.9599999999999999E-2</c:v>
                </c:pt>
                <c:pt idx="1549">
                  <c:v>2.1000000000000001E-2</c:v>
                </c:pt>
                <c:pt idx="1550">
                  <c:v>2.1000000000000001E-2</c:v>
                </c:pt>
                <c:pt idx="1551">
                  <c:v>2.18E-2</c:v>
                </c:pt>
                <c:pt idx="1552">
                  <c:v>2.1700000000000001E-2</c:v>
                </c:pt>
                <c:pt idx="1553">
                  <c:v>2.1400000000000002E-2</c:v>
                </c:pt>
                <c:pt idx="1554">
                  <c:v>2.3300000000000001E-2</c:v>
                </c:pt>
                <c:pt idx="1555">
                  <c:v>2.3900000000000001E-2</c:v>
                </c:pt>
                <c:pt idx="1556">
                  <c:v>2.3399999999999997E-2</c:v>
                </c:pt>
                <c:pt idx="1557">
                  <c:v>2.3700000000000002E-2</c:v>
                </c:pt>
                <c:pt idx="1558">
                  <c:v>2.5499999999999998E-2</c:v>
                </c:pt>
                <c:pt idx="1559">
                  <c:v>2.5399999999999999E-2</c:v>
                </c:pt>
                <c:pt idx="1560">
                  <c:v>2.4900000000000002E-2</c:v>
                </c:pt>
                <c:pt idx="1561">
                  <c:v>2.4399999999999998E-2</c:v>
                </c:pt>
                <c:pt idx="1562">
                  <c:v>2.4199999999999999E-2</c:v>
                </c:pt>
                <c:pt idx="1563">
                  <c:v>2.5499999999999998E-2</c:v>
                </c:pt>
                <c:pt idx="1564">
                  <c:v>2.5600000000000001E-2</c:v>
                </c:pt>
                <c:pt idx="1565">
                  <c:v>2.69E-2</c:v>
                </c:pt>
                <c:pt idx="1566">
                  <c:v>2.7000000000000003E-2</c:v>
                </c:pt>
                <c:pt idx="1567">
                  <c:v>2.7000000000000003E-2</c:v>
                </c:pt>
                <c:pt idx="1568">
                  <c:v>2.76E-2</c:v>
                </c:pt>
                <c:pt idx="1569">
                  <c:v>2.7900000000000001E-2</c:v>
                </c:pt>
                <c:pt idx="1570">
                  <c:v>2.6600000000000002E-2</c:v>
                </c:pt>
                <c:pt idx="1571">
                  <c:v>2.6600000000000002E-2</c:v>
                </c:pt>
                <c:pt idx="1572">
                  <c:v>2.7900000000000001E-2</c:v>
                </c:pt>
                <c:pt idx="1573">
                  <c:v>2.7900000000000001E-2</c:v>
                </c:pt>
                <c:pt idx="1574">
                  <c:v>2.9100000000000001E-2</c:v>
                </c:pt>
                <c:pt idx="1575">
                  <c:v>2.87E-2</c:v>
                </c:pt>
                <c:pt idx="1576">
                  <c:v>2.9600000000000001E-2</c:v>
                </c:pt>
                <c:pt idx="1577">
                  <c:v>2.9399999999999999E-2</c:v>
                </c:pt>
                <c:pt idx="1578">
                  <c:v>2.8399999999999998E-2</c:v>
                </c:pt>
                <c:pt idx="1579">
                  <c:v>2.7900000000000001E-2</c:v>
                </c:pt>
                <c:pt idx="1580">
                  <c:v>2.81E-2</c:v>
                </c:pt>
                <c:pt idx="1581">
                  <c:v>2.86E-2</c:v>
                </c:pt>
                <c:pt idx="1582">
                  <c:v>2.92E-2</c:v>
                </c:pt>
                <c:pt idx="1583">
                  <c:v>3.0099999999999998E-2</c:v>
                </c:pt>
                <c:pt idx="1584">
                  <c:v>3.0099999999999998E-2</c:v>
                </c:pt>
                <c:pt idx="1585">
                  <c:v>2.9300000000000003E-2</c:v>
                </c:pt>
                <c:pt idx="1586">
                  <c:v>3.0099999999999998E-2</c:v>
                </c:pt>
                <c:pt idx="1587">
                  <c:v>3.0600000000000002E-2</c:v>
                </c:pt>
                <c:pt idx="1588">
                  <c:v>2.9500000000000002E-2</c:v>
                </c:pt>
                <c:pt idx="1589">
                  <c:v>2.9100000000000001E-2</c:v>
                </c:pt>
                <c:pt idx="1590">
                  <c:v>2.8900000000000002E-2</c:v>
                </c:pt>
                <c:pt idx="1591">
                  <c:v>2.81E-2</c:v>
                </c:pt>
                <c:pt idx="1592">
                  <c:v>2.8900000000000002E-2</c:v>
                </c:pt>
                <c:pt idx="1593">
                  <c:v>2.8300000000000002E-2</c:v>
                </c:pt>
                <c:pt idx="1594">
                  <c:v>2.9600000000000001E-2</c:v>
                </c:pt>
                <c:pt idx="1595">
                  <c:v>2.8900000000000002E-2</c:v>
                </c:pt>
                <c:pt idx="1596">
                  <c:v>2.8399999999999998E-2</c:v>
                </c:pt>
                <c:pt idx="1597">
                  <c:v>2.7999999999999997E-2</c:v>
                </c:pt>
                <c:pt idx="1598">
                  <c:v>2.8799999999999999E-2</c:v>
                </c:pt>
                <c:pt idx="1599">
                  <c:v>2.76E-2</c:v>
                </c:pt>
                <c:pt idx="1600">
                  <c:v>2.7099999999999999E-2</c:v>
                </c:pt>
                <c:pt idx="1601">
                  <c:v>2.7000000000000003E-2</c:v>
                </c:pt>
                <c:pt idx="1602">
                  <c:v>2.7099999999999999E-2</c:v>
                </c:pt>
                <c:pt idx="1603">
                  <c:v>2.81E-2</c:v>
                </c:pt>
                <c:pt idx="1604">
                  <c:v>2.9399999999999999E-2</c:v>
                </c:pt>
                <c:pt idx="1605">
                  <c:v>2.92E-2</c:v>
                </c:pt>
                <c:pt idx="1606">
                  <c:v>2.9500000000000002E-2</c:v>
                </c:pt>
                <c:pt idx="1607">
                  <c:v>3.0299999999999997E-2</c:v>
                </c:pt>
                <c:pt idx="1608">
                  <c:v>2.9900000000000003E-2</c:v>
                </c:pt>
                <c:pt idx="1609">
                  <c:v>3.0299999999999997E-2</c:v>
                </c:pt>
                <c:pt idx="1610">
                  <c:v>3.0699999999999998E-2</c:v>
                </c:pt>
                <c:pt idx="1611">
                  <c:v>3.2500000000000001E-2</c:v>
                </c:pt>
                <c:pt idx="1612">
                  <c:v>3.56E-2</c:v>
                </c:pt>
                <c:pt idx="1613">
                  <c:v>3.61E-2</c:v>
                </c:pt>
                <c:pt idx="1614">
                  <c:v>3.3799999999999997E-2</c:v>
                </c:pt>
                <c:pt idx="1615">
                  <c:v>3.3500000000000002E-2</c:v>
                </c:pt>
                <c:pt idx="1616">
                  <c:v>3.3399999999999999E-2</c:v>
                </c:pt>
                <c:pt idx="1617">
                  <c:v>3.3799999999999997E-2</c:v>
                </c:pt>
                <c:pt idx="1618">
                  <c:v>3.2199999999999999E-2</c:v>
                </c:pt>
                <c:pt idx="1619">
                  <c:v>3.1400000000000004E-2</c:v>
                </c:pt>
                <c:pt idx="1620">
                  <c:v>3.1800000000000002E-2</c:v>
                </c:pt>
                <c:pt idx="1621">
                  <c:v>3.2400000000000005E-2</c:v>
                </c:pt>
                <c:pt idx="1622">
                  <c:v>3.2500000000000001E-2</c:v>
                </c:pt>
                <c:pt idx="1623">
                  <c:v>3.15E-2</c:v>
                </c:pt>
                <c:pt idx="1624">
                  <c:v>3.0099999999999998E-2</c:v>
                </c:pt>
                <c:pt idx="1625">
                  <c:v>2.8799999999999999E-2</c:v>
                </c:pt>
                <c:pt idx="1626">
                  <c:v>2.8199999999999999E-2</c:v>
                </c:pt>
                <c:pt idx="1627">
                  <c:v>2.9600000000000001E-2</c:v>
                </c:pt>
                <c:pt idx="1628">
                  <c:v>3.0499999999999999E-2</c:v>
                </c:pt>
                <c:pt idx="1629">
                  <c:v>3.1300000000000001E-2</c:v>
                </c:pt>
                <c:pt idx="1630">
                  <c:v>3.0499999999999999E-2</c:v>
                </c:pt>
                <c:pt idx="1631">
                  <c:v>3.0099999999999998E-2</c:v>
                </c:pt>
                <c:pt idx="1632">
                  <c:v>3.0200000000000001E-2</c:v>
                </c:pt>
                <c:pt idx="1633">
                  <c:v>3.0600000000000002E-2</c:v>
                </c:pt>
                <c:pt idx="1634">
                  <c:v>3.0499999999999999E-2</c:v>
                </c:pt>
                <c:pt idx="1635">
                  <c:v>3.0600000000000002E-2</c:v>
                </c:pt>
                <c:pt idx="1636">
                  <c:v>3.1400000000000004E-2</c:v>
                </c:pt>
                <c:pt idx="1637">
                  <c:v>3.1800000000000002E-2</c:v>
                </c:pt>
                <c:pt idx="1638">
                  <c:v>0.03</c:v>
                </c:pt>
                <c:pt idx="1639">
                  <c:v>2.87E-2</c:v>
                </c:pt>
                <c:pt idx="1640">
                  <c:v>2.8900000000000002E-2</c:v>
                </c:pt>
                <c:pt idx="1641">
                  <c:v>2.8900000000000002E-2</c:v>
                </c:pt>
                <c:pt idx="1642">
                  <c:v>2.8199999999999999E-2</c:v>
                </c:pt>
                <c:pt idx="1643">
                  <c:v>2.69E-2</c:v>
                </c:pt>
                <c:pt idx="1644">
                  <c:v>2.7000000000000003E-2</c:v>
                </c:pt>
                <c:pt idx="1645">
                  <c:v>2.6600000000000002E-2</c:v>
                </c:pt>
                <c:pt idx="1646">
                  <c:v>2.8500000000000001E-2</c:v>
                </c:pt>
                <c:pt idx="1647">
                  <c:v>2.86E-2</c:v>
                </c:pt>
                <c:pt idx="1648">
                  <c:v>2.76E-2</c:v>
                </c:pt>
                <c:pt idx="1649">
                  <c:v>2.9700000000000001E-2</c:v>
                </c:pt>
                <c:pt idx="1650">
                  <c:v>2.9100000000000001E-2</c:v>
                </c:pt>
                <c:pt idx="1651">
                  <c:v>2.9700000000000001E-2</c:v>
                </c:pt>
                <c:pt idx="1652">
                  <c:v>2.9300000000000003E-2</c:v>
                </c:pt>
                <c:pt idx="1653">
                  <c:v>2.98E-2</c:v>
                </c:pt>
                <c:pt idx="1654">
                  <c:v>2.9700000000000001E-2</c:v>
                </c:pt>
                <c:pt idx="1655">
                  <c:v>2.9100000000000001E-2</c:v>
                </c:pt>
                <c:pt idx="1656">
                  <c:v>2.9500000000000002E-2</c:v>
                </c:pt>
                <c:pt idx="1657">
                  <c:v>3.04E-2</c:v>
                </c:pt>
                <c:pt idx="1658">
                  <c:v>3.0200000000000001E-2</c:v>
                </c:pt>
                <c:pt idx="1659">
                  <c:v>3.1099999999999999E-2</c:v>
                </c:pt>
                <c:pt idx="1660">
                  <c:v>3.1699999999999999E-2</c:v>
                </c:pt>
                <c:pt idx="1661">
                  <c:v>3.1800000000000002E-2</c:v>
                </c:pt>
                <c:pt idx="1662">
                  <c:v>3.2000000000000001E-2</c:v>
                </c:pt>
                <c:pt idx="1663">
                  <c:v>3.15E-2</c:v>
                </c:pt>
                <c:pt idx="1664">
                  <c:v>3.2000000000000001E-2</c:v>
                </c:pt>
                <c:pt idx="1665">
                  <c:v>3.27E-2</c:v>
                </c:pt>
                <c:pt idx="1666">
                  <c:v>3.27E-2</c:v>
                </c:pt>
                <c:pt idx="1667">
                  <c:v>3.3000000000000002E-2</c:v>
                </c:pt>
                <c:pt idx="1668">
                  <c:v>3.39E-2</c:v>
                </c:pt>
                <c:pt idx="1669">
                  <c:v>3.3000000000000002E-2</c:v>
                </c:pt>
                <c:pt idx="1670">
                  <c:v>3.4300000000000004E-2</c:v>
                </c:pt>
                <c:pt idx="1671">
                  <c:v>3.3700000000000001E-2</c:v>
                </c:pt>
                <c:pt idx="1672">
                  <c:v>3.39E-2</c:v>
                </c:pt>
                <c:pt idx="1673">
                  <c:v>3.4500000000000003E-2</c:v>
                </c:pt>
                <c:pt idx="1674">
                  <c:v>3.4700000000000002E-2</c:v>
                </c:pt>
                <c:pt idx="1675">
                  <c:v>3.5799999999999998E-2</c:v>
                </c:pt>
                <c:pt idx="1676">
                  <c:v>3.6000000000000004E-2</c:v>
                </c:pt>
                <c:pt idx="1677">
                  <c:v>3.6600000000000001E-2</c:v>
                </c:pt>
                <c:pt idx="1678">
                  <c:v>3.6200000000000003E-2</c:v>
                </c:pt>
                <c:pt idx="1679">
                  <c:v>3.6900000000000002E-2</c:v>
                </c:pt>
                <c:pt idx="1680">
                  <c:v>3.7499999999999999E-2</c:v>
                </c:pt>
                <c:pt idx="1681">
                  <c:v>3.7400000000000003E-2</c:v>
                </c:pt>
                <c:pt idx="1682">
                  <c:v>3.9100000000000003E-2</c:v>
                </c:pt>
                <c:pt idx="1683">
                  <c:v>3.9599999999999996E-2</c:v>
                </c:pt>
                <c:pt idx="1684">
                  <c:v>4.1500000000000002E-2</c:v>
                </c:pt>
                <c:pt idx="1685">
                  <c:v>4.2099999999999999E-2</c:v>
                </c:pt>
                <c:pt idx="1686">
                  <c:v>3.9199999999999999E-2</c:v>
                </c:pt>
                <c:pt idx="1687">
                  <c:v>3.9800000000000002E-2</c:v>
                </c:pt>
                <c:pt idx="1688">
                  <c:v>4.0599999999999997E-2</c:v>
                </c:pt>
                <c:pt idx="1689">
                  <c:v>3.9E-2</c:v>
                </c:pt>
                <c:pt idx="1690">
                  <c:v>3.8399999999999997E-2</c:v>
                </c:pt>
                <c:pt idx="1691">
                  <c:v>3.9599999999999996E-2</c:v>
                </c:pt>
                <c:pt idx="1692">
                  <c:v>4.0500000000000001E-2</c:v>
                </c:pt>
                <c:pt idx="1693">
                  <c:v>4.1399999999999999E-2</c:v>
                </c:pt>
                <c:pt idx="1694">
                  <c:v>4.1399999999999999E-2</c:v>
                </c:pt>
                <c:pt idx="1695">
                  <c:v>4.1200000000000001E-2</c:v>
                </c:pt>
                <c:pt idx="1696">
                  <c:v>4.2099999999999999E-2</c:v>
                </c:pt>
                <c:pt idx="1697">
                  <c:v>4.2500000000000003E-2</c:v>
                </c:pt>
                <c:pt idx="1698">
                  <c:v>4.24E-2</c:v>
                </c:pt>
                <c:pt idx="1699">
                  <c:v>4.2099999999999999E-2</c:v>
                </c:pt>
                <c:pt idx="1700">
                  <c:v>4.3499999999999997E-2</c:v>
                </c:pt>
                <c:pt idx="1701">
                  <c:v>4.4500000000000005E-2</c:v>
                </c:pt>
                <c:pt idx="1702">
                  <c:v>4.3400000000000001E-2</c:v>
                </c:pt>
                <c:pt idx="1703">
                  <c:v>4.36E-2</c:v>
                </c:pt>
                <c:pt idx="1704">
                  <c:v>4.2500000000000003E-2</c:v>
                </c:pt>
                <c:pt idx="1705">
                  <c:v>4.2000000000000003E-2</c:v>
                </c:pt>
                <c:pt idx="1706">
                  <c:v>4.0899999999999999E-2</c:v>
                </c:pt>
                <c:pt idx="1707">
                  <c:v>4.1900000000000007E-2</c:v>
                </c:pt>
                <c:pt idx="1708">
                  <c:v>4.2699999999999995E-2</c:v>
                </c:pt>
                <c:pt idx="1709">
                  <c:v>4.2699999999999995E-2</c:v>
                </c:pt>
                <c:pt idx="1710">
                  <c:v>4.2999999999999997E-2</c:v>
                </c:pt>
                <c:pt idx="1711">
                  <c:v>4.36E-2</c:v>
                </c:pt>
                <c:pt idx="1712">
                  <c:v>4.3299999999999998E-2</c:v>
                </c:pt>
                <c:pt idx="1713">
                  <c:v>4.3899999999999995E-2</c:v>
                </c:pt>
                <c:pt idx="1714">
                  <c:v>4.3099999999999999E-2</c:v>
                </c:pt>
                <c:pt idx="1715">
                  <c:v>4.2699999999999995E-2</c:v>
                </c:pt>
                <c:pt idx="1716">
                  <c:v>3.95E-2</c:v>
                </c:pt>
                <c:pt idx="1717">
                  <c:v>0.04</c:v>
                </c:pt>
                <c:pt idx="1718">
                  <c:v>3.9300000000000002E-2</c:v>
                </c:pt>
                <c:pt idx="1719">
                  <c:v>3.8300000000000001E-2</c:v>
                </c:pt>
                <c:pt idx="1720">
                  <c:v>3.9300000000000002E-2</c:v>
                </c:pt>
                <c:pt idx="1721">
                  <c:v>3.9900000000000005E-2</c:v>
                </c:pt>
                <c:pt idx="1722">
                  <c:v>3.9699999999999999E-2</c:v>
                </c:pt>
                <c:pt idx="1723">
                  <c:v>3.9300000000000002E-2</c:v>
                </c:pt>
                <c:pt idx="1724">
                  <c:v>3.8800000000000001E-2</c:v>
                </c:pt>
                <c:pt idx="1725">
                  <c:v>3.85E-2</c:v>
                </c:pt>
                <c:pt idx="1726">
                  <c:v>3.8800000000000001E-2</c:v>
                </c:pt>
                <c:pt idx="1727">
                  <c:v>3.9199999999999999E-2</c:v>
                </c:pt>
                <c:pt idx="1728">
                  <c:v>3.8199999999999998E-2</c:v>
                </c:pt>
                <c:pt idx="1729">
                  <c:v>3.6799999999999999E-2</c:v>
                </c:pt>
                <c:pt idx="1730">
                  <c:v>3.6699999999999997E-2</c:v>
                </c:pt>
                <c:pt idx="1731">
                  <c:v>3.7999999999999999E-2</c:v>
                </c:pt>
                <c:pt idx="1732">
                  <c:v>3.73E-2</c:v>
                </c:pt>
                <c:pt idx="1733">
                  <c:v>3.6200000000000003E-2</c:v>
                </c:pt>
                <c:pt idx="1734">
                  <c:v>3.7100000000000001E-2</c:v>
                </c:pt>
                <c:pt idx="1735">
                  <c:v>3.7499999999999999E-2</c:v>
                </c:pt>
                <c:pt idx="1736">
                  <c:v>3.7999999999999999E-2</c:v>
                </c:pt>
                <c:pt idx="1737">
                  <c:v>3.6600000000000001E-2</c:v>
                </c:pt>
                <c:pt idx="1738">
                  <c:v>3.6400000000000002E-2</c:v>
                </c:pt>
                <c:pt idx="1739">
                  <c:v>3.6200000000000003E-2</c:v>
                </c:pt>
                <c:pt idx="1740">
                  <c:v>3.61E-2</c:v>
                </c:pt>
                <c:pt idx="1741">
                  <c:v>3.7000000000000005E-2</c:v>
                </c:pt>
                <c:pt idx="1742">
                  <c:v>3.7900000000000003E-2</c:v>
                </c:pt>
                <c:pt idx="1743">
                  <c:v>3.78E-2</c:v>
                </c:pt>
                <c:pt idx="1744">
                  <c:v>3.7900000000000003E-2</c:v>
                </c:pt>
                <c:pt idx="1745">
                  <c:v>3.8599999999999995E-2</c:v>
                </c:pt>
                <c:pt idx="1746">
                  <c:v>3.9399999999999998E-2</c:v>
                </c:pt>
                <c:pt idx="1747">
                  <c:v>3.9699999999999999E-2</c:v>
                </c:pt>
                <c:pt idx="1748">
                  <c:v>3.9399999999999998E-2</c:v>
                </c:pt>
                <c:pt idx="1749">
                  <c:v>3.9900000000000005E-2</c:v>
                </c:pt>
                <c:pt idx="1750">
                  <c:v>3.9399999999999998E-2</c:v>
                </c:pt>
                <c:pt idx="1751">
                  <c:v>3.85E-2</c:v>
                </c:pt>
                <c:pt idx="1752">
                  <c:v>3.9E-2</c:v>
                </c:pt>
                <c:pt idx="1753">
                  <c:v>3.6900000000000002E-2</c:v>
                </c:pt>
                <c:pt idx="1754">
                  <c:v>3.6600000000000001E-2</c:v>
                </c:pt>
                <c:pt idx="1755">
                  <c:v>3.7200000000000004E-2</c:v>
                </c:pt>
                <c:pt idx="1756">
                  <c:v>3.6600000000000001E-2</c:v>
                </c:pt>
                <c:pt idx="1757">
                  <c:v>3.5299999999999998E-2</c:v>
                </c:pt>
                <c:pt idx="1758">
                  <c:v>3.6000000000000004E-2</c:v>
                </c:pt>
                <c:pt idx="1759">
                  <c:v>3.6000000000000004E-2</c:v>
                </c:pt>
                <c:pt idx="1760">
                  <c:v>3.4300000000000004E-2</c:v>
                </c:pt>
                <c:pt idx="1761">
                  <c:v>3.4799999999999998E-2</c:v>
                </c:pt>
                <c:pt idx="1762">
                  <c:v>3.56E-2</c:v>
                </c:pt>
                <c:pt idx="1763">
                  <c:v>3.61E-2</c:v>
                </c:pt>
                <c:pt idx="1764">
                  <c:v>3.5799999999999998E-2</c:v>
                </c:pt>
                <c:pt idx="1765">
                  <c:v>3.5400000000000001E-2</c:v>
                </c:pt>
                <c:pt idx="1766">
                  <c:v>3.5799999999999998E-2</c:v>
                </c:pt>
                <c:pt idx="1767">
                  <c:v>3.6200000000000003E-2</c:v>
                </c:pt>
                <c:pt idx="1768">
                  <c:v>3.6799999999999999E-2</c:v>
                </c:pt>
                <c:pt idx="1769">
                  <c:v>3.6299999999999999E-2</c:v>
                </c:pt>
                <c:pt idx="1770">
                  <c:v>3.4799999999999998E-2</c:v>
                </c:pt>
                <c:pt idx="1771">
                  <c:v>3.49E-2</c:v>
                </c:pt>
                <c:pt idx="1772">
                  <c:v>3.6699999999999997E-2</c:v>
                </c:pt>
                <c:pt idx="1773">
                  <c:v>3.8100000000000002E-2</c:v>
                </c:pt>
                <c:pt idx="1774">
                  <c:v>3.85E-2</c:v>
                </c:pt>
                <c:pt idx="1775">
                  <c:v>3.8199999999999998E-2</c:v>
                </c:pt>
                <c:pt idx="1776">
                  <c:v>3.8699999999999998E-2</c:v>
                </c:pt>
                <c:pt idx="1777">
                  <c:v>3.9300000000000002E-2</c:v>
                </c:pt>
                <c:pt idx="1778">
                  <c:v>3.9300000000000002E-2</c:v>
                </c:pt>
                <c:pt idx="1779">
                  <c:v>0.04</c:v>
                </c:pt>
                <c:pt idx="1780">
                  <c:v>4.0399999999999998E-2</c:v>
                </c:pt>
                <c:pt idx="1781">
                  <c:v>4.0599999999999997E-2</c:v>
                </c:pt>
                <c:pt idx="1782">
                  <c:v>4.0300000000000002E-2</c:v>
                </c:pt>
                <c:pt idx="1783">
                  <c:v>4.1599999999999998E-2</c:v>
                </c:pt>
                <c:pt idx="1784">
                  <c:v>4.1299999999999996E-2</c:v>
                </c:pt>
                <c:pt idx="1785">
                  <c:v>4.0899999999999999E-2</c:v>
                </c:pt>
                <c:pt idx="1786">
                  <c:v>4.1900000000000007E-2</c:v>
                </c:pt>
                <c:pt idx="1787">
                  <c:v>4.1700000000000001E-2</c:v>
                </c:pt>
                <c:pt idx="1788">
                  <c:v>4.1799999999999997E-2</c:v>
                </c:pt>
                <c:pt idx="1789">
                  <c:v>4.2699999999999995E-2</c:v>
                </c:pt>
                <c:pt idx="1790">
                  <c:v>4.3200000000000002E-2</c:v>
                </c:pt>
                <c:pt idx="1791">
                  <c:v>4.2599999999999999E-2</c:v>
                </c:pt>
                <c:pt idx="1792">
                  <c:v>4.2699999999999995E-2</c:v>
                </c:pt>
                <c:pt idx="1793">
                  <c:v>4.3099999999999999E-2</c:v>
                </c:pt>
                <c:pt idx="1794">
                  <c:v>4.3400000000000001E-2</c:v>
                </c:pt>
                <c:pt idx="1795">
                  <c:v>4.2199999999999994E-2</c:v>
                </c:pt>
                <c:pt idx="1796">
                  <c:v>3.9599999999999996E-2</c:v>
                </c:pt>
                <c:pt idx="1797">
                  <c:v>3.6799999999999999E-2</c:v>
                </c:pt>
                <c:pt idx="1798">
                  <c:v>3.78E-2</c:v>
                </c:pt>
                <c:pt idx="1799">
                  <c:v>3.5900000000000001E-2</c:v>
                </c:pt>
                <c:pt idx="1800">
                  <c:v>3.7200000000000004E-2</c:v>
                </c:pt>
                <c:pt idx="1801">
                  <c:v>3.44E-2</c:v>
                </c:pt>
                <c:pt idx="1802">
                  <c:v>3.56E-2</c:v>
                </c:pt>
                <c:pt idx="1803">
                  <c:v>3.73E-2</c:v>
                </c:pt>
                <c:pt idx="1804">
                  <c:v>3.5400000000000001E-2</c:v>
                </c:pt>
                <c:pt idx="1805">
                  <c:v>3.39E-2</c:v>
                </c:pt>
                <c:pt idx="1806">
                  <c:v>3.4099999999999998E-2</c:v>
                </c:pt>
                <c:pt idx="1807">
                  <c:v>3.5900000000000001E-2</c:v>
                </c:pt>
                <c:pt idx="1808">
                  <c:v>3.6299999999999999E-2</c:v>
                </c:pt>
                <c:pt idx="1809">
                  <c:v>3.6699999999999997E-2</c:v>
                </c:pt>
                <c:pt idx="1810">
                  <c:v>3.6600000000000001E-2</c:v>
                </c:pt>
                <c:pt idx="1811">
                  <c:v>3.6000000000000004E-2</c:v>
                </c:pt>
                <c:pt idx="1812">
                  <c:v>3.5200000000000002E-2</c:v>
                </c:pt>
                <c:pt idx="1813">
                  <c:v>3.39E-2</c:v>
                </c:pt>
                <c:pt idx="1814">
                  <c:v>3.3599999999999998E-2</c:v>
                </c:pt>
                <c:pt idx="1815">
                  <c:v>3.3700000000000001E-2</c:v>
                </c:pt>
                <c:pt idx="1816">
                  <c:v>3.49E-2</c:v>
                </c:pt>
                <c:pt idx="1817">
                  <c:v>3.5200000000000002E-2</c:v>
                </c:pt>
                <c:pt idx="1818">
                  <c:v>3.5400000000000001E-2</c:v>
                </c:pt>
                <c:pt idx="1819">
                  <c:v>3.4599999999999999E-2</c:v>
                </c:pt>
                <c:pt idx="1820">
                  <c:v>3.5099999999999999E-2</c:v>
                </c:pt>
                <c:pt idx="1821">
                  <c:v>3.6000000000000004E-2</c:v>
                </c:pt>
                <c:pt idx="1822">
                  <c:v>3.6900000000000002E-2</c:v>
                </c:pt>
                <c:pt idx="1823">
                  <c:v>3.6900000000000002E-2</c:v>
                </c:pt>
                <c:pt idx="1824">
                  <c:v>3.7100000000000001E-2</c:v>
                </c:pt>
                <c:pt idx="1825">
                  <c:v>3.6299999999999999E-2</c:v>
                </c:pt>
                <c:pt idx="1826">
                  <c:v>3.6600000000000001E-2</c:v>
                </c:pt>
                <c:pt idx="1827">
                  <c:v>3.6000000000000004E-2</c:v>
                </c:pt>
                <c:pt idx="1828">
                  <c:v>3.4300000000000004E-2</c:v>
                </c:pt>
                <c:pt idx="1829">
                  <c:v>3.4599999999999999E-2</c:v>
                </c:pt>
                <c:pt idx="1830">
                  <c:v>3.6000000000000004E-2</c:v>
                </c:pt>
                <c:pt idx="1831">
                  <c:v>3.5099999999999999E-2</c:v>
                </c:pt>
                <c:pt idx="1832">
                  <c:v>3.6400000000000002E-2</c:v>
                </c:pt>
                <c:pt idx="1833">
                  <c:v>3.4599999999999999E-2</c:v>
                </c:pt>
                <c:pt idx="1834">
                  <c:v>3.3700000000000001E-2</c:v>
                </c:pt>
                <c:pt idx="1835">
                  <c:v>3.2899999999999999E-2</c:v>
                </c:pt>
                <c:pt idx="1836">
                  <c:v>3.4099999999999998E-2</c:v>
                </c:pt>
                <c:pt idx="1837">
                  <c:v>3.49E-2</c:v>
                </c:pt>
                <c:pt idx="1838">
                  <c:v>3.5099999999999999E-2</c:v>
                </c:pt>
                <c:pt idx="1839">
                  <c:v>3.3700000000000001E-2</c:v>
                </c:pt>
                <c:pt idx="1840">
                  <c:v>3.3599999999999998E-2</c:v>
                </c:pt>
                <c:pt idx="1841">
                  <c:v>3.4500000000000003E-2</c:v>
                </c:pt>
                <c:pt idx="1842">
                  <c:v>3.4599999999999999E-2</c:v>
                </c:pt>
                <c:pt idx="1843">
                  <c:v>3.5200000000000002E-2</c:v>
                </c:pt>
                <c:pt idx="1844">
                  <c:v>3.5799999999999998E-2</c:v>
                </c:pt>
                <c:pt idx="1845">
                  <c:v>3.6900000000000002E-2</c:v>
                </c:pt>
                <c:pt idx="1846">
                  <c:v>3.7599999999999995E-2</c:v>
                </c:pt>
                <c:pt idx="1847">
                  <c:v>3.7699999999999997E-2</c:v>
                </c:pt>
                <c:pt idx="1848">
                  <c:v>3.7599999999999995E-2</c:v>
                </c:pt>
                <c:pt idx="1849">
                  <c:v>3.7499999999999999E-2</c:v>
                </c:pt>
                <c:pt idx="1850">
                  <c:v>3.9E-2</c:v>
                </c:pt>
                <c:pt idx="1851">
                  <c:v>3.9199999999999999E-2</c:v>
                </c:pt>
                <c:pt idx="1852">
                  <c:v>3.8100000000000002E-2</c:v>
                </c:pt>
                <c:pt idx="1853">
                  <c:v>3.7400000000000003E-2</c:v>
                </c:pt>
                <c:pt idx="1854">
                  <c:v>3.7000000000000005E-2</c:v>
                </c:pt>
                <c:pt idx="1855">
                  <c:v>3.8399999999999997E-2</c:v>
                </c:pt>
                <c:pt idx="1856">
                  <c:v>3.8199999999999998E-2</c:v>
                </c:pt>
                <c:pt idx="1857">
                  <c:v>3.85E-2</c:v>
                </c:pt>
                <c:pt idx="1858">
                  <c:v>3.9300000000000002E-2</c:v>
                </c:pt>
                <c:pt idx="1859">
                  <c:v>3.8699999999999998E-2</c:v>
                </c:pt>
                <c:pt idx="1860">
                  <c:v>3.9199999999999999E-2</c:v>
                </c:pt>
                <c:pt idx="1861">
                  <c:v>3.8900000000000004E-2</c:v>
                </c:pt>
                <c:pt idx="1862">
                  <c:v>4.0099999999999997E-2</c:v>
                </c:pt>
                <c:pt idx="1863">
                  <c:v>4.0599999999999997E-2</c:v>
                </c:pt>
                <c:pt idx="1864">
                  <c:v>3.9100000000000003E-2</c:v>
                </c:pt>
                <c:pt idx="1865">
                  <c:v>3.9900000000000005E-2</c:v>
                </c:pt>
                <c:pt idx="1866">
                  <c:v>3.9599999999999996E-2</c:v>
                </c:pt>
                <c:pt idx="1867">
                  <c:v>3.95E-2</c:v>
                </c:pt>
                <c:pt idx="1868">
                  <c:v>4.0300000000000002E-2</c:v>
                </c:pt>
                <c:pt idx="1869">
                  <c:v>3.9900000000000005E-2</c:v>
                </c:pt>
                <c:pt idx="1870">
                  <c:v>3.9599999999999996E-2</c:v>
                </c:pt>
                <c:pt idx="1871">
                  <c:v>4.0199999999999993E-2</c:v>
                </c:pt>
                <c:pt idx="1872">
                  <c:v>3.9699999999999999E-2</c:v>
                </c:pt>
                <c:pt idx="1873">
                  <c:v>4.1399999999999999E-2</c:v>
                </c:pt>
                <c:pt idx="1874">
                  <c:v>4.1299999999999996E-2</c:v>
                </c:pt>
                <c:pt idx="1875">
                  <c:v>4.1900000000000007E-2</c:v>
                </c:pt>
                <c:pt idx="1876">
                  <c:v>4.2500000000000003E-2</c:v>
                </c:pt>
                <c:pt idx="1877">
                  <c:v>4.3700000000000003E-2</c:v>
                </c:pt>
                <c:pt idx="1878">
                  <c:v>4.3499999999999997E-2</c:v>
                </c:pt>
                <c:pt idx="1879">
                  <c:v>4.2500000000000003E-2</c:v>
                </c:pt>
                <c:pt idx="1880">
                  <c:v>4.24E-2</c:v>
                </c:pt>
                <c:pt idx="1881">
                  <c:v>4.07E-2</c:v>
                </c:pt>
                <c:pt idx="1882">
                  <c:v>3.9300000000000002E-2</c:v>
                </c:pt>
                <c:pt idx="1883">
                  <c:v>4.0399999999999998E-2</c:v>
                </c:pt>
                <c:pt idx="1884">
                  <c:v>4.0199999999999993E-2</c:v>
                </c:pt>
                <c:pt idx="1885">
                  <c:v>0.04</c:v>
                </c:pt>
                <c:pt idx="1886">
                  <c:v>3.9800000000000002E-2</c:v>
                </c:pt>
                <c:pt idx="1887">
                  <c:v>4.0800000000000003E-2</c:v>
                </c:pt>
                <c:pt idx="1888">
                  <c:v>4.0899999999999999E-2</c:v>
                </c:pt>
                <c:pt idx="1889">
                  <c:v>4.1299999999999996E-2</c:v>
                </c:pt>
                <c:pt idx="1890">
                  <c:v>4.1500000000000002E-2</c:v>
                </c:pt>
                <c:pt idx="1891">
                  <c:v>4.0899999999999999E-2</c:v>
                </c:pt>
                <c:pt idx="1892">
                  <c:v>4.24E-2</c:v>
                </c:pt>
                <c:pt idx="1893">
                  <c:v>4.1799999999999997E-2</c:v>
                </c:pt>
                <c:pt idx="1894">
                  <c:v>4.1799999999999997E-2</c:v>
                </c:pt>
                <c:pt idx="1895">
                  <c:v>4.24E-2</c:v>
                </c:pt>
                <c:pt idx="1896">
                  <c:v>4.24E-2</c:v>
                </c:pt>
                <c:pt idx="1897">
                  <c:v>4.2999999999999997E-2</c:v>
                </c:pt>
                <c:pt idx="1898">
                  <c:v>4.1500000000000002E-2</c:v>
                </c:pt>
                <c:pt idx="1899">
                  <c:v>4.1599999999999998E-2</c:v>
                </c:pt>
                <c:pt idx="1900">
                  <c:v>4.0999999999999995E-2</c:v>
                </c:pt>
                <c:pt idx="1901">
                  <c:v>4.1200000000000001E-2</c:v>
                </c:pt>
                <c:pt idx="1902">
                  <c:v>4.2099999999999999E-2</c:v>
                </c:pt>
                <c:pt idx="1903">
                  <c:v>4.3099999999999999E-2</c:v>
                </c:pt>
                <c:pt idx="1904">
                  <c:v>4.36E-2</c:v>
                </c:pt>
                <c:pt idx="1905">
                  <c:v>4.36E-2</c:v>
                </c:pt>
                <c:pt idx="1906">
                  <c:v>4.4199999999999996E-2</c:v>
                </c:pt>
                <c:pt idx="1907">
                  <c:v>4.4199999999999996E-2</c:v>
                </c:pt>
                <c:pt idx="1908">
                  <c:v>4.3799999999999999E-2</c:v>
                </c:pt>
                <c:pt idx="1909">
                  <c:v>4.4600000000000001E-2</c:v>
                </c:pt>
                <c:pt idx="1910">
                  <c:v>4.4900000000000002E-2</c:v>
                </c:pt>
                <c:pt idx="1911">
                  <c:v>4.36E-2</c:v>
                </c:pt>
                <c:pt idx="1912">
                  <c:v>4.3899999999999995E-2</c:v>
                </c:pt>
                <c:pt idx="1913">
                  <c:v>4.4400000000000002E-2</c:v>
                </c:pt>
                <c:pt idx="1914">
                  <c:v>4.3799999999999999E-2</c:v>
                </c:pt>
                <c:pt idx="1915">
                  <c:v>4.2599999999999999E-2</c:v>
                </c:pt>
                <c:pt idx="1916">
                  <c:v>4.2699999999999995E-2</c:v>
                </c:pt>
                <c:pt idx="1917">
                  <c:v>4.2300000000000004E-2</c:v>
                </c:pt>
                <c:pt idx="1918">
                  <c:v>4.2900000000000001E-2</c:v>
                </c:pt>
                <c:pt idx="1919">
                  <c:v>4.3700000000000003E-2</c:v>
                </c:pt>
                <c:pt idx="1920">
                  <c:v>4.4400000000000002E-2</c:v>
                </c:pt>
                <c:pt idx="1921">
                  <c:v>4.3799999999999999E-2</c:v>
                </c:pt>
                <c:pt idx="1922">
                  <c:v>4.3899999999999995E-2</c:v>
                </c:pt>
                <c:pt idx="1923">
                  <c:v>4.4000000000000004E-2</c:v>
                </c:pt>
                <c:pt idx="1924">
                  <c:v>4.41E-2</c:v>
                </c:pt>
                <c:pt idx="1925">
                  <c:v>4.3899999999999995E-2</c:v>
                </c:pt>
                <c:pt idx="1926">
                  <c:v>4.4199999999999996E-2</c:v>
                </c:pt>
                <c:pt idx="1927">
                  <c:v>4.4500000000000005E-2</c:v>
                </c:pt>
                <c:pt idx="1928">
                  <c:v>4.4600000000000001E-2</c:v>
                </c:pt>
                <c:pt idx="1929">
                  <c:v>4.5100000000000001E-2</c:v>
                </c:pt>
                <c:pt idx="1930">
                  <c:v>4.5199999999999997E-2</c:v>
                </c:pt>
                <c:pt idx="1931">
                  <c:v>4.6100000000000002E-2</c:v>
                </c:pt>
                <c:pt idx="1932">
                  <c:v>4.5700000000000005E-2</c:v>
                </c:pt>
                <c:pt idx="1933">
                  <c:v>4.6199999999999998E-2</c:v>
                </c:pt>
                <c:pt idx="1934">
                  <c:v>4.6199999999999998E-2</c:v>
                </c:pt>
                <c:pt idx="1935">
                  <c:v>4.6699999999999998E-2</c:v>
                </c:pt>
                <c:pt idx="1936">
                  <c:v>4.6199999999999998E-2</c:v>
                </c:pt>
                <c:pt idx="1937">
                  <c:v>4.5999999999999999E-2</c:v>
                </c:pt>
                <c:pt idx="1938">
                  <c:v>4.7199999999999999E-2</c:v>
                </c:pt>
                <c:pt idx="1939">
                  <c:v>4.8000000000000001E-2</c:v>
                </c:pt>
                <c:pt idx="1940">
                  <c:v>4.7199999999999999E-2</c:v>
                </c:pt>
                <c:pt idx="1941">
                  <c:v>4.6799999999999994E-2</c:v>
                </c:pt>
                <c:pt idx="1942">
                  <c:v>4.7500000000000001E-2</c:v>
                </c:pt>
                <c:pt idx="1943">
                  <c:v>4.6199999999999998E-2</c:v>
                </c:pt>
                <c:pt idx="1944">
                  <c:v>4.5899999999999996E-2</c:v>
                </c:pt>
                <c:pt idx="1945">
                  <c:v>4.6900000000000004E-2</c:v>
                </c:pt>
                <c:pt idx="1946">
                  <c:v>4.6500000000000007E-2</c:v>
                </c:pt>
                <c:pt idx="1947">
                  <c:v>4.7199999999999999E-2</c:v>
                </c:pt>
                <c:pt idx="1948">
                  <c:v>4.8600000000000004E-2</c:v>
                </c:pt>
                <c:pt idx="1949">
                  <c:v>4.9200000000000001E-2</c:v>
                </c:pt>
                <c:pt idx="1950">
                  <c:v>4.9500000000000002E-2</c:v>
                </c:pt>
                <c:pt idx="1951">
                  <c:v>4.8600000000000004E-2</c:v>
                </c:pt>
                <c:pt idx="1952">
                  <c:v>4.8099999999999997E-2</c:v>
                </c:pt>
                <c:pt idx="1953">
                  <c:v>4.82E-2</c:v>
                </c:pt>
                <c:pt idx="1954">
                  <c:v>4.8899999999999999E-2</c:v>
                </c:pt>
                <c:pt idx="1955">
                  <c:v>4.7899999999999998E-2</c:v>
                </c:pt>
                <c:pt idx="1956">
                  <c:v>4.7599999999999996E-2</c:v>
                </c:pt>
                <c:pt idx="1957">
                  <c:v>4.8000000000000001E-2</c:v>
                </c:pt>
                <c:pt idx="1958">
                  <c:v>4.82E-2</c:v>
                </c:pt>
                <c:pt idx="1959">
                  <c:v>4.6699999999999998E-2</c:v>
                </c:pt>
                <c:pt idx="1960">
                  <c:v>4.6500000000000007E-2</c:v>
                </c:pt>
                <c:pt idx="1961">
                  <c:v>4.4900000000000002E-2</c:v>
                </c:pt>
                <c:pt idx="1962">
                  <c:v>4.5999999999999999E-2</c:v>
                </c:pt>
                <c:pt idx="1963">
                  <c:v>4.53E-2</c:v>
                </c:pt>
                <c:pt idx="1964">
                  <c:v>4.5100000000000001E-2</c:v>
                </c:pt>
                <c:pt idx="1965">
                  <c:v>4.6500000000000007E-2</c:v>
                </c:pt>
                <c:pt idx="1966">
                  <c:v>4.6500000000000007E-2</c:v>
                </c:pt>
                <c:pt idx="1967">
                  <c:v>4.6600000000000003E-2</c:v>
                </c:pt>
                <c:pt idx="1968">
                  <c:v>4.4199999999999996E-2</c:v>
                </c:pt>
                <c:pt idx="1969">
                  <c:v>4.5199999999999997E-2</c:v>
                </c:pt>
                <c:pt idx="1970">
                  <c:v>4.4299999999999999E-2</c:v>
                </c:pt>
                <c:pt idx="1971">
                  <c:v>4.4500000000000005E-2</c:v>
                </c:pt>
                <c:pt idx="1972">
                  <c:v>4.4400000000000002E-2</c:v>
                </c:pt>
                <c:pt idx="1973">
                  <c:v>4.41E-2</c:v>
                </c:pt>
                <c:pt idx="1974">
                  <c:v>4.4400000000000002E-2</c:v>
                </c:pt>
                <c:pt idx="1975">
                  <c:v>4.4900000000000002E-2</c:v>
                </c:pt>
                <c:pt idx="1976">
                  <c:v>4.3799999999999999E-2</c:v>
                </c:pt>
                <c:pt idx="1977">
                  <c:v>4.2900000000000001E-2</c:v>
                </c:pt>
                <c:pt idx="1978">
                  <c:v>4.2199999999999994E-2</c:v>
                </c:pt>
                <c:pt idx="1979">
                  <c:v>4.3099999999999999E-2</c:v>
                </c:pt>
                <c:pt idx="1980">
                  <c:v>4.1399999999999999E-2</c:v>
                </c:pt>
                <c:pt idx="1981">
                  <c:v>4.2300000000000004E-2</c:v>
                </c:pt>
                <c:pt idx="1982">
                  <c:v>4.1399999999999999E-2</c:v>
                </c:pt>
                <c:pt idx="1983">
                  <c:v>4.1200000000000001E-2</c:v>
                </c:pt>
                <c:pt idx="1984">
                  <c:v>4.1100000000000005E-2</c:v>
                </c:pt>
                <c:pt idx="1985">
                  <c:v>4.24E-2</c:v>
                </c:pt>
                <c:pt idx="1986">
                  <c:v>4.2500000000000003E-2</c:v>
                </c:pt>
                <c:pt idx="1987">
                  <c:v>4.2300000000000004E-2</c:v>
                </c:pt>
                <c:pt idx="1988">
                  <c:v>0.04</c:v>
                </c:pt>
                <c:pt idx="1989">
                  <c:v>3.9E-2</c:v>
                </c:pt>
                <c:pt idx="1990">
                  <c:v>3.9100000000000003E-2</c:v>
                </c:pt>
                <c:pt idx="1991">
                  <c:v>3.9399999999999998E-2</c:v>
                </c:pt>
                <c:pt idx="1992">
                  <c:v>3.9399999999999998E-2</c:v>
                </c:pt>
                <c:pt idx="1993">
                  <c:v>3.8599999999999995E-2</c:v>
                </c:pt>
                <c:pt idx="1994">
                  <c:v>3.8699999999999998E-2</c:v>
                </c:pt>
                <c:pt idx="1995">
                  <c:v>3.8699999999999998E-2</c:v>
                </c:pt>
                <c:pt idx="1996">
                  <c:v>3.8900000000000004E-2</c:v>
                </c:pt>
                <c:pt idx="1997">
                  <c:v>3.78E-2</c:v>
                </c:pt>
                <c:pt idx="1998">
                  <c:v>3.8300000000000001E-2</c:v>
                </c:pt>
                <c:pt idx="1999">
                  <c:v>3.8399999999999997E-2</c:v>
                </c:pt>
                <c:pt idx="2000">
                  <c:v>3.9300000000000002E-2</c:v>
                </c:pt>
                <c:pt idx="2001">
                  <c:v>3.9E-2</c:v>
                </c:pt>
                <c:pt idx="2002">
                  <c:v>3.9699999999999999E-2</c:v>
                </c:pt>
                <c:pt idx="2003">
                  <c:v>4.0199999999999993E-2</c:v>
                </c:pt>
                <c:pt idx="2004">
                  <c:v>3.9699999999999999E-2</c:v>
                </c:pt>
                <c:pt idx="2005">
                  <c:v>3.9699999999999999E-2</c:v>
                </c:pt>
                <c:pt idx="2006">
                  <c:v>3.9900000000000005E-2</c:v>
                </c:pt>
                <c:pt idx="2007">
                  <c:v>3.9E-2</c:v>
                </c:pt>
                <c:pt idx="2008">
                  <c:v>3.8399999999999997E-2</c:v>
                </c:pt>
                <c:pt idx="2009">
                  <c:v>3.95E-2</c:v>
                </c:pt>
                <c:pt idx="2010">
                  <c:v>4.0199999999999993E-2</c:v>
                </c:pt>
                <c:pt idx="2011">
                  <c:v>4.0399999999999998E-2</c:v>
                </c:pt>
                <c:pt idx="2012">
                  <c:v>4.0800000000000003E-2</c:v>
                </c:pt>
                <c:pt idx="2013">
                  <c:v>4.0300000000000002E-2</c:v>
                </c:pt>
                <c:pt idx="2014">
                  <c:v>4.0599999999999997E-2</c:v>
                </c:pt>
                <c:pt idx="2015">
                  <c:v>4.0599999999999997E-2</c:v>
                </c:pt>
                <c:pt idx="2016">
                  <c:v>4.0099999999999997E-2</c:v>
                </c:pt>
                <c:pt idx="2017">
                  <c:v>4.0399999999999998E-2</c:v>
                </c:pt>
                <c:pt idx="2018">
                  <c:v>3.9699999999999999E-2</c:v>
                </c:pt>
                <c:pt idx="2019">
                  <c:v>0.04</c:v>
                </c:pt>
                <c:pt idx="2020">
                  <c:v>3.9100000000000003E-2</c:v>
                </c:pt>
                <c:pt idx="2021">
                  <c:v>3.7999999999999999E-2</c:v>
                </c:pt>
                <c:pt idx="2022">
                  <c:v>3.9900000000000005E-2</c:v>
                </c:pt>
                <c:pt idx="2023">
                  <c:v>4.1299999999999996E-2</c:v>
                </c:pt>
                <c:pt idx="2024">
                  <c:v>4.0300000000000002E-2</c:v>
                </c:pt>
                <c:pt idx="2025">
                  <c:v>4.0599999999999997E-2</c:v>
                </c:pt>
                <c:pt idx="2026">
                  <c:v>4.1200000000000001E-2</c:v>
                </c:pt>
                <c:pt idx="2027">
                  <c:v>4.1399999999999999E-2</c:v>
                </c:pt>
                <c:pt idx="2028">
                  <c:v>4.1299999999999996E-2</c:v>
                </c:pt>
                <c:pt idx="2029">
                  <c:v>4.3099999999999999E-2</c:v>
                </c:pt>
                <c:pt idx="2030">
                  <c:v>4.2500000000000003E-2</c:v>
                </c:pt>
                <c:pt idx="2031">
                  <c:v>4.2199999999999994E-2</c:v>
                </c:pt>
                <c:pt idx="2032">
                  <c:v>4.2900000000000001E-2</c:v>
                </c:pt>
                <c:pt idx="2033">
                  <c:v>4.2500000000000003E-2</c:v>
                </c:pt>
                <c:pt idx="2034">
                  <c:v>4.2999999999999997E-2</c:v>
                </c:pt>
                <c:pt idx="2035">
                  <c:v>4.3299999999999998E-2</c:v>
                </c:pt>
                <c:pt idx="2036">
                  <c:v>4.2800000000000005E-2</c:v>
                </c:pt>
                <c:pt idx="2037">
                  <c:v>4.2900000000000001E-2</c:v>
                </c:pt>
                <c:pt idx="2038">
                  <c:v>4.3200000000000002E-2</c:v>
                </c:pt>
                <c:pt idx="2039">
                  <c:v>4.2599999999999999E-2</c:v>
                </c:pt>
                <c:pt idx="2040">
                  <c:v>4.2599999999999999E-2</c:v>
                </c:pt>
                <c:pt idx="2041">
                  <c:v>4.1700000000000001E-2</c:v>
                </c:pt>
                <c:pt idx="2042">
                  <c:v>4.2099999999999999E-2</c:v>
                </c:pt>
                <c:pt idx="2043">
                  <c:v>4.1299999999999996E-2</c:v>
                </c:pt>
                <c:pt idx="2044">
                  <c:v>4.1200000000000001E-2</c:v>
                </c:pt>
                <c:pt idx="2045">
                  <c:v>4.07E-2</c:v>
                </c:pt>
                <c:pt idx="2046">
                  <c:v>4.0599999999999997E-2</c:v>
                </c:pt>
                <c:pt idx="2047">
                  <c:v>4.0800000000000003E-2</c:v>
                </c:pt>
                <c:pt idx="2048">
                  <c:v>4.1500000000000002E-2</c:v>
                </c:pt>
                <c:pt idx="2049">
                  <c:v>4.1900000000000007E-2</c:v>
                </c:pt>
                <c:pt idx="2050">
                  <c:v>4.2900000000000001E-2</c:v>
                </c:pt>
                <c:pt idx="2051">
                  <c:v>4.3299999999999998E-2</c:v>
                </c:pt>
                <c:pt idx="2052">
                  <c:v>4.36E-2</c:v>
                </c:pt>
                <c:pt idx="2053">
                  <c:v>4.3099999999999999E-2</c:v>
                </c:pt>
                <c:pt idx="2054">
                  <c:v>4.2500000000000003E-2</c:v>
                </c:pt>
                <c:pt idx="2055">
                  <c:v>4.2599999999999999E-2</c:v>
                </c:pt>
                <c:pt idx="2056">
                  <c:v>4.2000000000000003E-2</c:v>
                </c:pt>
                <c:pt idx="2057">
                  <c:v>4.2300000000000004E-2</c:v>
                </c:pt>
                <c:pt idx="2058">
                  <c:v>4.2199999999999994E-2</c:v>
                </c:pt>
                <c:pt idx="2059">
                  <c:v>4.1799999999999997E-2</c:v>
                </c:pt>
                <c:pt idx="2060">
                  <c:v>4.2099999999999999E-2</c:v>
                </c:pt>
                <c:pt idx="2061">
                  <c:v>4.3400000000000001E-2</c:v>
                </c:pt>
                <c:pt idx="2062">
                  <c:v>4.3499999999999997E-2</c:v>
                </c:pt>
                <c:pt idx="2063">
                  <c:v>4.3400000000000001E-2</c:v>
                </c:pt>
                <c:pt idx="2064">
                  <c:v>4.2999999999999997E-2</c:v>
                </c:pt>
                <c:pt idx="2065">
                  <c:v>4.3799999999999999E-2</c:v>
                </c:pt>
                <c:pt idx="2066">
                  <c:v>4.4299999999999999E-2</c:v>
                </c:pt>
                <c:pt idx="2067">
                  <c:v>4.3700000000000003E-2</c:v>
                </c:pt>
                <c:pt idx="2068">
                  <c:v>4.6100000000000002E-2</c:v>
                </c:pt>
                <c:pt idx="2069">
                  <c:v>4.6100000000000002E-2</c:v>
                </c:pt>
                <c:pt idx="2070">
                  <c:v>4.5400000000000003E-2</c:v>
                </c:pt>
                <c:pt idx="2071">
                  <c:v>4.6500000000000007E-2</c:v>
                </c:pt>
                <c:pt idx="2072">
                  <c:v>4.6900000000000004E-2</c:v>
                </c:pt>
                <c:pt idx="2073">
                  <c:v>4.6199999999999998E-2</c:v>
                </c:pt>
                <c:pt idx="2074">
                  <c:v>4.6799999999999994E-2</c:v>
                </c:pt>
                <c:pt idx="2075">
                  <c:v>4.6600000000000003E-2</c:v>
                </c:pt>
                <c:pt idx="2076">
                  <c:v>4.6600000000000003E-2</c:v>
                </c:pt>
                <c:pt idx="2077">
                  <c:v>4.6300000000000001E-2</c:v>
                </c:pt>
                <c:pt idx="2078">
                  <c:v>4.6399999999999997E-2</c:v>
                </c:pt>
                <c:pt idx="2079">
                  <c:v>4.7E-2</c:v>
                </c:pt>
                <c:pt idx="2080">
                  <c:v>4.6799999999999994E-2</c:v>
                </c:pt>
                <c:pt idx="2081">
                  <c:v>4.6500000000000007E-2</c:v>
                </c:pt>
                <c:pt idx="2082">
                  <c:v>4.7199999999999999E-2</c:v>
                </c:pt>
                <c:pt idx="2083">
                  <c:v>4.6399999999999997E-2</c:v>
                </c:pt>
                <c:pt idx="2084">
                  <c:v>4.5700000000000005E-2</c:v>
                </c:pt>
                <c:pt idx="2085">
                  <c:v>4.4800000000000006E-2</c:v>
                </c:pt>
                <c:pt idx="2086">
                  <c:v>4.4800000000000006E-2</c:v>
                </c:pt>
                <c:pt idx="2087">
                  <c:v>4.4800000000000006E-2</c:v>
                </c:pt>
                <c:pt idx="2088">
                  <c:v>4.4999999999999998E-2</c:v>
                </c:pt>
                <c:pt idx="2089">
                  <c:v>4.4699999999999997E-2</c:v>
                </c:pt>
                <c:pt idx="2090">
                  <c:v>4.5199999999999997E-2</c:v>
                </c:pt>
                <c:pt idx="2091">
                  <c:v>4.4999999999999998E-2</c:v>
                </c:pt>
                <c:pt idx="2092">
                  <c:v>4.4600000000000001E-2</c:v>
                </c:pt>
                <c:pt idx="2093">
                  <c:v>4.3499999999999997E-2</c:v>
                </c:pt>
                <c:pt idx="2094">
                  <c:v>4.4000000000000004E-2</c:v>
                </c:pt>
                <c:pt idx="2095">
                  <c:v>4.4400000000000002E-2</c:v>
                </c:pt>
                <c:pt idx="2096">
                  <c:v>4.4600000000000001E-2</c:v>
                </c:pt>
                <c:pt idx="2097">
                  <c:v>4.4299999999999999E-2</c:v>
                </c:pt>
                <c:pt idx="2098">
                  <c:v>4.4699999999999997E-2</c:v>
                </c:pt>
                <c:pt idx="2099">
                  <c:v>4.5199999999999997E-2</c:v>
                </c:pt>
                <c:pt idx="2100">
                  <c:v>4.53E-2</c:v>
                </c:pt>
                <c:pt idx="2101">
                  <c:v>4.5599999999999995E-2</c:v>
                </c:pt>
                <c:pt idx="2102">
                  <c:v>4.6300000000000001E-2</c:v>
                </c:pt>
                <c:pt idx="2103">
                  <c:v>4.5700000000000005E-2</c:v>
                </c:pt>
                <c:pt idx="2104">
                  <c:v>4.5199999999999997E-2</c:v>
                </c:pt>
                <c:pt idx="2105">
                  <c:v>4.4199999999999996E-2</c:v>
                </c:pt>
                <c:pt idx="2106">
                  <c:v>4.3499999999999997E-2</c:v>
                </c:pt>
                <c:pt idx="2107">
                  <c:v>4.3099999999999999E-2</c:v>
                </c:pt>
                <c:pt idx="2108">
                  <c:v>4.2900000000000001E-2</c:v>
                </c:pt>
                <c:pt idx="2109">
                  <c:v>4.4600000000000001E-2</c:v>
                </c:pt>
                <c:pt idx="2110">
                  <c:v>4.4800000000000006E-2</c:v>
                </c:pt>
                <c:pt idx="2111">
                  <c:v>4.41E-2</c:v>
                </c:pt>
                <c:pt idx="2112">
                  <c:v>4.3200000000000002E-2</c:v>
                </c:pt>
                <c:pt idx="2113">
                  <c:v>4.24E-2</c:v>
                </c:pt>
                <c:pt idx="2114">
                  <c:v>4.2199999999999994E-2</c:v>
                </c:pt>
                <c:pt idx="2115">
                  <c:v>4.2999999999999997E-2</c:v>
                </c:pt>
                <c:pt idx="2116">
                  <c:v>4.24E-2</c:v>
                </c:pt>
                <c:pt idx="2117">
                  <c:v>4.2599999999999999E-2</c:v>
                </c:pt>
                <c:pt idx="2118">
                  <c:v>4.2599999999999999E-2</c:v>
                </c:pt>
                <c:pt idx="2119">
                  <c:v>4.2699999999999995E-2</c:v>
                </c:pt>
                <c:pt idx="2120">
                  <c:v>4.2500000000000003E-2</c:v>
                </c:pt>
                <c:pt idx="2121">
                  <c:v>4.3200000000000002E-2</c:v>
                </c:pt>
                <c:pt idx="2122">
                  <c:v>4.2900000000000001E-2</c:v>
                </c:pt>
                <c:pt idx="2123">
                  <c:v>4.3299999999999998E-2</c:v>
                </c:pt>
                <c:pt idx="2124">
                  <c:v>4.4400000000000002E-2</c:v>
                </c:pt>
                <c:pt idx="2125">
                  <c:v>4.3899999999999995E-2</c:v>
                </c:pt>
                <c:pt idx="2126">
                  <c:v>4.3299999999999998E-2</c:v>
                </c:pt>
                <c:pt idx="2127">
                  <c:v>4.2199999999999994E-2</c:v>
                </c:pt>
                <c:pt idx="2128">
                  <c:v>4.2300000000000004E-2</c:v>
                </c:pt>
                <c:pt idx="2129">
                  <c:v>4.24E-2</c:v>
                </c:pt>
                <c:pt idx="2130">
                  <c:v>4.24E-2</c:v>
                </c:pt>
                <c:pt idx="2131">
                  <c:v>4.1299999999999996E-2</c:v>
                </c:pt>
                <c:pt idx="2132">
                  <c:v>4.0999999999999995E-2</c:v>
                </c:pt>
                <c:pt idx="2133">
                  <c:v>4.1299999999999996E-2</c:v>
                </c:pt>
                <c:pt idx="2134">
                  <c:v>4.0899999999999999E-2</c:v>
                </c:pt>
                <c:pt idx="2135">
                  <c:v>4.07E-2</c:v>
                </c:pt>
                <c:pt idx="2136">
                  <c:v>4.1100000000000005E-2</c:v>
                </c:pt>
                <c:pt idx="2137">
                  <c:v>4.1599999999999998E-2</c:v>
                </c:pt>
                <c:pt idx="2138">
                  <c:v>4.1700000000000001E-2</c:v>
                </c:pt>
                <c:pt idx="2139">
                  <c:v>4.1500000000000002E-2</c:v>
                </c:pt>
                <c:pt idx="2140">
                  <c:v>4.1200000000000001E-2</c:v>
                </c:pt>
                <c:pt idx="2141">
                  <c:v>4.1299999999999996E-2</c:v>
                </c:pt>
                <c:pt idx="2142">
                  <c:v>4.0599999999999997E-2</c:v>
                </c:pt>
                <c:pt idx="2143">
                  <c:v>4.0500000000000001E-2</c:v>
                </c:pt>
                <c:pt idx="2144">
                  <c:v>4.0300000000000002E-2</c:v>
                </c:pt>
                <c:pt idx="2145">
                  <c:v>3.9699999999999999E-2</c:v>
                </c:pt>
                <c:pt idx="2146">
                  <c:v>3.8399999999999997E-2</c:v>
                </c:pt>
                <c:pt idx="2147">
                  <c:v>3.6200000000000003E-2</c:v>
                </c:pt>
                <c:pt idx="2148">
                  <c:v>3.6200000000000003E-2</c:v>
                </c:pt>
                <c:pt idx="2149">
                  <c:v>3.73E-2</c:v>
                </c:pt>
                <c:pt idx="2150">
                  <c:v>3.7900000000000003E-2</c:v>
                </c:pt>
                <c:pt idx="2151">
                  <c:v>3.8300000000000001E-2</c:v>
                </c:pt>
                <c:pt idx="2152">
                  <c:v>3.7999999999999999E-2</c:v>
                </c:pt>
                <c:pt idx="2153">
                  <c:v>3.7499999999999999E-2</c:v>
                </c:pt>
                <c:pt idx="2154">
                  <c:v>3.6799999999999999E-2</c:v>
                </c:pt>
                <c:pt idx="2155">
                  <c:v>3.6699999999999997E-2</c:v>
                </c:pt>
                <c:pt idx="2156">
                  <c:v>3.7900000000000003E-2</c:v>
                </c:pt>
                <c:pt idx="2157">
                  <c:v>3.7699999999999997E-2</c:v>
                </c:pt>
                <c:pt idx="2158">
                  <c:v>3.7499999999999999E-2</c:v>
                </c:pt>
                <c:pt idx="2159">
                  <c:v>3.7000000000000005E-2</c:v>
                </c:pt>
                <c:pt idx="2160">
                  <c:v>3.6400000000000002E-2</c:v>
                </c:pt>
                <c:pt idx="2161">
                  <c:v>3.7200000000000004E-2</c:v>
                </c:pt>
                <c:pt idx="2162">
                  <c:v>3.6499999999999998E-2</c:v>
                </c:pt>
                <c:pt idx="2163">
                  <c:v>3.6600000000000001E-2</c:v>
                </c:pt>
                <c:pt idx="2164">
                  <c:v>3.6600000000000001E-2</c:v>
                </c:pt>
                <c:pt idx="2165">
                  <c:v>3.6299999999999999E-2</c:v>
                </c:pt>
                <c:pt idx="2166">
                  <c:v>3.6600000000000001E-2</c:v>
                </c:pt>
                <c:pt idx="2167">
                  <c:v>3.7100000000000001E-2</c:v>
                </c:pt>
                <c:pt idx="2168">
                  <c:v>3.6499999999999998E-2</c:v>
                </c:pt>
                <c:pt idx="2169">
                  <c:v>3.56E-2</c:v>
                </c:pt>
                <c:pt idx="2170">
                  <c:v>3.5400000000000001E-2</c:v>
                </c:pt>
                <c:pt idx="2171">
                  <c:v>3.5000000000000003E-2</c:v>
                </c:pt>
                <c:pt idx="2172">
                  <c:v>3.49E-2</c:v>
                </c:pt>
                <c:pt idx="2173">
                  <c:v>3.4300000000000004E-2</c:v>
                </c:pt>
                <c:pt idx="2174">
                  <c:v>3.4500000000000003E-2</c:v>
                </c:pt>
                <c:pt idx="2175">
                  <c:v>3.4700000000000002E-2</c:v>
                </c:pt>
                <c:pt idx="2176">
                  <c:v>3.4300000000000004E-2</c:v>
                </c:pt>
                <c:pt idx="2177">
                  <c:v>3.4099999999999998E-2</c:v>
                </c:pt>
                <c:pt idx="2178">
                  <c:v>3.44E-2</c:v>
                </c:pt>
                <c:pt idx="2179">
                  <c:v>3.4700000000000002E-2</c:v>
                </c:pt>
                <c:pt idx="2180">
                  <c:v>3.49E-2</c:v>
                </c:pt>
                <c:pt idx="2181">
                  <c:v>3.4799999999999998E-2</c:v>
                </c:pt>
                <c:pt idx="2182">
                  <c:v>3.5099999999999999E-2</c:v>
                </c:pt>
                <c:pt idx="2183">
                  <c:v>3.4700000000000002E-2</c:v>
                </c:pt>
                <c:pt idx="2184">
                  <c:v>3.5200000000000002E-2</c:v>
                </c:pt>
                <c:pt idx="2185">
                  <c:v>3.5499999999999997E-2</c:v>
                </c:pt>
                <c:pt idx="2186">
                  <c:v>3.5000000000000003E-2</c:v>
                </c:pt>
                <c:pt idx="2187">
                  <c:v>3.5799999999999998E-2</c:v>
                </c:pt>
                <c:pt idx="2188">
                  <c:v>3.5099999999999999E-2</c:v>
                </c:pt>
                <c:pt idx="2189">
                  <c:v>3.5499999999999997E-2</c:v>
                </c:pt>
                <c:pt idx="2190">
                  <c:v>3.6200000000000003E-2</c:v>
                </c:pt>
                <c:pt idx="2191">
                  <c:v>3.8100000000000002E-2</c:v>
                </c:pt>
                <c:pt idx="2192">
                  <c:v>3.8599999999999995E-2</c:v>
                </c:pt>
                <c:pt idx="2193">
                  <c:v>3.8599999999999995E-2</c:v>
                </c:pt>
                <c:pt idx="2194">
                  <c:v>3.9100000000000003E-2</c:v>
                </c:pt>
                <c:pt idx="2195">
                  <c:v>3.9100000000000003E-2</c:v>
                </c:pt>
                <c:pt idx="2196">
                  <c:v>3.8800000000000001E-2</c:v>
                </c:pt>
                <c:pt idx="2197">
                  <c:v>3.8599999999999995E-2</c:v>
                </c:pt>
                <c:pt idx="2198">
                  <c:v>3.8399999999999997E-2</c:v>
                </c:pt>
                <c:pt idx="2199">
                  <c:v>3.9E-2</c:v>
                </c:pt>
                <c:pt idx="2200">
                  <c:v>3.8800000000000001E-2</c:v>
                </c:pt>
                <c:pt idx="2201">
                  <c:v>3.9800000000000002E-2</c:v>
                </c:pt>
                <c:pt idx="2202">
                  <c:v>0.04</c:v>
                </c:pt>
                <c:pt idx="2203">
                  <c:v>4.0500000000000001E-2</c:v>
                </c:pt>
                <c:pt idx="2204">
                  <c:v>4.0300000000000002E-2</c:v>
                </c:pt>
                <c:pt idx="2205">
                  <c:v>4.07E-2</c:v>
                </c:pt>
                <c:pt idx="2206">
                  <c:v>4.1100000000000005E-2</c:v>
                </c:pt>
                <c:pt idx="2207">
                  <c:v>4.1100000000000005E-2</c:v>
                </c:pt>
                <c:pt idx="2208">
                  <c:v>4.1399999999999999E-2</c:v>
                </c:pt>
                <c:pt idx="2209">
                  <c:v>4.1500000000000002E-2</c:v>
                </c:pt>
                <c:pt idx="2210">
                  <c:v>4.2199999999999994E-2</c:v>
                </c:pt>
                <c:pt idx="2211">
                  <c:v>4.1700000000000001E-2</c:v>
                </c:pt>
                <c:pt idx="2212">
                  <c:v>4.1599999999999998E-2</c:v>
                </c:pt>
                <c:pt idx="2213">
                  <c:v>4.2699999999999995E-2</c:v>
                </c:pt>
                <c:pt idx="2214">
                  <c:v>4.1700000000000001E-2</c:v>
                </c:pt>
                <c:pt idx="2215">
                  <c:v>4.2000000000000003E-2</c:v>
                </c:pt>
                <c:pt idx="2216">
                  <c:v>4.3200000000000002E-2</c:v>
                </c:pt>
                <c:pt idx="2217">
                  <c:v>4.2999999999999997E-2</c:v>
                </c:pt>
                <c:pt idx="2218">
                  <c:v>4.3200000000000002E-2</c:v>
                </c:pt>
                <c:pt idx="2219">
                  <c:v>4.2999999999999997E-2</c:v>
                </c:pt>
                <c:pt idx="2220">
                  <c:v>4.2800000000000005E-2</c:v>
                </c:pt>
                <c:pt idx="2221">
                  <c:v>4.2500000000000003E-2</c:v>
                </c:pt>
                <c:pt idx="2222">
                  <c:v>4.2800000000000005E-2</c:v>
                </c:pt>
                <c:pt idx="2223">
                  <c:v>4.2999999999999997E-2</c:v>
                </c:pt>
                <c:pt idx="2224">
                  <c:v>4.2999999999999997E-2</c:v>
                </c:pt>
                <c:pt idx="2225">
                  <c:v>4.1700000000000001E-2</c:v>
                </c:pt>
                <c:pt idx="2226">
                  <c:v>4.1700000000000001E-2</c:v>
                </c:pt>
                <c:pt idx="2227">
                  <c:v>4.1100000000000005E-2</c:v>
                </c:pt>
                <c:pt idx="2228">
                  <c:v>4.0500000000000001E-2</c:v>
                </c:pt>
                <c:pt idx="2229">
                  <c:v>4.0800000000000003E-2</c:v>
                </c:pt>
                <c:pt idx="2230">
                  <c:v>4.1100000000000005E-2</c:v>
                </c:pt>
                <c:pt idx="2231">
                  <c:v>4.07E-2</c:v>
                </c:pt>
                <c:pt idx="2232">
                  <c:v>4.07E-2</c:v>
                </c:pt>
                <c:pt idx="2233">
                  <c:v>4.0300000000000002E-2</c:v>
                </c:pt>
                <c:pt idx="2234">
                  <c:v>4.07E-2</c:v>
                </c:pt>
                <c:pt idx="2235">
                  <c:v>4.0899999999999999E-2</c:v>
                </c:pt>
                <c:pt idx="2236">
                  <c:v>4.1299999999999996E-2</c:v>
                </c:pt>
                <c:pt idx="2237">
                  <c:v>4.1799999999999997E-2</c:v>
                </c:pt>
                <c:pt idx="2238">
                  <c:v>4.2500000000000003E-2</c:v>
                </c:pt>
                <c:pt idx="2239">
                  <c:v>4.2500000000000003E-2</c:v>
                </c:pt>
                <c:pt idx="2240">
                  <c:v>4.2599999999999999E-2</c:v>
                </c:pt>
                <c:pt idx="2241">
                  <c:v>4.4000000000000004E-2</c:v>
                </c:pt>
                <c:pt idx="2242">
                  <c:v>4.4299999999999999E-2</c:v>
                </c:pt>
                <c:pt idx="2243">
                  <c:v>4.3700000000000003E-2</c:v>
                </c:pt>
                <c:pt idx="2244">
                  <c:v>4.4400000000000002E-2</c:v>
                </c:pt>
                <c:pt idx="2245">
                  <c:v>4.4299999999999999E-2</c:v>
                </c:pt>
                <c:pt idx="2246">
                  <c:v>4.4199999999999996E-2</c:v>
                </c:pt>
                <c:pt idx="2247">
                  <c:v>4.4500000000000005E-2</c:v>
                </c:pt>
                <c:pt idx="2248">
                  <c:v>4.3700000000000003E-2</c:v>
                </c:pt>
                <c:pt idx="2249">
                  <c:v>4.3799999999999999E-2</c:v>
                </c:pt>
              </c:numCache>
            </c:numRef>
          </c:val>
          <c:smooth val="0"/>
          <c:extLst>
            <c:ext xmlns:c16="http://schemas.microsoft.com/office/drawing/2014/chart" uri="{C3380CC4-5D6E-409C-BE32-E72D297353CC}">
              <c16:uniqueId val="{00000001-45DF-4091-8C7E-D8E791CC1F0C}"/>
            </c:ext>
          </c:extLst>
        </c:ser>
        <c:dLbls>
          <c:showLegendKey val="0"/>
          <c:showVal val="0"/>
          <c:showCatName val="0"/>
          <c:showSerName val="0"/>
          <c:showPercent val="0"/>
          <c:showBubbleSize val="0"/>
        </c:dLbls>
        <c:smooth val="0"/>
        <c:axId val="1189570000"/>
        <c:axId val="1189570960"/>
      </c:lineChart>
      <c:dateAx>
        <c:axId val="1189570000"/>
        <c:scaling>
          <c:orientation val="minMax"/>
        </c:scaling>
        <c:delete val="0"/>
        <c:axPos val="b"/>
        <c:numFmt formatCode="[$-409]mmm\-dd\-yyyy;@"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570960"/>
        <c:crosses val="autoZero"/>
        <c:auto val="1"/>
        <c:lblOffset val="100"/>
        <c:baseTimeUnit val="days"/>
      </c:dateAx>
      <c:valAx>
        <c:axId val="1189570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570000"/>
        <c:crosses val="autoZero"/>
        <c:crossBetween val="between"/>
      </c:valAx>
      <c:spPr>
        <a:noFill/>
        <a:ln>
          <a:noFill/>
        </a:ln>
        <a:effectLst/>
      </c:spPr>
    </c:plotArea>
    <c:legend>
      <c:legendPos val="r"/>
      <c:layout>
        <c:manualLayout>
          <c:xMode val="edge"/>
          <c:yMode val="edge"/>
          <c:x val="0.70073316002007846"/>
          <c:y val="9.6377530228680564E-2"/>
          <c:w val="0.28808260939213587"/>
          <c:h val="9.8582208391755535E-2"/>
        </c:manualLayout>
      </c:layout>
      <c:overlay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 /><Relationship Id="rId7" Type="http://schemas.openxmlformats.org/officeDocument/2006/relationships/chart" Target="../charts/chart5.xml" /><Relationship Id="rId2" Type="http://schemas.openxmlformats.org/officeDocument/2006/relationships/hyperlink" Target="https://www.linkedin.com/in/mihir01/" TargetMode="External" /><Relationship Id="rId1" Type="http://schemas.openxmlformats.org/officeDocument/2006/relationships/chart" Target="../charts/chart1.xml" /><Relationship Id="rId6" Type="http://schemas.openxmlformats.org/officeDocument/2006/relationships/chart" Target="../charts/chart4.xml" /><Relationship Id="rId5" Type="http://schemas.openxmlformats.org/officeDocument/2006/relationships/chart" Target="../charts/chart3.xml" /><Relationship Id="rId4" Type="http://schemas.openxmlformats.org/officeDocument/2006/relationships/chart" Target="../charts/chart2.xml" /></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 /><Relationship Id="rId2" Type="http://schemas.openxmlformats.org/officeDocument/2006/relationships/chart" Target="../charts/chart7.xml" /><Relationship Id="rId1" Type="http://schemas.openxmlformats.org/officeDocument/2006/relationships/chart" Target="../charts/chart6.xml" /></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 /><Relationship Id="rId1" Type="http://schemas.openxmlformats.org/officeDocument/2006/relationships/chart" Target="../charts/chart9.xml" /></Relationships>
</file>

<file path=xl/drawings/drawing1.xml><?xml version="1.0" encoding="utf-8"?>
<xdr:wsDr xmlns:xdr="http://schemas.openxmlformats.org/drawingml/2006/spreadsheetDrawing" xmlns:a="http://schemas.openxmlformats.org/drawingml/2006/main">
  <xdr:twoCellAnchor>
    <xdr:from>
      <xdr:col>18</xdr:col>
      <xdr:colOff>47625</xdr:colOff>
      <xdr:row>2</xdr:row>
      <xdr:rowOff>209551</xdr:rowOff>
    </xdr:from>
    <xdr:to>
      <xdr:col>30</xdr:col>
      <xdr:colOff>628650</xdr:colOff>
      <xdr:row>22</xdr:row>
      <xdr:rowOff>190501</xdr:rowOff>
    </xdr:to>
    <xdr:graphicFrame macro="">
      <xdr:nvGraphicFramePr>
        <xdr:cNvPr id="2" name="Chart 1">
          <a:extLst>
            <a:ext uri="{FF2B5EF4-FFF2-40B4-BE49-F238E27FC236}">
              <a16:creationId xmlns:a16="http://schemas.microsoft.com/office/drawing/2014/main" id="{E70FFE21-9A5C-EA86-316F-517E781D6E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400050</xdr:colOff>
      <xdr:row>13</xdr:row>
      <xdr:rowOff>28575</xdr:rowOff>
    </xdr:from>
    <xdr:to>
      <xdr:col>7</xdr:col>
      <xdr:colOff>38405</xdr:colOff>
      <xdr:row>14</xdr:row>
      <xdr:rowOff>38100</xdr:rowOff>
    </xdr:to>
    <xdr:pic>
      <xdr:nvPicPr>
        <xdr:cNvPr id="4" name="Picture 3">
          <a:hlinkClick xmlns:r="http://schemas.openxmlformats.org/officeDocument/2006/relationships" r:id="rId2"/>
          <a:extLst>
            <a:ext uri="{FF2B5EF4-FFF2-40B4-BE49-F238E27FC236}">
              <a16:creationId xmlns:a16="http://schemas.microsoft.com/office/drawing/2014/main" id="{FD53A92A-84BF-3976-98AA-368D44AFE6B3}"/>
            </a:ext>
          </a:extLst>
        </xdr:cNvPr>
        <xdr:cNvPicPr>
          <a:picLocks noChangeAspect="1"/>
        </xdr:cNvPicPr>
      </xdr:nvPicPr>
      <xdr:blipFill>
        <a:blip xmlns:r="http://schemas.openxmlformats.org/officeDocument/2006/relationships" r:embed="rId3"/>
        <a:stretch>
          <a:fillRect/>
        </a:stretch>
      </xdr:blipFill>
      <xdr:spPr>
        <a:xfrm>
          <a:off x="3095625" y="2181225"/>
          <a:ext cx="286055" cy="238125"/>
        </a:xfrm>
        <a:prstGeom prst="rect">
          <a:avLst/>
        </a:prstGeom>
      </xdr:spPr>
    </xdr:pic>
    <xdr:clientData/>
  </xdr:twoCellAnchor>
  <xdr:twoCellAnchor>
    <xdr:from>
      <xdr:col>7</xdr:col>
      <xdr:colOff>112059</xdr:colOff>
      <xdr:row>12</xdr:row>
      <xdr:rowOff>28574</xdr:rowOff>
    </xdr:from>
    <xdr:to>
      <xdr:col>16</xdr:col>
      <xdr:colOff>0</xdr:colOff>
      <xdr:row>17</xdr:row>
      <xdr:rowOff>47624</xdr:rowOff>
    </xdr:to>
    <xdr:sp macro="" textlink="">
      <xdr:nvSpPr>
        <xdr:cNvPr id="5" name="TextBox 4">
          <a:extLst>
            <a:ext uri="{FF2B5EF4-FFF2-40B4-BE49-F238E27FC236}">
              <a16:creationId xmlns:a16="http://schemas.microsoft.com/office/drawing/2014/main" id="{9DDD3B55-FE18-638B-57ED-5C676FE6708D}"/>
            </a:ext>
          </a:extLst>
        </xdr:cNvPr>
        <xdr:cNvSpPr txBox="1"/>
      </xdr:nvSpPr>
      <xdr:spPr>
        <a:xfrm>
          <a:off x="3468221" y="2062442"/>
          <a:ext cx="5322794" cy="9827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sng" kern="1200"/>
            <a:t>Color Coding: </a:t>
          </a:r>
          <a:r>
            <a:rPr lang="en-US" sz="1100" b="0" i="0" u="none" kern="1200" baseline="0">
              <a:solidFill>
                <a:srgbClr val="0000CC"/>
              </a:solidFill>
            </a:rPr>
            <a:t>Blue: Typed Inputs and Assumptions, </a:t>
          </a:r>
          <a:r>
            <a:rPr lang="en-US" sz="1100" b="0" i="0" u="none" kern="1200" baseline="0"/>
            <a:t>Black: Historic numbers and Formulas.</a:t>
          </a:r>
        </a:p>
        <a:p>
          <a:r>
            <a:rPr lang="en-US" sz="1100" b="0" i="0" u="none" kern="1200" baseline="0"/>
            <a:t> </a:t>
          </a:r>
          <a:r>
            <a:rPr lang="en-US" sz="1100" b="1" i="1" u="sng" kern="1200" baseline="0"/>
            <a:t> </a:t>
          </a:r>
          <a:endParaRPr lang="en-US" sz="1100" b="1" i="1" u="sng" kern="1200"/>
        </a:p>
        <a:p>
          <a:pPr algn="l"/>
          <a:r>
            <a:rPr lang="en-US" sz="1500" b="1">
              <a:solidFill>
                <a:srgbClr val="C00000"/>
              </a:solidFill>
            </a:rPr>
            <a:t>Before reviewing the model, I recommend reading the Model Guide to understand its structure and navigation.</a:t>
          </a:r>
          <a:endParaRPr lang="en-US" sz="1500" b="1" i="1" u="sng" kern="1200">
            <a:solidFill>
              <a:srgbClr val="C00000"/>
            </a:solidFill>
          </a:endParaRPr>
        </a:p>
      </xdr:txBody>
    </xdr:sp>
    <xdr:clientData/>
  </xdr:twoCellAnchor>
  <xdr:twoCellAnchor>
    <xdr:from>
      <xdr:col>33</xdr:col>
      <xdr:colOff>28574</xdr:colOff>
      <xdr:row>3</xdr:row>
      <xdr:rowOff>28573</xdr:rowOff>
    </xdr:from>
    <xdr:to>
      <xdr:col>45</xdr:col>
      <xdr:colOff>600075</xdr:colOff>
      <xdr:row>22</xdr:row>
      <xdr:rowOff>171450</xdr:rowOff>
    </xdr:to>
    <xdr:graphicFrame macro="">
      <xdr:nvGraphicFramePr>
        <xdr:cNvPr id="3" name="Chart 2">
          <a:extLst>
            <a:ext uri="{FF2B5EF4-FFF2-40B4-BE49-F238E27FC236}">
              <a16:creationId xmlns:a16="http://schemas.microsoft.com/office/drawing/2014/main" id="{A5F555B2-AF0A-4D60-10F0-7F9B68A8E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23812</xdr:colOff>
      <xdr:row>24</xdr:row>
      <xdr:rowOff>28576</xdr:rowOff>
    </xdr:from>
    <xdr:to>
      <xdr:col>30</xdr:col>
      <xdr:colOff>604025</xdr:colOff>
      <xdr:row>39</xdr:row>
      <xdr:rowOff>204788</xdr:rowOff>
    </xdr:to>
    <xdr:graphicFrame macro="">
      <xdr:nvGraphicFramePr>
        <xdr:cNvPr id="7" name="Chart 6">
          <a:extLst>
            <a:ext uri="{FF2B5EF4-FFF2-40B4-BE49-F238E27FC236}">
              <a16:creationId xmlns:a16="http://schemas.microsoft.com/office/drawing/2014/main" id="{BC6545F4-CDE4-4D79-B9D2-4847FE96C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200945</xdr:colOff>
      <xdr:row>18</xdr:row>
      <xdr:rowOff>51126</xdr:rowOff>
    </xdr:from>
    <xdr:to>
      <xdr:col>16</xdr:col>
      <xdr:colOff>61556</xdr:colOff>
      <xdr:row>29</xdr:row>
      <xdr:rowOff>22086</xdr:rowOff>
    </xdr:to>
    <xdr:graphicFrame macro="">
      <xdr:nvGraphicFramePr>
        <xdr:cNvPr id="8" name="Chart 7">
          <a:extLst>
            <a:ext uri="{FF2B5EF4-FFF2-40B4-BE49-F238E27FC236}">
              <a16:creationId xmlns:a16="http://schemas.microsoft.com/office/drawing/2014/main" id="{8B0E3422-016B-433B-B5F0-7B715F1EA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50427</xdr:colOff>
      <xdr:row>18</xdr:row>
      <xdr:rowOff>56029</xdr:rowOff>
    </xdr:from>
    <xdr:to>
      <xdr:col>9</xdr:col>
      <xdr:colOff>162486</xdr:colOff>
      <xdr:row>29</xdr:row>
      <xdr:rowOff>26989</xdr:rowOff>
    </xdr:to>
    <xdr:graphicFrame macro="">
      <xdr:nvGraphicFramePr>
        <xdr:cNvPr id="6" name="Chart 5">
          <a:extLst>
            <a:ext uri="{FF2B5EF4-FFF2-40B4-BE49-F238E27FC236}">
              <a16:creationId xmlns:a16="http://schemas.microsoft.com/office/drawing/2014/main" id="{2E19E520-A47C-4866-9BA9-D33B17485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50426</xdr:colOff>
      <xdr:row>29</xdr:row>
      <xdr:rowOff>67234</xdr:rowOff>
    </xdr:from>
    <xdr:to>
      <xdr:col>16</xdr:col>
      <xdr:colOff>50426</xdr:colOff>
      <xdr:row>43</xdr:row>
      <xdr:rowOff>207307</xdr:rowOff>
    </xdr:to>
    <xdr:sp macro="" textlink="">
      <xdr:nvSpPr>
        <xdr:cNvPr id="10" name="TextBox 9">
          <a:extLst>
            <a:ext uri="{FF2B5EF4-FFF2-40B4-BE49-F238E27FC236}">
              <a16:creationId xmlns:a16="http://schemas.microsoft.com/office/drawing/2014/main" id="{32FB7FA3-898A-C78C-E92D-89036C6C3BAC}"/>
            </a:ext>
          </a:extLst>
        </xdr:cNvPr>
        <xdr:cNvSpPr txBox="1"/>
      </xdr:nvSpPr>
      <xdr:spPr>
        <a:xfrm>
          <a:off x="100853" y="5675779"/>
          <a:ext cx="8740588" cy="335616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fontAlgn="ctr"/>
          <a:r>
            <a:rPr lang="en-US" sz="1100" b="1">
              <a:solidFill>
                <a:schemeClr val="dk1"/>
              </a:solidFill>
              <a:effectLst/>
              <a:latin typeface="+mn-lt"/>
              <a:ea typeface="+mn-ea"/>
              <a:cs typeface="+mn-cs"/>
            </a:rPr>
            <a:t>Sheet Summaries: Each sheet includes a summary of yearly projections, with quarterly numbers starting in column R.</a:t>
          </a:r>
          <a:endParaRPr lang="en-US" sz="1100">
            <a:solidFill>
              <a:schemeClr val="dk1"/>
            </a:solidFill>
            <a:effectLst/>
            <a:latin typeface="+mn-lt"/>
            <a:ea typeface="+mn-ea"/>
            <a:cs typeface="+mn-cs"/>
          </a:endParaRPr>
        </a:p>
        <a:p>
          <a:pPr rtl="0" fontAlgn="ctr"/>
          <a:r>
            <a:rPr lang="en-US" sz="1100" b="1">
              <a:solidFill>
                <a:schemeClr val="dk1"/>
              </a:solidFill>
              <a:effectLst/>
              <a:latin typeface="+mn-lt"/>
              <a:ea typeface="+mn-ea"/>
              <a:cs typeface="+mn-cs"/>
            </a:rPr>
            <a:t>Revenue Build:</a:t>
          </a:r>
        </a:p>
        <a:p>
          <a:pPr marL="628650" lvl="1" indent="-171450" rtl="0" fontAlgn="ctr">
            <a:buFont typeface="Arial" panose="020B0604020202020204" pitchFamily="34" charset="0"/>
            <a:buChar char="•"/>
          </a:pPr>
          <a:r>
            <a:rPr lang="en-US" sz="1100">
              <a:solidFill>
                <a:schemeClr val="dk1"/>
              </a:solidFill>
              <a:effectLst/>
              <a:latin typeface="+mn-lt"/>
              <a:ea typeface="+mn-ea"/>
              <a:cs typeface="+mn-cs"/>
            </a:rPr>
            <a:t>The model begins with a revenue breakdown and margin assumptions that flow into the income statement.</a:t>
          </a:r>
        </a:p>
        <a:p>
          <a:pPr rtl="0" fontAlgn="ctr"/>
          <a:r>
            <a:rPr lang="en-US" sz="1100" b="1">
              <a:solidFill>
                <a:schemeClr val="dk1"/>
              </a:solidFill>
              <a:effectLst/>
              <a:latin typeface="+mn-lt"/>
              <a:ea typeface="+mn-ea"/>
              <a:cs typeface="+mn-cs"/>
            </a:rPr>
            <a:t>Income Statement:</a:t>
          </a:r>
        </a:p>
        <a:p>
          <a:pPr marL="628650" lvl="1" indent="-171450" rtl="0" fontAlgn="ctr">
            <a:buFont typeface="Arial" panose="020B0604020202020204" pitchFamily="34" charset="0"/>
            <a:buChar char="•"/>
          </a:pPr>
          <a:r>
            <a:rPr lang="en-US" sz="1100">
              <a:solidFill>
                <a:schemeClr val="dk1"/>
              </a:solidFill>
              <a:effectLst/>
              <a:latin typeface="+mn-lt"/>
              <a:ea typeface="+mn-ea"/>
              <a:cs typeface="+mn-cs"/>
            </a:rPr>
            <a:t>The income statement includes adjustments for capitalized operating leases and is not GAAP-compliant. Detailed growth rates and expenses as a percentage of revenue are analyzed on pages 2 and 3.</a:t>
          </a:r>
        </a:p>
        <a:p>
          <a:pPr rtl="0" fontAlgn="ctr"/>
          <a:r>
            <a:rPr lang="en-US" sz="1100" b="1">
              <a:solidFill>
                <a:schemeClr val="dk1"/>
              </a:solidFill>
              <a:effectLst/>
              <a:latin typeface="+mn-lt"/>
              <a:ea typeface="+mn-ea"/>
              <a:cs typeface="+mn-cs"/>
            </a:rPr>
            <a:t>Balance Sheet:</a:t>
          </a:r>
          <a:endParaRPr lang="en-US" sz="1100">
            <a:solidFill>
              <a:schemeClr val="dk1"/>
            </a:solidFill>
            <a:effectLst/>
            <a:latin typeface="+mn-lt"/>
            <a:ea typeface="+mn-ea"/>
            <a:cs typeface="+mn-cs"/>
          </a:endParaRPr>
        </a:p>
        <a:p>
          <a:pPr marL="628650" lvl="1" indent="-171450" rtl="0" fontAlgn="ctr">
            <a:buFont typeface="Arial" panose="020B0604020202020204" pitchFamily="34" charset="0"/>
            <a:buChar char="•"/>
          </a:pPr>
          <a:r>
            <a:rPr lang="en-US" sz="1100" b="1">
              <a:solidFill>
                <a:schemeClr val="dk1"/>
              </a:solidFill>
              <a:effectLst/>
              <a:latin typeface="+mn-lt"/>
              <a:ea typeface="+mn-ea"/>
              <a:cs typeface="+mn-cs"/>
            </a:rPr>
            <a:t>Iterative calculations must remain on </a:t>
          </a:r>
          <a:r>
            <a:rPr lang="en-US" sz="1100">
              <a:solidFill>
                <a:schemeClr val="dk1"/>
              </a:solidFill>
              <a:effectLst/>
              <a:latin typeface="+mn-lt"/>
              <a:ea typeface="+mn-ea"/>
              <a:cs typeface="+mn-cs"/>
            </a:rPr>
            <a:t>for cash balance projections, as I’ve applied a shortcut method learned in financial modeling class.</a:t>
          </a:r>
        </a:p>
        <a:p>
          <a:pPr marL="628650" lvl="1" indent="-171450" rtl="0" fontAlgn="ctr">
            <a:buFont typeface="Arial" panose="020B0604020202020204" pitchFamily="34" charset="0"/>
            <a:buChar char="•"/>
          </a:pPr>
          <a:r>
            <a:rPr lang="en-US" sz="1100">
              <a:solidFill>
                <a:schemeClr val="dk1"/>
              </a:solidFill>
              <a:effectLst/>
              <a:latin typeface="+mn-lt"/>
              <a:ea typeface="+mn-ea"/>
              <a:cs typeface="+mn-cs"/>
            </a:rPr>
            <a:t>Page 2 provides a breakdown of stockholders’ equity and share counts.</a:t>
          </a:r>
        </a:p>
        <a:p>
          <a:pPr marL="628650" lvl="1" indent="-171450" rtl="0" fontAlgn="ctr">
            <a:buFont typeface="Arial" panose="020B0604020202020204" pitchFamily="34" charset="0"/>
            <a:buChar char="•"/>
          </a:pPr>
          <a:r>
            <a:rPr lang="en-US" sz="1100">
              <a:solidFill>
                <a:schemeClr val="dk1"/>
              </a:solidFill>
              <a:effectLst/>
              <a:latin typeface="+mn-lt"/>
              <a:ea typeface="+mn-ea"/>
              <a:cs typeface="+mn-cs"/>
            </a:rPr>
            <a:t>Page 3 includes key assumptions and analysis.</a:t>
          </a:r>
        </a:p>
        <a:p>
          <a:pPr marL="628650" lvl="1" indent="-171450" rtl="0" fontAlgn="ctr">
            <a:buFont typeface="Arial" panose="020B0604020202020204" pitchFamily="34" charset="0"/>
            <a:buChar char="•"/>
          </a:pPr>
          <a:r>
            <a:rPr lang="en-US" sz="1100">
              <a:solidFill>
                <a:schemeClr val="dk1"/>
              </a:solidFill>
              <a:effectLst/>
              <a:latin typeface="+mn-lt"/>
              <a:ea typeface="+mn-ea"/>
              <a:cs typeface="+mn-cs"/>
            </a:rPr>
            <a:t>Pages 5–6 analyze CAPEX.</a:t>
          </a:r>
        </a:p>
        <a:p>
          <a:pPr marL="628650" lvl="1" indent="-171450" rtl="0" fontAlgn="ctr">
            <a:buFont typeface="Arial" panose="020B0604020202020204" pitchFamily="34" charset="0"/>
            <a:buChar char="•"/>
          </a:pPr>
          <a:r>
            <a:rPr lang="en-US" sz="1100">
              <a:solidFill>
                <a:schemeClr val="dk1"/>
              </a:solidFill>
              <a:effectLst/>
              <a:latin typeface="+mn-lt"/>
              <a:ea typeface="+mn-ea"/>
              <a:cs typeface="+mn-cs"/>
            </a:rPr>
            <a:t>Page 6 also outlines assumptions regarding the company’s long-term capital structure.</a:t>
          </a:r>
        </a:p>
        <a:p>
          <a:pPr rtl="0" fontAlgn="ctr"/>
          <a:r>
            <a:rPr lang="en-US" sz="1100" b="1">
              <a:solidFill>
                <a:schemeClr val="dk1"/>
              </a:solidFill>
              <a:effectLst/>
              <a:latin typeface="+mn-lt"/>
              <a:ea typeface="+mn-ea"/>
              <a:cs typeface="+mn-cs"/>
            </a:rPr>
            <a:t>Invested Capital Statement:</a:t>
          </a:r>
          <a:endParaRPr lang="en-US" sz="1100">
            <a:solidFill>
              <a:schemeClr val="dk1"/>
            </a:solidFill>
            <a:effectLst/>
            <a:latin typeface="+mn-lt"/>
            <a:ea typeface="+mn-ea"/>
            <a:cs typeface="+mn-cs"/>
          </a:endParaRPr>
        </a:p>
        <a:p>
          <a:pPr marL="628650" lvl="1" indent="-171450" rtl="0" fontAlgn="ctr">
            <a:buFont typeface="Arial" panose="020B0604020202020204" pitchFamily="34" charset="0"/>
            <a:buChar char="•"/>
          </a:pPr>
          <a:r>
            <a:rPr lang="en-US" sz="1100">
              <a:solidFill>
                <a:schemeClr val="dk1"/>
              </a:solidFill>
              <a:effectLst/>
              <a:latin typeface="+mn-lt"/>
              <a:ea typeface="+mn-ea"/>
              <a:cs typeface="+mn-cs"/>
            </a:rPr>
            <a:t>Derived entirely from the balance sheet without embedded assumptions, used purely for analysis purposes.</a:t>
          </a:r>
        </a:p>
        <a:p>
          <a:pPr rtl="0" fontAlgn="ctr"/>
          <a:r>
            <a:rPr lang="en-US" sz="1100" b="1">
              <a:solidFill>
                <a:schemeClr val="dk1"/>
              </a:solidFill>
              <a:effectLst/>
              <a:latin typeface="+mn-lt"/>
              <a:ea typeface="+mn-ea"/>
              <a:cs typeface="+mn-cs"/>
            </a:rPr>
            <a:t>WACC and Capital Structure:</a:t>
          </a:r>
          <a:endParaRPr lang="en-US" sz="1100">
            <a:solidFill>
              <a:schemeClr val="dk1"/>
            </a:solidFill>
            <a:effectLst/>
            <a:latin typeface="+mn-lt"/>
            <a:ea typeface="+mn-ea"/>
            <a:cs typeface="+mn-cs"/>
          </a:endParaRPr>
        </a:p>
        <a:p>
          <a:pPr marL="628650" lvl="1" indent="-171450" rtl="0" fontAlgn="ctr">
            <a:buFont typeface="Arial" panose="020B0604020202020204" pitchFamily="34" charset="0"/>
            <a:buChar char="•"/>
          </a:pPr>
          <a:r>
            <a:rPr lang="en-US" sz="1100">
              <a:solidFill>
                <a:schemeClr val="dk1"/>
              </a:solidFill>
              <a:effectLst/>
              <a:latin typeface="+mn-lt"/>
              <a:ea typeface="+mn-ea"/>
              <a:cs typeface="+mn-cs"/>
            </a:rPr>
            <a:t>Contains assumptions for weighted average cost of capital (WACC) and capital structure weights.</a:t>
          </a:r>
        </a:p>
        <a:p>
          <a:pPr marL="628650" lvl="1" indent="-171450" rtl="0" fontAlgn="ctr">
            <a:buFont typeface="Arial" panose="020B0604020202020204" pitchFamily="34" charset="0"/>
            <a:buChar char="•"/>
          </a:pPr>
          <a:r>
            <a:rPr lang="en-US" sz="1100">
              <a:solidFill>
                <a:schemeClr val="dk1"/>
              </a:solidFill>
              <a:effectLst/>
              <a:latin typeface="+mn-lt"/>
              <a:ea typeface="+mn-ea"/>
              <a:cs typeface="+mn-cs"/>
            </a:rPr>
            <a:t>Target capital structure calculations are performed manually on pages 2–3 and referenced in the balance sheet (pages 5–6).</a:t>
          </a:r>
        </a:p>
        <a:p>
          <a:pPr rtl="0" fontAlgn="ctr"/>
          <a:r>
            <a:rPr lang="en-US" sz="1100" b="1">
              <a:solidFill>
                <a:schemeClr val="dk1"/>
              </a:solidFill>
              <a:effectLst/>
              <a:latin typeface="+mn-lt"/>
              <a:ea typeface="+mn-ea"/>
              <a:cs typeface="+mn-cs"/>
            </a:rPr>
            <a:t>Intrinsic Value Worksheet:</a:t>
          </a:r>
          <a:endParaRPr lang="en-US" sz="1100">
            <a:solidFill>
              <a:schemeClr val="dk1"/>
            </a:solidFill>
            <a:effectLst/>
            <a:latin typeface="+mn-lt"/>
            <a:ea typeface="+mn-ea"/>
            <a:cs typeface="+mn-cs"/>
          </a:endParaRPr>
        </a:p>
        <a:p>
          <a:pPr marL="628650" lvl="1" indent="-171450" rtl="0" fontAlgn="ctr">
            <a:buFont typeface="Arial" panose="020B0604020202020204" pitchFamily="34" charset="0"/>
            <a:buChar char="•"/>
          </a:pPr>
          <a:r>
            <a:rPr lang="en-US" sz="1100">
              <a:solidFill>
                <a:schemeClr val="dk1"/>
              </a:solidFill>
              <a:effectLst/>
              <a:latin typeface="+mn-lt"/>
              <a:ea typeface="+mn-ea"/>
              <a:cs typeface="+mn-cs"/>
            </a:rPr>
            <a:t>Features a decay period, long-term growth, steady-state growth, and discounting to derive the DCF share value.</a:t>
          </a:r>
        </a:p>
        <a:p>
          <a:endParaRPr lang="en-US" sz="1100" kern="1200"/>
        </a:p>
      </xdr:txBody>
    </xdr:sp>
    <xdr:clientData/>
  </xdr:twoCellAnchor>
  <xdr:twoCellAnchor>
    <xdr:from>
      <xdr:col>18</xdr:col>
      <xdr:colOff>19843</xdr:colOff>
      <xdr:row>2</xdr:row>
      <xdr:rowOff>46300</xdr:rowOff>
    </xdr:from>
    <xdr:to>
      <xdr:col>31</xdr:col>
      <xdr:colOff>19843</xdr:colOff>
      <xdr:row>22</xdr:row>
      <xdr:rowOff>145520</xdr:rowOff>
    </xdr:to>
    <xdr:sp macro="" textlink="">
      <xdr:nvSpPr>
        <xdr:cNvPr id="9" name="TextBox 8">
          <a:extLst>
            <a:ext uri="{FF2B5EF4-FFF2-40B4-BE49-F238E27FC236}">
              <a16:creationId xmlns:a16="http://schemas.microsoft.com/office/drawing/2014/main" id="{8D2EA411-D814-0A55-B2D2-127379094781}"/>
            </a:ext>
          </a:extLst>
        </xdr:cNvPr>
        <xdr:cNvSpPr txBox="1"/>
      </xdr:nvSpPr>
      <xdr:spPr>
        <a:xfrm>
          <a:off x="8923072" y="99217"/>
          <a:ext cx="8426979" cy="40745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u="none">
              <a:solidFill>
                <a:schemeClr val="dk1"/>
              </a:solidFill>
              <a:effectLst/>
              <a:latin typeface="+mn-lt"/>
              <a:ea typeface="+mn-ea"/>
              <a:cs typeface="+mn-cs"/>
            </a:rPr>
            <a:t>Value = f(Estimate)</a:t>
          </a:r>
          <a:r>
            <a:rPr lang="en-US" sz="1400" b="1" i="1" u="none" baseline="0">
              <a:solidFill>
                <a:schemeClr val="dk1"/>
              </a:solidFill>
              <a:effectLst/>
              <a:latin typeface="+mn-lt"/>
              <a:ea typeface="+mn-ea"/>
              <a:cs typeface="+mn-cs"/>
            </a:rPr>
            <a:t> </a:t>
          </a:r>
          <a:r>
            <a:rPr lang="en-US" sz="1400" b="0" i="1" u="none" baseline="0">
              <a:solidFill>
                <a:schemeClr val="dk1"/>
              </a:solidFill>
              <a:effectLst/>
              <a:latin typeface="+mn-lt"/>
              <a:ea typeface="+mn-ea"/>
              <a:cs typeface="+mn-cs"/>
            </a:rPr>
            <a:t>where estimate is always wrong </a:t>
          </a:r>
        </a:p>
        <a:p>
          <a:endParaRPr lang="en-US" sz="1400" b="0" i="1" u="none">
            <a:solidFill>
              <a:schemeClr val="dk1"/>
            </a:solidFill>
            <a:effectLst/>
            <a:latin typeface="+mn-lt"/>
            <a:ea typeface="+mn-ea"/>
            <a:cs typeface="+mn-cs"/>
          </a:endParaRPr>
        </a:p>
        <a:p>
          <a:r>
            <a:rPr lang="en-US" sz="1400" b="1" u="sng">
              <a:solidFill>
                <a:schemeClr val="dk1"/>
              </a:solidFill>
              <a:effectLst/>
              <a:latin typeface="+mn-lt"/>
              <a:ea typeface="+mn-ea"/>
              <a:cs typeface="+mn-cs"/>
            </a:rPr>
            <a:t>Assumptions</a:t>
          </a:r>
          <a:r>
            <a:rPr lang="en-US" sz="1400" b="1" u="sng" baseline="0">
              <a:solidFill>
                <a:schemeClr val="dk1"/>
              </a:solidFill>
              <a:effectLst/>
              <a:latin typeface="+mn-lt"/>
              <a:ea typeface="+mn-ea"/>
              <a:cs typeface="+mn-cs"/>
            </a:rPr>
            <a:t>: </a:t>
          </a:r>
          <a:endParaRPr lang="en-US" sz="1400" b="1" u="sng">
            <a:solidFill>
              <a:schemeClr val="dk1"/>
            </a:solidFill>
            <a:effectLst/>
            <a:latin typeface="+mn-lt"/>
            <a:ea typeface="+mn-ea"/>
            <a:cs typeface="+mn-cs"/>
          </a:endParaRPr>
        </a:p>
        <a:p>
          <a:r>
            <a:rPr lang="en-US" sz="1400">
              <a:solidFill>
                <a:schemeClr val="dk1"/>
              </a:solidFill>
              <a:effectLst/>
              <a:latin typeface="+mn-lt"/>
              <a:ea typeface="+mn-ea"/>
              <a:cs typeface="+mn-cs"/>
            </a:rPr>
            <a:t>I have reevaluated some of my assumptions and adjusted the </a:t>
          </a:r>
          <a:r>
            <a:rPr lang="en-US" sz="1400" b="1">
              <a:solidFill>
                <a:schemeClr val="dk1"/>
              </a:solidFill>
              <a:effectLst/>
              <a:latin typeface="+mn-lt"/>
              <a:ea typeface="+mn-ea"/>
              <a:cs typeface="+mn-cs"/>
            </a:rPr>
            <a:t>bear case </a:t>
          </a:r>
          <a:r>
            <a:rPr lang="en-US" sz="1400">
              <a:solidFill>
                <a:schemeClr val="dk1"/>
              </a:solidFill>
              <a:effectLst/>
              <a:latin typeface="+mn-lt"/>
              <a:ea typeface="+mn-ea"/>
              <a:cs typeface="+mn-cs"/>
            </a:rPr>
            <a:t>to reflect a more challenging scenario. This includes modeling competitive intensities, pricing pressures, tonnage declines, and shipment increases. I made these changes to stress-test the model, as increased competition and a shift towards more so-called retail freight could pressure prices and tonnage while increasing the number of shipments.</a:t>
          </a:r>
        </a:p>
        <a:p>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The </a:t>
          </a:r>
          <a:r>
            <a:rPr lang="en-US" sz="1400" b="1">
              <a:solidFill>
                <a:schemeClr val="dk1"/>
              </a:solidFill>
              <a:effectLst/>
              <a:latin typeface="+mn-lt"/>
              <a:ea typeface="+mn-ea"/>
              <a:cs typeface="+mn-cs"/>
            </a:rPr>
            <a:t>bull and base cases </a:t>
          </a:r>
          <a:r>
            <a:rPr lang="en-US" sz="1400">
              <a:solidFill>
                <a:schemeClr val="dk1"/>
              </a:solidFill>
              <a:effectLst/>
              <a:latin typeface="+mn-lt"/>
              <a:ea typeface="+mn-ea"/>
              <a:cs typeface="+mn-cs"/>
            </a:rPr>
            <a:t>present opportunities for margin expansion, given the current level of investments and the company’s strong track record. I believe this is achievable as the freight environment begins to improve for the LTL business.</a:t>
          </a:r>
        </a:p>
        <a:p>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Additionally,</a:t>
          </a:r>
          <a:r>
            <a:rPr lang="en-US" sz="1400" b="1">
              <a:solidFill>
                <a:schemeClr val="dk1"/>
              </a:solidFill>
              <a:effectLst/>
              <a:latin typeface="+mn-lt"/>
              <a:ea typeface="+mn-ea"/>
              <a:cs typeface="+mn-cs"/>
            </a:rPr>
            <a:t> I modeled different capital structures for each case to reflect varying levels of leverage and flexibility based on the underlying assumptions and scenarios.</a:t>
          </a:r>
        </a:p>
        <a:p>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Finally, for all three cases, I modeled revenue growth starting in 2027. This reflects the time required for the elevated investments to become lucrative and for customers to become aware of the company’s broader footprint and improved service quality.</a:t>
          </a:r>
        </a:p>
        <a:p>
          <a:endParaRPr lang="en-US"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476249</xdr:colOff>
      <xdr:row>172</xdr:row>
      <xdr:rowOff>161925</xdr:rowOff>
    </xdr:from>
    <xdr:to>
      <xdr:col>10</xdr:col>
      <xdr:colOff>647699</xdr:colOff>
      <xdr:row>188</xdr:row>
      <xdr:rowOff>9525</xdr:rowOff>
    </xdr:to>
    <xdr:graphicFrame macro="">
      <xdr:nvGraphicFramePr>
        <xdr:cNvPr id="2" name="Chart 1">
          <a:extLst>
            <a:ext uri="{FF2B5EF4-FFF2-40B4-BE49-F238E27FC236}">
              <a16:creationId xmlns:a16="http://schemas.microsoft.com/office/drawing/2014/main" id="{13B24F6F-A614-2903-C897-438A2F78A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209556</xdr:colOff>
      <xdr:row>173</xdr:row>
      <xdr:rowOff>0</xdr:rowOff>
    </xdr:from>
    <xdr:to>
      <xdr:col>17</xdr:col>
      <xdr:colOff>1257306</xdr:colOff>
      <xdr:row>188</xdr:row>
      <xdr:rowOff>28575</xdr:rowOff>
    </xdr:to>
    <xdr:graphicFrame macro="">
      <xdr:nvGraphicFramePr>
        <xdr:cNvPr id="3" name="Chart 2">
          <a:extLst>
            <a:ext uri="{FF2B5EF4-FFF2-40B4-BE49-F238E27FC236}">
              <a16:creationId xmlns:a16="http://schemas.microsoft.com/office/drawing/2014/main" id="{44D08C72-8800-F1C6-A437-C0135E3EF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581024</xdr:colOff>
      <xdr:row>156</xdr:row>
      <xdr:rowOff>47625</xdr:rowOff>
    </xdr:from>
    <xdr:to>
      <xdr:col>43</xdr:col>
      <xdr:colOff>95249</xdr:colOff>
      <xdr:row>169</xdr:row>
      <xdr:rowOff>0</xdr:rowOff>
    </xdr:to>
    <xdr:graphicFrame macro="">
      <xdr:nvGraphicFramePr>
        <xdr:cNvPr id="4" name="Chart 3">
          <a:extLst>
            <a:ext uri="{FF2B5EF4-FFF2-40B4-BE49-F238E27FC236}">
              <a16:creationId xmlns:a16="http://schemas.microsoft.com/office/drawing/2014/main" id="{DBBFDE2D-979C-C955-A8DA-BFCF1995B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58</xdr:col>
      <xdr:colOff>28575</xdr:colOff>
      <xdr:row>8</xdr:row>
      <xdr:rowOff>123825</xdr:rowOff>
    </xdr:from>
    <xdr:to>
      <xdr:col>65</xdr:col>
      <xdr:colOff>590550</xdr:colOff>
      <xdr:row>17</xdr:row>
      <xdr:rowOff>85725</xdr:rowOff>
    </xdr:to>
    <xdr:sp macro="" textlink="">
      <xdr:nvSpPr>
        <xdr:cNvPr id="2" name="TextBox 1">
          <a:extLst>
            <a:ext uri="{FF2B5EF4-FFF2-40B4-BE49-F238E27FC236}">
              <a16:creationId xmlns:a16="http://schemas.microsoft.com/office/drawing/2014/main" id="{184E5CCF-B644-7FC9-5FA1-1D42DBD0CD00}"/>
            </a:ext>
          </a:extLst>
        </xdr:cNvPr>
        <xdr:cNvSpPr txBox="1"/>
      </xdr:nvSpPr>
      <xdr:spPr>
        <a:xfrm>
          <a:off x="16764000" y="1143000"/>
          <a:ext cx="5095875" cy="1419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Still a work in progress as I am creating everything from scratch. But the</a:t>
          </a:r>
          <a:r>
            <a:rPr lang="en-US" sz="1100" kern="1200" baseline="0"/>
            <a:t> model still works beacuse I make year end assumptions. </a:t>
          </a:r>
          <a:endParaRPr lang="en-US" sz="1100" kern="1200"/>
        </a:p>
      </xdr:txBody>
    </xdr:sp>
    <xdr:clientData/>
  </xdr:twoCellAnchor>
  <xdr:twoCellAnchor>
    <xdr:from>
      <xdr:col>10</xdr:col>
      <xdr:colOff>228600</xdr:colOff>
      <xdr:row>77</xdr:row>
      <xdr:rowOff>0</xdr:rowOff>
    </xdr:from>
    <xdr:to>
      <xdr:col>14</xdr:col>
      <xdr:colOff>428625</xdr:colOff>
      <xdr:row>79</xdr:row>
      <xdr:rowOff>123825</xdr:rowOff>
    </xdr:to>
    <xdr:sp macro="" textlink="">
      <xdr:nvSpPr>
        <xdr:cNvPr id="3" name="TextBox 2">
          <a:extLst>
            <a:ext uri="{FF2B5EF4-FFF2-40B4-BE49-F238E27FC236}">
              <a16:creationId xmlns:a16="http://schemas.microsoft.com/office/drawing/2014/main" id="{BDC39041-6691-9A6F-DDBF-086B56883DD2}"/>
            </a:ext>
          </a:extLst>
        </xdr:cNvPr>
        <xdr:cNvSpPr txBox="1"/>
      </xdr:nvSpPr>
      <xdr:spPr>
        <a:xfrm>
          <a:off x="8667750" y="13268325"/>
          <a:ext cx="3133725" cy="485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Calculations for setting</a:t>
          </a:r>
          <a:r>
            <a:rPr lang="en-US" sz="1100" kern="1200" baseline="0"/>
            <a:t> </a:t>
          </a:r>
          <a:r>
            <a:rPr lang="en-US" sz="1100" kern="1200"/>
            <a:t>capital structure are below this page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33</xdr:col>
      <xdr:colOff>438150</xdr:colOff>
      <xdr:row>24</xdr:row>
      <xdr:rowOff>19050</xdr:rowOff>
    </xdr:from>
    <xdr:to>
      <xdr:col>35</xdr:col>
      <xdr:colOff>57150</xdr:colOff>
      <xdr:row>33</xdr:row>
      <xdr:rowOff>152400</xdr:rowOff>
    </xdr:to>
    <xdr:sp macro="" textlink="">
      <xdr:nvSpPr>
        <xdr:cNvPr id="2" name="Arrow: Down 1">
          <a:extLst>
            <a:ext uri="{FF2B5EF4-FFF2-40B4-BE49-F238E27FC236}">
              <a16:creationId xmlns:a16="http://schemas.microsoft.com/office/drawing/2014/main" id="{0AD173AF-E262-EFA3-3DC3-4C61CFCA2EF1}"/>
            </a:ext>
          </a:extLst>
        </xdr:cNvPr>
        <xdr:cNvSpPr/>
      </xdr:nvSpPr>
      <xdr:spPr>
        <a:xfrm>
          <a:off x="17049750" y="3781425"/>
          <a:ext cx="914400" cy="1609725"/>
        </a:xfrm>
        <a:prstGeom prst="downArrow">
          <a:avLst/>
        </a:prstGeom>
        <a:solidFill>
          <a:srgbClr val="0000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104774</xdr:colOff>
      <xdr:row>9</xdr:row>
      <xdr:rowOff>0</xdr:rowOff>
    </xdr:from>
    <xdr:to>
      <xdr:col>13</xdr:col>
      <xdr:colOff>638175</xdr:colOff>
      <xdr:row>33</xdr:row>
      <xdr:rowOff>152399</xdr:rowOff>
    </xdr:to>
    <xdr:graphicFrame macro="">
      <xdr:nvGraphicFramePr>
        <xdr:cNvPr id="2" name="Chart 1">
          <a:extLst>
            <a:ext uri="{FF2B5EF4-FFF2-40B4-BE49-F238E27FC236}">
              <a16:creationId xmlns:a16="http://schemas.microsoft.com/office/drawing/2014/main" id="{AAADDE87-AE9E-4A86-E003-BDC31E19FD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19050</xdr:colOff>
      <xdr:row>8</xdr:row>
      <xdr:rowOff>171451</xdr:rowOff>
    </xdr:from>
    <xdr:to>
      <xdr:col>22</xdr:col>
      <xdr:colOff>457200</xdr:colOff>
      <xdr:row>33</xdr:row>
      <xdr:rowOff>152400</xdr:rowOff>
    </xdr:to>
    <xdr:graphicFrame macro="">
      <xdr:nvGraphicFramePr>
        <xdr:cNvPr id="4" name="Chart 3">
          <a:extLst>
            <a:ext uri="{FF2B5EF4-FFF2-40B4-BE49-F238E27FC236}">
              <a16:creationId xmlns:a16="http://schemas.microsoft.com/office/drawing/2014/main" id="{DB2C0BF8-D705-8161-B39A-9AE5FA8A71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180975</xdr:colOff>
      <xdr:row>2</xdr:row>
      <xdr:rowOff>133350</xdr:rowOff>
    </xdr:from>
    <xdr:to>
      <xdr:col>7</xdr:col>
      <xdr:colOff>676275</xdr:colOff>
      <xdr:row>4</xdr:row>
      <xdr:rowOff>28575</xdr:rowOff>
    </xdr:to>
    <xdr:sp macro="" textlink="">
      <xdr:nvSpPr>
        <xdr:cNvPr id="2" name="TextBox 1">
          <a:extLst>
            <a:ext uri="{FF2B5EF4-FFF2-40B4-BE49-F238E27FC236}">
              <a16:creationId xmlns:a16="http://schemas.microsoft.com/office/drawing/2014/main" id="{EADA3A0F-54D6-5017-4CD9-385C5C032B0B}"/>
            </a:ext>
          </a:extLst>
        </xdr:cNvPr>
        <xdr:cNvSpPr txBox="1"/>
      </xdr:nvSpPr>
      <xdr:spPr>
        <a:xfrm>
          <a:off x="3248025" y="180975"/>
          <a:ext cx="2695575"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Under Construction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 /></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3E9B3E5F-1381-4E6E-9424-7B6FBAF7E958}">
  <we:reference id="wa200003692" version="1.0.0.1" store="en-US" storeType="OMEX"/>
  <we:alternateReferences>
    <we:reference id="WA200003692" version="1.0.0.1" store="WA200003692"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hyperlink" Target="https://www.saia.com/about-us/investor-relations" TargetMode="External" /><Relationship Id="rId2" Type="http://schemas.openxmlformats.org/officeDocument/2006/relationships/hyperlink" Target="https://drive.google.com/file/d/1EeUsOoF9uGc-MOsrXvAYytXKSeSnEWhz/view?usp=sharing" TargetMode="External" /><Relationship Id="rId1" Type="http://schemas.openxmlformats.org/officeDocument/2006/relationships/hyperlink" Target="mailto:pate1392@umn.edu" TargetMode="External" /><Relationship Id="rId4" Type="http://schemas.openxmlformats.org/officeDocument/2006/relationships/drawing" Target="../drawings/drawing1.xml" /></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 /><Relationship Id="rId2" Type="http://schemas.openxmlformats.org/officeDocument/2006/relationships/vmlDrawing" Target="../drawings/vmlDrawing1.vml" /><Relationship Id="rId1" Type="http://schemas.openxmlformats.org/officeDocument/2006/relationships/printerSettings" Target="../printerSettings/printerSettings1.bin" /></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 /><Relationship Id="rId1" Type="http://schemas.openxmlformats.org/officeDocument/2006/relationships/vmlDrawing" Target="../drawings/vmlDrawing2.vml" /></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 /><Relationship Id="rId1" Type="http://schemas.openxmlformats.org/officeDocument/2006/relationships/vmlDrawing" Target="../drawings/vmlDrawing3.vml" /></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 /><Relationship Id="rId2" Type="http://schemas.openxmlformats.org/officeDocument/2006/relationships/drawing" Target="../drawings/drawing2.xml" /><Relationship Id="rId1" Type="http://schemas.openxmlformats.org/officeDocument/2006/relationships/printerSettings" Target="../printerSettings/printerSettings2.bin" /><Relationship Id="rId4" Type="http://schemas.openxmlformats.org/officeDocument/2006/relationships/comments" Target="../comments4.xml" /></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 /><Relationship Id="rId2" Type="http://schemas.openxmlformats.org/officeDocument/2006/relationships/drawing" Target="../drawings/drawing3.xml" /><Relationship Id="rId1" Type="http://schemas.openxmlformats.org/officeDocument/2006/relationships/printerSettings" Target="../printerSettings/printerSettings3.bin" /><Relationship Id="rId4" Type="http://schemas.openxmlformats.org/officeDocument/2006/relationships/comments" Target="../comments5.xml" /></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 /><Relationship Id="rId2" Type="http://schemas.openxmlformats.org/officeDocument/2006/relationships/vmlDrawing" Target="../drawings/vmlDrawing6.vml" /><Relationship Id="rId1" Type="http://schemas.openxmlformats.org/officeDocument/2006/relationships/drawing" Target="../drawings/drawing4.xml" /></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 /></Relationships>
</file>

<file path=xl/worksheets/_rels/sheet10.xml.rels><?xml version="1.0" encoding="UTF-8" standalone="yes"?>
<Relationships xmlns="http://schemas.openxmlformats.org/package/2006/relationships"><Relationship Id="rId3" Type="http://schemas.openxmlformats.org/officeDocument/2006/relationships/hyperlink" Target="https://pages.stern.nyu.edu/~adamodar/" TargetMode="External" /><Relationship Id="rId2" Type="http://schemas.openxmlformats.org/officeDocument/2006/relationships/hyperlink" Target="https://fred.stlouisfed.org/series/DGS10" TargetMode="External" /><Relationship Id="rId1" Type="http://schemas.openxmlformats.org/officeDocument/2006/relationships/hyperlink" Target="https://www.nasdaq.com/market-activity/stocks/saia/historical?page=1&amp;rows_per_page=10&amp;timeline=y10" TargetMode="External" /><Relationship Id="rId4" Type="http://schemas.openxmlformats.org/officeDocument/2006/relationships/drawing" Target="../drawings/drawing5.xml" /></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 /><Relationship Id="rId2" Type="http://schemas.openxmlformats.org/officeDocument/2006/relationships/vmlDrawing" Target="../drawings/vmlDrawing7.vml" /><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3DF3F-E8C7-4C07-8762-699A85EF9CFB}">
  <dimension ref="C1:AT45"/>
  <sheetViews>
    <sheetView showGridLines="0" tabSelected="1" zoomScale="72" workbookViewId="0">
      <selection activeCell="AH29" sqref="AH29"/>
    </sheetView>
  </sheetViews>
  <sheetFormatPr defaultRowHeight="15" x14ac:dyDescent="0.2"/>
  <cols>
    <col min="1" max="1" width="0.671875" customWidth="1"/>
    <col min="2" max="2" width="0.8046875" customWidth="1"/>
    <col min="8" max="8" width="4.5703125" customWidth="1"/>
    <col min="11" max="11" width="5.91796875" customWidth="1"/>
    <col min="14" max="15" width="10.625" customWidth="1"/>
    <col min="16" max="16" width="7.93359375" customWidth="1"/>
    <col min="17" max="18" width="0.94140625" customWidth="1"/>
    <col min="32" max="32" width="0.671875" customWidth="1"/>
    <col min="33" max="33" width="1.20703125" customWidth="1"/>
  </cols>
  <sheetData>
    <row r="1" spans="3:46" ht="3" customHeight="1" x14ac:dyDescent="0.2"/>
    <row r="2" spans="3:46" ht="1.1499999999999999" customHeight="1" thickBot="1" x14ac:dyDescent="0.25"/>
    <row r="3" spans="3:46" ht="18.75" x14ac:dyDescent="0.25">
      <c r="C3" s="76"/>
      <c r="D3" s="77"/>
      <c r="E3" s="77"/>
      <c r="F3" s="77"/>
      <c r="G3" s="77"/>
      <c r="H3" s="77"/>
      <c r="I3" s="77"/>
      <c r="J3" s="77"/>
      <c r="K3" s="77"/>
      <c r="L3" s="77"/>
      <c r="M3" s="77"/>
      <c r="N3" s="77"/>
      <c r="O3" s="77"/>
      <c r="P3" s="77"/>
      <c r="Q3" s="78"/>
      <c r="S3" s="84" t="str">
        <f>"Stock Price Chart for past "&amp;ROUND(YEARFRAC(Data!B39,Data!B1046),1)&amp;" Years:"</f>
        <v>Stock Price Chart for past 4 Years:</v>
      </c>
      <c r="T3" s="85"/>
      <c r="U3" s="85"/>
      <c r="V3" s="85"/>
      <c r="W3" s="85"/>
      <c r="X3" s="85"/>
      <c r="Y3" s="85"/>
      <c r="Z3" s="85"/>
      <c r="AA3" s="77"/>
      <c r="AB3" s="77"/>
      <c r="AC3" s="77"/>
      <c r="AD3" s="77"/>
      <c r="AE3" s="77"/>
      <c r="AF3" s="78"/>
      <c r="AH3" s="84" t="str">
        <f>"Risk Free Rate for past "&amp;ROUND(YEARFRAC(Data!Q2287,Data!Q1287),1)&amp;" Years:"</f>
        <v>Risk Free Rate for past 4 Years:</v>
      </c>
      <c r="AI3" s="77"/>
      <c r="AJ3" s="77"/>
      <c r="AK3" s="77"/>
      <c r="AL3" s="77"/>
      <c r="AM3" s="77"/>
      <c r="AN3" s="77"/>
      <c r="AO3" s="77"/>
      <c r="AP3" s="77"/>
      <c r="AQ3" s="77"/>
      <c r="AR3" s="77"/>
      <c r="AS3" s="77"/>
      <c r="AT3" s="78"/>
    </row>
    <row r="4" spans="3:46" ht="18.75" x14ac:dyDescent="0.25">
      <c r="C4" s="79" t="s">
        <v>52</v>
      </c>
      <c r="D4" s="68"/>
      <c r="E4" s="68"/>
      <c r="F4" s="1342" t="s">
        <v>50</v>
      </c>
      <c r="G4" s="1349"/>
      <c r="H4" s="1349"/>
      <c r="I4" s="1349"/>
      <c r="J4" s="1349"/>
      <c r="K4" s="1349"/>
      <c r="L4" s="1343"/>
      <c r="M4" s="92"/>
      <c r="N4" s="73" t="s">
        <v>65</v>
      </c>
      <c r="O4" s="1338" t="s">
        <v>66</v>
      </c>
      <c r="P4" s="1339"/>
      <c r="Q4" s="80"/>
      <c r="R4" s="68"/>
      <c r="S4" s="79"/>
      <c r="T4" s="68"/>
      <c r="U4" s="68"/>
      <c r="V4" s="68"/>
      <c r="W4" s="68"/>
      <c r="X4" s="68"/>
      <c r="Y4" s="68"/>
      <c r="Z4" s="68"/>
      <c r="AF4" s="86"/>
      <c r="AH4" s="91"/>
      <c r="AT4" s="86"/>
    </row>
    <row r="5" spans="3:46" ht="10.15" customHeight="1" x14ac:dyDescent="0.25">
      <c r="C5" s="79"/>
      <c r="D5" s="68"/>
      <c r="E5" s="68"/>
      <c r="F5" s="68"/>
      <c r="G5" s="68"/>
      <c r="H5" s="68"/>
      <c r="I5" s="68"/>
      <c r="J5" s="68"/>
      <c r="K5" s="68"/>
      <c r="L5" s="68"/>
      <c r="M5" s="68"/>
      <c r="N5" s="68"/>
      <c r="O5" s="68"/>
      <c r="P5" s="68"/>
      <c r="Q5" s="80"/>
      <c r="R5" s="68"/>
      <c r="S5" s="79"/>
      <c r="T5" s="68"/>
      <c r="U5" s="68"/>
      <c r="V5" s="68"/>
      <c r="W5" s="68"/>
      <c r="X5" s="68"/>
      <c r="Y5" s="68"/>
      <c r="Z5" s="68"/>
      <c r="AF5" s="86"/>
      <c r="AH5" s="91"/>
      <c r="AT5" s="86"/>
    </row>
    <row r="6" spans="3:46" ht="18.75" x14ac:dyDescent="0.25">
      <c r="C6" s="79" t="s">
        <v>53</v>
      </c>
      <c r="D6" s="68"/>
      <c r="E6" s="68"/>
      <c r="F6" s="1342" t="s">
        <v>51</v>
      </c>
      <c r="G6" s="1343"/>
      <c r="H6" s="68"/>
      <c r="I6" s="68"/>
      <c r="J6" s="73" t="s">
        <v>54</v>
      </c>
      <c r="K6" s="1340">
        <v>46022</v>
      </c>
      <c r="L6" s="1341"/>
      <c r="M6" s="68"/>
      <c r="N6" s="73" t="s">
        <v>55</v>
      </c>
      <c r="O6" s="1347" t="s">
        <v>56</v>
      </c>
      <c r="P6" s="1348"/>
      <c r="Q6" s="80"/>
      <c r="R6" s="68"/>
      <c r="S6" s="79"/>
      <c r="T6" s="68"/>
      <c r="U6" s="68"/>
      <c r="V6" s="68"/>
      <c r="W6" s="68"/>
      <c r="X6" s="68"/>
      <c r="Y6" s="68"/>
      <c r="Z6" s="68"/>
      <c r="AF6" s="86"/>
      <c r="AH6" s="91"/>
      <c r="AT6" s="86"/>
    </row>
    <row r="7" spans="3:46" ht="10.15" customHeight="1" x14ac:dyDescent="0.25">
      <c r="C7" s="79"/>
      <c r="D7" s="68"/>
      <c r="E7" s="68"/>
      <c r="F7" s="68"/>
      <c r="G7" s="68"/>
      <c r="H7" s="68"/>
      <c r="I7" s="68"/>
      <c r="J7" s="68"/>
      <c r="K7" s="68"/>
      <c r="L7" s="68"/>
      <c r="M7" s="68"/>
      <c r="N7" s="68"/>
      <c r="O7" s="68"/>
      <c r="P7" s="68"/>
      <c r="Q7" s="80"/>
      <c r="R7" s="68"/>
      <c r="S7" s="79"/>
      <c r="T7" s="68"/>
      <c r="U7" s="68"/>
      <c r="V7" s="68"/>
      <c r="W7" s="68"/>
      <c r="X7" s="68"/>
      <c r="Y7" s="68"/>
      <c r="Z7" s="68"/>
      <c r="AF7" s="86"/>
      <c r="AH7" s="91"/>
      <c r="AT7" s="86"/>
    </row>
    <row r="8" spans="3:46" ht="18.75" x14ac:dyDescent="0.25">
      <c r="C8" s="79" t="str">
        <f>Company_Ticker&amp;" DCF"</f>
        <v>SAIA DCF</v>
      </c>
      <c r="D8" s="68"/>
      <c r="E8" s="68"/>
      <c r="F8" s="68"/>
      <c r="G8" s="68"/>
      <c r="H8" s="68"/>
      <c r="I8" s="68" t="str">
        <f>Company_Ticker&amp;" MARKET"</f>
        <v>SAIA MARKET</v>
      </c>
      <c r="K8" s="68"/>
      <c r="L8" s="68"/>
      <c r="M8" s="68"/>
      <c r="N8" s="68" t="str">
        <f>"PRICE"</f>
        <v>PRICE</v>
      </c>
      <c r="O8" s="68"/>
      <c r="P8" s="68"/>
      <c r="Q8" s="80"/>
      <c r="R8" s="68"/>
      <c r="S8" s="79"/>
      <c r="T8" s="68"/>
      <c r="U8" s="68"/>
      <c r="V8" s="68"/>
      <c r="W8" s="68"/>
      <c r="X8" s="68"/>
      <c r="Y8" s="68"/>
      <c r="Z8" s="68"/>
      <c r="AF8" s="86"/>
      <c r="AH8" s="91"/>
      <c r="AT8" s="86"/>
    </row>
    <row r="9" spans="3:46" ht="18.75" x14ac:dyDescent="0.25">
      <c r="C9" s="79" t="s">
        <v>57</v>
      </c>
      <c r="D9" s="68"/>
      <c r="E9" s="68"/>
      <c r="F9" s="1344">
        <f>DCF_Share_Value</f>
        <v>520.1066763818468</v>
      </c>
      <c r="G9" s="1345"/>
      <c r="H9" s="68"/>
      <c r="I9" s="68" t="str">
        <f>"SHARE PRICE:"</f>
        <v>SHARE PRICE:</v>
      </c>
      <c r="K9" s="1344">
        <f>Data!C41</f>
        <v>455.73</v>
      </c>
      <c r="L9" s="1345"/>
      <c r="M9" s="320" t="s">
        <v>242</v>
      </c>
      <c r="N9" s="68" t="str">
        <f>"DIFFERENCE (%):"</f>
        <v>DIFFERENCE (%):</v>
      </c>
      <c r="O9" s="68"/>
      <c r="P9" s="72">
        <f>IFERROR(F9/Market_Share_Price-1,"0.00%")</f>
        <v>0.14126056301285139</v>
      </c>
      <c r="Q9" s="80"/>
      <c r="R9" s="68"/>
      <c r="S9" s="79"/>
      <c r="T9" s="68"/>
      <c r="U9" s="68"/>
      <c r="V9" s="68"/>
      <c r="W9" s="68"/>
      <c r="X9" s="68"/>
      <c r="Y9" s="68"/>
      <c r="Z9" s="68"/>
      <c r="AF9" s="86"/>
      <c r="AH9" s="91"/>
      <c r="AT9" s="86"/>
    </row>
    <row r="10" spans="3:46" ht="10.15" customHeight="1" x14ac:dyDescent="0.25">
      <c r="C10" s="79"/>
      <c r="D10" s="68"/>
      <c r="E10" s="68"/>
      <c r="F10" s="68"/>
      <c r="G10" s="68"/>
      <c r="H10" s="68"/>
      <c r="I10" s="68"/>
      <c r="J10" s="68"/>
      <c r="K10" s="68"/>
      <c r="L10" s="68"/>
      <c r="M10" s="68"/>
      <c r="N10" s="68"/>
      <c r="O10" s="68"/>
      <c r="P10" s="68"/>
      <c r="Q10" s="80"/>
      <c r="R10" s="68"/>
      <c r="S10" s="79"/>
      <c r="T10" s="68"/>
      <c r="U10" s="68"/>
      <c r="V10" s="68"/>
      <c r="W10" s="68"/>
      <c r="X10" s="68"/>
      <c r="Y10" s="68"/>
      <c r="Z10" s="68"/>
      <c r="AF10" s="86"/>
      <c r="AH10" s="91"/>
      <c r="AT10" s="86"/>
    </row>
    <row r="11" spans="3:46" ht="18.75" x14ac:dyDescent="0.25">
      <c r="C11" s="79" t="str">
        <f>C8</f>
        <v>SAIA DCF</v>
      </c>
      <c r="D11" s="68"/>
      <c r="E11" s="68"/>
      <c r="F11" s="68"/>
      <c r="G11" s="68"/>
      <c r="H11" s="68"/>
      <c r="I11" s="68" t="str">
        <f>I8</f>
        <v>SAIA MARKET</v>
      </c>
      <c r="J11" s="68"/>
      <c r="K11" s="68"/>
      <c r="L11" s="68"/>
      <c r="M11" s="68"/>
      <c r="N11" s="68"/>
      <c r="O11" s="73" t="str">
        <f>"MODEL"</f>
        <v>MODEL</v>
      </c>
      <c r="P11" s="68"/>
      <c r="Q11" s="80"/>
      <c r="R11" s="68"/>
      <c r="S11" s="79"/>
      <c r="T11" s="68"/>
      <c r="U11" s="68"/>
      <c r="V11" s="68"/>
      <c r="W11" s="68"/>
      <c r="X11" s="68"/>
      <c r="Y11" s="68"/>
      <c r="Z11" s="68"/>
      <c r="AF11" s="86"/>
      <c r="AH11" s="91"/>
      <c r="AT11" s="86"/>
    </row>
    <row r="12" spans="3:46" ht="18.75" x14ac:dyDescent="0.25">
      <c r="C12" s="79" t="s">
        <v>58</v>
      </c>
      <c r="D12" s="68"/>
      <c r="E12" s="68"/>
      <c r="F12" s="1346">
        <v>45657</v>
      </c>
      <c r="G12" s="1343"/>
      <c r="H12" s="68"/>
      <c r="I12" s="68" t="str">
        <f>"SHARE PRICE DATE:"</f>
        <v>SHARE PRICE DATE:</v>
      </c>
      <c r="J12" s="68"/>
      <c r="K12" s="68"/>
      <c r="L12" s="1346">
        <v>45657</v>
      </c>
      <c r="M12" s="1343"/>
      <c r="N12" s="68"/>
      <c r="O12" s="73" t="str">
        <f>"BASE YEAR:"</f>
        <v>BASE YEAR:</v>
      </c>
      <c r="P12" s="71">
        <v>2023</v>
      </c>
      <c r="Q12" s="80"/>
      <c r="R12" s="68"/>
      <c r="S12" s="79"/>
      <c r="T12" s="68"/>
      <c r="U12" s="68"/>
      <c r="V12" s="68"/>
      <c r="W12" s="68"/>
      <c r="X12" s="68"/>
      <c r="Y12" s="68"/>
      <c r="Z12" s="68"/>
      <c r="AF12" s="86"/>
      <c r="AH12" s="91"/>
      <c r="AT12" s="86"/>
    </row>
    <row r="13" spans="3:46" ht="10.15" customHeight="1" x14ac:dyDescent="0.25">
      <c r="C13" s="79"/>
      <c r="D13" s="68"/>
      <c r="E13" s="68"/>
      <c r="F13" s="68"/>
      <c r="G13" s="68"/>
      <c r="H13" s="68"/>
      <c r="I13" s="68"/>
      <c r="J13" s="68"/>
      <c r="K13" s="68"/>
      <c r="L13" s="68"/>
      <c r="M13" s="68"/>
      <c r="N13" s="68"/>
      <c r="O13" s="68"/>
      <c r="P13" s="68"/>
      <c r="Q13" s="80"/>
      <c r="R13" s="68"/>
      <c r="S13" s="79"/>
      <c r="T13" s="68"/>
      <c r="U13" s="68"/>
      <c r="V13" s="68"/>
      <c r="W13" s="68"/>
      <c r="X13" s="68"/>
      <c r="Y13" s="68"/>
      <c r="Z13" s="68"/>
      <c r="AF13" s="86"/>
      <c r="AH13" s="91"/>
      <c r="AT13" s="86"/>
    </row>
    <row r="14" spans="3:46" ht="18.75" x14ac:dyDescent="0.25">
      <c r="C14" s="79" t="s">
        <v>60</v>
      </c>
      <c r="D14" s="68"/>
      <c r="E14" s="68"/>
      <c r="F14" s="74" t="s">
        <v>61</v>
      </c>
      <c r="G14" s="68"/>
      <c r="H14" s="68"/>
      <c r="I14" s="68"/>
      <c r="J14" s="68"/>
      <c r="K14" s="68"/>
      <c r="L14" s="68"/>
      <c r="M14" s="68"/>
      <c r="N14" s="68"/>
      <c r="O14" s="68"/>
      <c r="P14" s="68"/>
      <c r="Q14" s="80"/>
      <c r="R14" s="68"/>
      <c r="S14" s="79"/>
      <c r="T14" s="68"/>
      <c r="U14" s="68"/>
      <c r="V14" s="68"/>
      <c r="W14" s="68"/>
      <c r="X14" s="68"/>
      <c r="Y14" s="68"/>
      <c r="Z14" s="68"/>
      <c r="AF14" s="86"/>
      <c r="AH14" s="91"/>
      <c r="AT14" s="86"/>
    </row>
    <row r="15" spans="3:46" ht="15" customHeight="1" x14ac:dyDescent="0.25">
      <c r="C15" s="81" t="s">
        <v>64</v>
      </c>
      <c r="D15" s="68"/>
      <c r="E15" s="68"/>
      <c r="F15" s="75" t="str">
        <f>"+1 (251) 321 5980"</f>
        <v>+1 (251) 321 5980</v>
      </c>
      <c r="G15" s="68"/>
      <c r="H15" s="68"/>
      <c r="I15" s="68"/>
      <c r="J15" s="68"/>
      <c r="K15" s="68"/>
      <c r="L15" s="68"/>
      <c r="M15" s="68"/>
      <c r="N15" s="68"/>
      <c r="O15" s="68"/>
      <c r="P15" s="68"/>
      <c r="Q15" s="80"/>
      <c r="R15" s="68"/>
      <c r="S15" s="79"/>
      <c r="T15" s="68"/>
      <c r="U15" s="68"/>
      <c r="V15" s="68"/>
      <c r="W15" s="68"/>
      <c r="X15" s="68"/>
      <c r="Y15" s="68"/>
      <c r="Z15" s="68"/>
      <c r="AF15" s="86"/>
      <c r="AH15" s="91"/>
      <c r="AT15" s="86"/>
    </row>
    <row r="16" spans="3:46" ht="15" customHeight="1" x14ac:dyDescent="0.25">
      <c r="C16" s="81" t="s">
        <v>63</v>
      </c>
      <c r="D16" s="68"/>
      <c r="E16" s="68"/>
      <c r="F16" s="90" t="s">
        <v>62</v>
      </c>
      <c r="G16" s="68"/>
      <c r="H16" s="68"/>
      <c r="I16" s="68"/>
      <c r="J16" s="68"/>
      <c r="K16" s="68"/>
      <c r="L16" s="68"/>
      <c r="M16" s="68"/>
      <c r="N16" s="68"/>
      <c r="O16" s="68"/>
      <c r="P16" s="68"/>
      <c r="Q16" s="80"/>
      <c r="R16" s="68"/>
      <c r="S16" s="79"/>
      <c r="T16" s="68"/>
      <c r="U16" s="68"/>
      <c r="V16" s="68"/>
      <c r="W16" s="68"/>
      <c r="X16" s="68"/>
      <c r="Y16" s="68"/>
      <c r="Z16" s="68"/>
      <c r="AF16" s="86"/>
      <c r="AH16" s="91"/>
      <c r="AT16" s="86"/>
    </row>
    <row r="17" spans="3:46" ht="18.75" x14ac:dyDescent="0.25">
      <c r="C17" s="91"/>
      <c r="D17" s="68"/>
      <c r="E17" s="68"/>
      <c r="F17" s="68"/>
      <c r="G17" s="68"/>
      <c r="H17" s="68"/>
      <c r="I17" s="68"/>
      <c r="J17" s="68"/>
      <c r="K17" s="68"/>
      <c r="L17" s="68"/>
      <c r="M17" s="68"/>
      <c r="N17" s="68"/>
      <c r="O17" s="68"/>
      <c r="P17" s="68"/>
      <c r="Q17" s="80"/>
      <c r="R17" s="68"/>
      <c r="S17" s="79"/>
      <c r="T17" s="68"/>
      <c r="U17" s="68"/>
      <c r="V17" s="68"/>
      <c r="W17" s="68"/>
      <c r="X17" s="68"/>
      <c r="Y17" s="68"/>
      <c r="Z17" s="68"/>
      <c r="AF17" s="86"/>
      <c r="AH17" s="91"/>
      <c r="AT17" s="86"/>
    </row>
    <row r="18" spans="3:46" ht="6" customHeight="1" thickBot="1" x14ac:dyDescent="0.3">
      <c r="C18" s="87"/>
      <c r="D18" s="82"/>
      <c r="E18" s="82"/>
      <c r="F18" s="82"/>
      <c r="G18" s="82"/>
      <c r="H18" s="82"/>
      <c r="I18" s="82"/>
      <c r="J18" s="82"/>
      <c r="K18" s="82"/>
      <c r="L18" s="82"/>
      <c r="M18" s="82"/>
      <c r="N18" s="82"/>
      <c r="O18" s="82"/>
      <c r="P18" s="82"/>
      <c r="Q18" s="83"/>
      <c r="R18" s="68"/>
      <c r="S18" s="79"/>
      <c r="T18" s="68"/>
      <c r="U18" s="68"/>
      <c r="V18" s="68"/>
      <c r="W18" s="68"/>
      <c r="X18" s="68"/>
      <c r="Y18" s="68"/>
      <c r="Z18" s="68"/>
      <c r="AF18" s="86"/>
      <c r="AH18" s="91"/>
      <c r="AT18" s="86"/>
    </row>
    <row r="19" spans="3:46" ht="18.75" x14ac:dyDescent="0.25">
      <c r="C19" s="68"/>
      <c r="D19" s="68"/>
      <c r="E19" s="68"/>
      <c r="F19" s="68"/>
      <c r="G19" s="68"/>
      <c r="H19" s="68"/>
      <c r="I19" s="68"/>
      <c r="J19" s="68"/>
      <c r="K19" s="68"/>
      <c r="L19" s="68"/>
      <c r="M19" s="68"/>
      <c r="N19" s="68"/>
      <c r="O19" s="68"/>
      <c r="P19" s="68"/>
      <c r="Q19" s="68"/>
      <c r="R19" s="68"/>
      <c r="S19" s="79"/>
      <c r="T19" s="68"/>
      <c r="U19" s="68"/>
      <c r="V19" s="68"/>
      <c r="W19" s="68"/>
      <c r="X19" s="68"/>
      <c r="Y19" s="68"/>
      <c r="Z19" s="68"/>
      <c r="AF19" s="86"/>
      <c r="AH19" s="91"/>
      <c r="AT19" s="86"/>
    </row>
    <row r="20" spans="3:46" ht="18.75" x14ac:dyDescent="0.25">
      <c r="C20" s="68"/>
      <c r="D20" s="68"/>
      <c r="E20" s="68"/>
      <c r="F20" s="68"/>
      <c r="G20" s="68"/>
      <c r="H20" s="68"/>
      <c r="I20" s="68"/>
      <c r="J20" s="68"/>
      <c r="K20" s="68"/>
      <c r="L20" s="68"/>
      <c r="M20" s="68"/>
      <c r="N20" s="68"/>
      <c r="O20" s="68"/>
      <c r="P20" s="68"/>
      <c r="Q20" s="68"/>
      <c r="R20" s="68"/>
      <c r="S20" s="79"/>
      <c r="T20" s="68"/>
      <c r="U20" s="68"/>
      <c r="V20" s="68"/>
      <c r="W20" s="68"/>
      <c r="X20" s="68"/>
      <c r="Y20" s="68"/>
      <c r="Z20" s="68"/>
      <c r="AF20" s="86"/>
      <c r="AH20" s="91"/>
      <c r="AT20" s="86"/>
    </row>
    <row r="21" spans="3:46" ht="18.75" x14ac:dyDescent="0.25">
      <c r="C21" s="68"/>
      <c r="D21" s="68"/>
      <c r="E21" s="68"/>
      <c r="F21" s="68"/>
      <c r="G21" s="68"/>
      <c r="H21" s="68"/>
      <c r="I21" s="68"/>
      <c r="J21" s="68"/>
      <c r="K21" s="68"/>
      <c r="L21" s="68"/>
      <c r="M21" s="68"/>
      <c r="N21" s="68"/>
      <c r="O21" s="68"/>
      <c r="P21" s="68"/>
      <c r="Q21" s="68"/>
      <c r="R21" s="68"/>
      <c r="S21" s="79"/>
      <c r="T21" s="68"/>
      <c r="U21" s="68"/>
      <c r="V21" s="68"/>
      <c r="W21" s="68"/>
      <c r="X21" s="68"/>
      <c r="Y21" s="68"/>
      <c r="Z21" s="68"/>
      <c r="AF21" s="86"/>
      <c r="AH21" s="91"/>
      <c r="AT21" s="86"/>
    </row>
    <row r="22" spans="3:46" ht="18.75" x14ac:dyDescent="0.25">
      <c r="C22" s="68"/>
      <c r="D22" s="68"/>
      <c r="E22" s="68"/>
      <c r="F22" s="68"/>
      <c r="G22" s="68"/>
      <c r="H22" s="68"/>
      <c r="I22" s="68"/>
      <c r="J22" s="68"/>
      <c r="K22" s="68"/>
      <c r="L22" s="68"/>
      <c r="M22" s="68"/>
      <c r="N22" s="68"/>
      <c r="O22" s="68"/>
      <c r="P22" s="68"/>
      <c r="Q22" s="68"/>
      <c r="R22" s="68"/>
      <c r="S22" s="79"/>
      <c r="T22" s="68"/>
      <c r="U22" s="68"/>
      <c r="V22" s="68"/>
      <c r="W22" s="68"/>
      <c r="X22" s="68"/>
      <c r="Y22" s="68"/>
      <c r="Z22" s="68"/>
      <c r="AF22" s="86"/>
      <c r="AH22" s="91"/>
      <c r="AT22" s="86"/>
    </row>
    <row r="23" spans="3:46" ht="19.5" thickBot="1" x14ac:dyDescent="0.3">
      <c r="C23" s="68"/>
      <c r="D23" s="68"/>
      <c r="E23" s="68"/>
      <c r="F23" s="68"/>
      <c r="G23" s="68"/>
      <c r="H23" s="68"/>
      <c r="I23" s="68"/>
      <c r="J23" s="68"/>
      <c r="K23" s="68"/>
      <c r="L23" s="68"/>
      <c r="M23" s="68"/>
      <c r="N23" s="68"/>
      <c r="O23" s="68"/>
      <c r="P23" s="68"/>
      <c r="Q23" s="68"/>
      <c r="R23" s="68"/>
      <c r="S23" s="87"/>
      <c r="T23" s="82"/>
      <c r="U23" s="82"/>
      <c r="V23" s="82"/>
      <c r="W23" s="82"/>
      <c r="X23" s="82"/>
      <c r="Y23" s="82"/>
      <c r="Z23" s="82"/>
      <c r="AA23" s="88"/>
      <c r="AB23" s="88"/>
      <c r="AC23" s="88"/>
      <c r="AD23" s="88"/>
      <c r="AE23" s="88"/>
      <c r="AF23" s="89"/>
      <c r="AH23" s="167"/>
      <c r="AI23" s="88"/>
      <c r="AJ23" s="88"/>
      <c r="AK23" s="88"/>
      <c r="AL23" s="88"/>
      <c r="AM23" s="88"/>
      <c r="AN23" s="88"/>
      <c r="AO23" s="88"/>
      <c r="AP23" s="88"/>
      <c r="AQ23" s="88"/>
      <c r="AR23" s="88"/>
      <c r="AS23" s="88"/>
      <c r="AT23" s="89"/>
    </row>
    <row r="24" spans="3:46" ht="18.75" x14ac:dyDescent="0.25">
      <c r="C24" s="68"/>
      <c r="D24" s="68"/>
      <c r="E24" s="68"/>
      <c r="F24" s="68"/>
      <c r="G24" s="68"/>
      <c r="H24" s="68"/>
      <c r="I24" s="68"/>
      <c r="J24" s="68"/>
      <c r="K24" s="68"/>
      <c r="L24" s="68"/>
      <c r="M24" s="68"/>
      <c r="N24" s="68"/>
      <c r="O24" s="68"/>
      <c r="P24" s="68"/>
      <c r="Q24" s="68"/>
      <c r="R24" s="68"/>
    </row>
    <row r="25" spans="3:46" ht="18.75" x14ac:dyDescent="0.25">
      <c r="C25" s="68"/>
      <c r="D25" s="68"/>
      <c r="E25" s="68"/>
      <c r="F25" s="68"/>
      <c r="G25" s="68"/>
      <c r="H25" s="68"/>
      <c r="I25" s="68"/>
      <c r="J25" s="68"/>
      <c r="K25" s="68"/>
      <c r="L25" s="68"/>
      <c r="M25" s="68"/>
      <c r="N25" s="68"/>
      <c r="O25" s="68"/>
      <c r="P25" s="68"/>
      <c r="Q25" s="68"/>
      <c r="R25" s="68"/>
      <c r="S25" s="1320"/>
      <c r="T25" s="1321"/>
      <c r="U25" s="1321"/>
      <c r="V25" s="1321"/>
      <c r="W25" s="1321"/>
      <c r="X25" s="1321"/>
      <c r="Y25" s="1321"/>
      <c r="Z25" s="1321"/>
      <c r="AA25" s="1322"/>
      <c r="AB25" s="1322"/>
      <c r="AC25" s="1322"/>
      <c r="AD25" s="1322"/>
      <c r="AE25" s="1323"/>
    </row>
    <row r="26" spans="3:46" ht="18.75" x14ac:dyDescent="0.25">
      <c r="C26" s="68"/>
      <c r="D26" s="68"/>
      <c r="E26" s="68"/>
      <c r="F26" s="68"/>
      <c r="G26" s="68"/>
      <c r="H26" s="68"/>
      <c r="I26" s="68"/>
      <c r="J26" s="68"/>
      <c r="K26" s="68"/>
      <c r="L26" s="68"/>
      <c r="M26" s="68"/>
      <c r="N26" s="68"/>
      <c r="O26" s="68"/>
      <c r="P26" s="68"/>
      <c r="Q26" s="68"/>
      <c r="R26" s="68"/>
      <c r="S26" s="1324"/>
      <c r="T26" s="68"/>
      <c r="U26" s="68"/>
      <c r="V26" s="68"/>
      <c r="W26" s="68"/>
      <c r="X26" s="68"/>
      <c r="Y26" s="68"/>
      <c r="Z26" s="68"/>
      <c r="AE26" s="1325"/>
    </row>
    <row r="27" spans="3:46" ht="18.75" x14ac:dyDescent="0.25">
      <c r="C27" s="68"/>
      <c r="D27" s="68"/>
      <c r="E27" s="68"/>
      <c r="F27" s="68"/>
      <c r="G27" s="68"/>
      <c r="H27" s="68"/>
      <c r="I27" s="68"/>
      <c r="J27" s="68"/>
      <c r="K27" s="68"/>
      <c r="L27" s="68"/>
      <c r="M27" s="68"/>
      <c r="N27" s="68"/>
      <c r="O27" s="68"/>
      <c r="P27" s="68"/>
      <c r="Q27" s="68"/>
      <c r="R27" s="68"/>
      <c r="S27" s="1324"/>
      <c r="T27" s="68"/>
      <c r="U27" s="68"/>
      <c r="V27" s="68"/>
      <c r="W27" s="68"/>
      <c r="X27" s="68"/>
      <c r="Y27" s="68"/>
      <c r="Z27" s="68"/>
      <c r="AE27" s="1325"/>
    </row>
    <row r="28" spans="3:46" ht="18.75" x14ac:dyDescent="0.25">
      <c r="C28" s="68"/>
      <c r="D28" s="68"/>
      <c r="E28" s="68"/>
      <c r="F28" s="68"/>
      <c r="G28" s="68"/>
      <c r="H28" s="68"/>
      <c r="I28" s="68"/>
      <c r="J28" s="68"/>
      <c r="K28" s="68"/>
      <c r="L28" s="68"/>
      <c r="M28" s="68"/>
      <c r="N28" s="68"/>
      <c r="O28" s="68"/>
      <c r="P28" s="68"/>
      <c r="Q28" s="68"/>
      <c r="R28" s="68"/>
      <c r="S28" s="1324"/>
      <c r="T28" s="68"/>
      <c r="U28" s="68"/>
      <c r="V28" s="68"/>
      <c r="W28" s="68"/>
      <c r="X28" s="68"/>
      <c r="Y28" s="68"/>
      <c r="Z28" s="68"/>
      <c r="AE28" s="1325"/>
    </row>
    <row r="29" spans="3:46" ht="18.75" x14ac:dyDescent="0.25">
      <c r="C29" s="68"/>
      <c r="D29" s="68"/>
      <c r="E29" s="68"/>
      <c r="F29" s="68"/>
      <c r="G29" s="68"/>
      <c r="H29" s="68"/>
      <c r="I29" s="68"/>
      <c r="J29" s="68"/>
      <c r="K29" s="68"/>
      <c r="L29" s="68"/>
      <c r="M29" s="68"/>
      <c r="N29" s="68"/>
      <c r="O29" s="68"/>
      <c r="P29" s="68"/>
      <c r="Q29" s="68"/>
      <c r="R29" s="68"/>
      <c r="S29" s="1324"/>
      <c r="T29" s="68"/>
      <c r="U29" s="68"/>
      <c r="V29" s="68"/>
      <c r="W29" s="68"/>
      <c r="X29" s="68"/>
      <c r="Y29" s="68"/>
      <c r="Z29" s="68"/>
      <c r="AE29" s="1325"/>
    </row>
    <row r="30" spans="3:46" ht="18.75" x14ac:dyDescent="0.25">
      <c r="C30" s="68"/>
      <c r="D30" s="1330" t="s">
        <v>585</v>
      </c>
      <c r="E30" s="1331" t="s">
        <v>586</v>
      </c>
      <c r="F30" s="1330" t="s">
        <v>587</v>
      </c>
      <c r="G30" s="1331" t="s">
        <v>588</v>
      </c>
      <c r="H30" s="1331" t="s">
        <v>589</v>
      </c>
      <c r="I30" s="1331" t="s">
        <v>590</v>
      </c>
      <c r="J30" s="1331" t="s">
        <v>591</v>
      </c>
      <c r="K30" s="1331" t="s">
        <v>592</v>
      </c>
      <c r="L30" s="1331" t="s">
        <v>593</v>
      </c>
      <c r="Q30" s="68"/>
      <c r="R30" s="68"/>
      <c r="S30" s="1324"/>
      <c r="T30" s="68"/>
      <c r="U30" s="68"/>
      <c r="V30" s="68"/>
      <c r="W30" s="68"/>
      <c r="X30" s="68"/>
      <c r="Y30" s="68"/>
      <c r="Z30" s="68"/>
      <c r="AE30" s="1325"/>
    </row>
    <row r="31" spans="3:46" ht="18.75" x14ac:dyDescent="0.25">
      <c r="C31" s="68"/>
      <c r="D31" s="68"/>
      <c r="E31" s="68"/>
      <c r="F31" s="68"/>
      <c r="G31" s="68"/>
      <c r="H31" s="68"/>
      <c r="I31" s="68"/>
      <c r="J31" s="68"/>
      <c r="K31" s="68"/>
      <c r="L31" s="68"/>
      <c r="M31" s="68"/>
      <c r="N31" s="68"/>
      <c r="O31" s="68"/>
      <c r="P31" s="68"/>
      <c r="Q31" s="68"/>
      <c r="R31" s="68"/>
      <c r="S31" s="1324"/>
      <c r="T31" s="68"/>
      <c r="U31" s="68"/>
      <c r="V31" s="68"/>
      <c r="W31" s="68"/>
      <c r="X31" s="68"/>
      <c r="Y31" s="68"/>
      <c r="Z31" s="68"/>
      <c r="AE31" s="1325"/>
    </row>
    <row r="32" spans="3:46" ht="18.75" x14ac:dyDescent="0.25">
      <c r="C32" s="68"/>
      <c r="D32" s="68"/>
      <c r="E32" s="68"/>
      <c r="F32" s="68"/>
      <c r="G32" s="68"/>
      <c r="H32" s="68"/>
      <c r="I32" s="68"/>
      <c r="J32" s="68"/>
      <c r="K32" s="68"/>
      <c r="L32" s="68"/>
      <c r="M32" s="68"/>
      <c r="N32" s="68"/>
      <c r="O32" s="68"/>
      <c r="P32" s="68"/>
      <c r="Q32" s="68"/>
      <c r="R32" s="68"/>
      <c r="S32" s="1324"/>
      <c r="T32" s="68"/>
      <c r="U32" s="68"/>
      <c r="V32" s="68"/>
      <c r="W32" s="68"/>
      <c r="X32" s="68"/>
      <c r="Y32" s="68"/>
      <c r="Z32" s="68"/>
      <c r="AE32" s="1325"/>
    </row>
    <row r="33" spans="3:31" ht="18.75" x14ac:dyDescent="0.25">
      <c r="C33" s="68"/>
      <c r="D33" s="68"/>
      <c r="E33" s="68"/>
      <c r="F33" s="68"/>
      <c r="G33" s="68"/>
      <c r="H33" s="68"/>
      <c r="I33" s="68"/>
      <c r="J33" s="68"/>
      <c r="K33" s="68"/>
      <c r="L33" s="68"/>
      <c r="M33" s="68"/>
      <c r="N33" s="68"/>
      <c r="O33" s="68"/>
      <c r="P33" s="68"/>
      <c r="Q33" s="68"/>
      <c r="R33" s="68"/>
      <c r="S33" s="1324"/>
      <c r="T33" s="68"/>
      <c r="U33" s="68"/>
      <c r="V33" s="68"/>
      <c r="W33" s="68"/>
      <c r="X33" s="68"/>
      <c r="Y33" s="68"/>
      <c r="Z33" s="68"/>
      <c r="AE33" s="1325"/>
    </row>
    <row r="34" spans="3:31" ht="18.75" x14ac:dyDescent="0.25">
      <c r="C34" s="68"/>
      <c r="D34" s="68"/>
      <c r="E34" s="68"/>
      <c r="F34" s="68"/>
      <c r="G34" s="68"/>
      <c r="H34" s="68"/>
      <c r="I34" s="68"/>
      <c r="J34" s="68"/>
      <c r="K34" s="68"/>
      <c r="L34" s="68"/>
      <c r="M34" s="68"/>
      <c r="N34" s="68"/>
      <c r="O34" s="68"/>
      <c r="P34" s="68"/>
      <c r="Q34" s="68"/>
      <c r="R34" s="68"/>
      <c r="S34" s="1324"/>
      <c r="T34" s="68"/>
      <c r="U34" s="68"/>
      <c r="V34" s="68"/>
      <c r="W34" s="68"/>
      <c r="X34" s="68"/>
      <c r="Y34" s="68"/>
      <c r="Z34" s="68"/>
      <c r="AE34" s="1325"/>
    </row>
    <row r="35" spans="3:31" ht="18.75" x14ac:dyDescent="0.25">
      <c r="C35" s="68"/>
      <c r="D35" s="68"/>
      <c r="E35" s="68"/>
      <c r="F35" s="68"/>
      <c r="G35" s="68"/>
      <c r="H35" s="68"/>
      <c r="I35" s="68"/>
      <c r="J35" s="68"/>
      <c r="K35" s="68"/>
      <c r="L35" s="68"/>
      <c r="M35" s="68"/>
      <c r="N35" s="68"/>
      <c r="O35" s="68"/>
      <c r="P35" s="68"/>
      <c r="Q35" s="68"/>
      <c r="R35" s="68"/>
      <c r="S35" s="1324"/>
      <c r="T35" s="68"/>
      <c r="U35" s="68"/>
      <c r="V35" s="68"/>
      <c r="W35" s="68"/>
      <c r="X35" s="68"/>
      <c r="Y35" s="68"/>
      <c r="Z35" s="68"/>
      <c r="AE35" s="1325"/>
    </row>
    <row r="36" spans="3:31" ht="18.75" x14ac:dyDescent="0.25">
      <c r="C36" s="68"/>
      <c r="D36" s="68"/>
      <c r="E36" s="68"/>
      <c r="F36" s="68"/>
      <c r="G36" s="68"/>
      <c r="H36" s="68"/>
      <c r="I36" s="68"/>
      <c r="J36" s="68"/>
      <c r="K36" s="68"/>
      <c r="L36" s="68"/>
      <c r="M36" s="68"/>
      <c r="N36" s="68"/>
      <c r="O36" s="68"/>
      <c r="P36" s="68"/>
      <c r="Q36" s="68"/>
      <c r="R36" s="68"/>
      <c r="S36" s="1324"/>
      <c r="T36" s="68"/>
      <c r="U36" s="68"/>
      <c r="V36" s="68"/>
      <c r="W36" s="68"/>
      <c r="X36" s="68"/>
      <c r="Y36" s="68"/>
      <c r="Z36" s="68"/>
      <c r="AE36" s="1325"/>
    </row>
    <row r="37" spans="3:31" ht="18.75" x14ac:dyDescent="0.25">
      <c r="C37" s="68"/>
      <c r="D37" s="68"/>
      <c r="E37" s="68"/>
      <c r="F37" s="68"/>
      <c r="G37" s="68"/>
      <c r="H37" s="68"/>
      <c r="I37" s="68"/>
      <c r="J37" s="68"/>
      <c r="K37" s="68"/>
      <c r="L37" s="68"/>
      <c r="M37" s="68"/>
      <c r="N37" s="68"/>
      <c r="O37" s="68"/>
      <c r="P37" s="68"/>
      <c r="Q37" s="68"/>
      <c r="R37" s="68"/>
      <c r="S37" s="1324"/>
      <c r="T37" s="68"/>
      <c r="U37" s="68"/>
      <c r="V37" s="68"/>
      <c r="W37" s="68"/>
      <c r="X37" s="68"/>
      <c r="Y37" s="68"/>
      <c r="Z37" s="68"/>
      <c r="AE37" s="1325"/>
    </row>
    <row r="38" spans="3:31" ht="18.75" x14ac:dyDescent="0.25">
      <c r="C38" s="68"/>
      <c r="D38" s="68"/>
      <c r="E38" s="68"/>
      <c r="F38" s="68"/>
      <c r="G38" s="68"/>
      <c r="H38" s="68"/>
      <c r="I38" s="68"/>
      <c r="J38" s="68"/>
      <c r="K38" s="68"/>
      <c r="L38" s="68"/>
      <c r="M38" s="68"/>
      <c r="N38" s="68"/>
      <c r="O38" s="68"/>
      <c r="P38" s="68"/>
      <c r="Q38" s="68"/>
      <c r="R38" s="68"/>
      <c r="S38" s="1324"/>
      <c r="T38" s="68"/>
      <c r="U38" s="68"/>
      <c r="V38" s="68"/>
      <c r="W38" s="68"/>
      <c r="X38" s="68"/>
      <c r="Y38" s="68"/>
      <c r="Z38" s="68"/>
      <c r="AE38" s="1325"/>
    </row>
    <row r="39" spans="3:31" ht="18.75" x14ac:dyDescent="0.25">
      <c r="C39" s="68"/>
      <c r="D39" s="68"/>
      <c r="E39" s="68"/>
      <c r="F39" s="68"/>
      <c r="G39" s="68"/>
      <c r="H39" s="68"/>
      <c r="I39" s="68"/>
      <c r="J39" s="68"/>
      <c r="K39" s="68"/>
      <c r="L39" s="68"/>
      <c r="M39" s="68"/>
      <c r="N39" s="68"/>
      <c r="O39" s="68"/>
      <c r="P39" s="68"/>
      <c r="Q39" s="68"/>
      <c r="R39" s="68"/>
      <c r="S39" s="1324"/>
      <c r="T39" s="68"/>
      <c r="U39" s="68"/>
      <c r="V39" s="68"/>
      <c r="W39" s="68"/>
      <c r="X39" s="68"/>
      <c r="Y39" s="68"/>
      <c r="Z39" s="68"/>
      <c r="AE39" s="1325"/>
    </row>
    <row r="40" spans="3:31" ht="18.75" x14ac:dyDescent="0.25">
      <c r="C40" s="68"/>
      <c r="D40" s="68"/>
      <c r="E40" s="68"/>
      <c r="F40" s="68"/>
      <c r="G40" s="68"/>
      <c r="H40" s="68"/>
      <c r="I40" s="68"/>
      <c r="J40" s="68"/>
      <c r="K40" s="68"/>
      <c r="L40" s="68"/>
      <c r="M40" s="68"/>
      <c r="N40" s="68"/>
      <c r="O40" s="68"/>
      <c r="P40" s="68"/>
      <c r="Q40" s="68"/>
      <c r="R40" s="68"/>
      <c r="S40" s="1326"/>
      <c r="T40" s="1327"/>
      <c r="U40" s="1327"/>
      <c r="V40" s="1327"/>
      <c r="W40" s="1327"/>
      <c r="X40" s="1327"/>
      <c r="Y40" s="1327"/>
      <c r="Z40" s="1327"/>
      <c r="AA40" s="1328"/>
      <c r="AB40" s="1328"/>
      <c r="AC40" s="1328"/>
      <c r="AD40" s="1328"/>
      <c r="AE40" s="1329"/>
    </row>
    <row r="41" spans="3:31" ht="18.75" x14ac:dyDescent="0.25">
      <c r="C41" s="68"/>
      <c r="D41" s="68"/>
      <c r="E41" s="68"/>
      <c r="F41" s="68"/>
      <c r="G41" s="68"/>
      <c r="H41" s="68"/>
      <c r="I41" s="68"/>
      <c r="J41" s="68"/>
      <c r="K41" s="68"/>
      <c r="L41" s="68"/>
      <c r="M41" s="68"/>
      <c r="N41" s="68"/>
      <c r="O41" s="68"/>
      <c r="P41" s="68"/>
      <c r="Q41" s="68"/>
      <c r="R41" s="68"/>
      <c r="S41" s="68"/>
      <c r="T41" s="68"/>
      <c r="U41" s="68"/>
      <c r="V41" s="68"/>
      <c r="W41" s="68"/>
      <c r="X41" s="68"/>
      <c r="Y41" s="68"/>
      <c r="Z41" s="68"/>
    </row>
    <row r="42" spans="3:31" ht="18.75" x14ac:dyDescent="0.25">
      <c r="C42" s="68"/>
      <c r="D42" s="68"/>
      <c r="E42" s="68"/>
      <c r="F42" s="68"/>
      <c r="G42" s="68"/>
      <c r="H42" s="68"/>
      <c r="I42" s="68"/>
      <c r="J42" s="68"/>
      <c r="K42" s="68"/>
      <c r="L42" s="68"/>
      <c r="M42" s="68"/>
      <c r="N42" s="68"/>
      <c r="O42" s="68"/>
      <c r="P42" s="68"/>
      <c r="Q42" s="68"/>
      <c r="R42" s="68"/>
      <c r="S42" s="68"/>
      <c r="T42" s="68"/>
      <c r="U42" s="68"/>
      <c r="V42" s="68"/>
      <c r="W42" s="68"/>
      <c r="X42" s="68"/>
      <c r="Y42" s="68"/>
      <c r="Z42" s="68"/>
    </row>
    <row r="43" spans="3:31" ht="18.75" x14ac:dyDescent="0.25">
      <c r="C43" s="68"/>
      <c r="D43" s="68"/>
      <c r="E43" s="68"/>
      <c r="F43" s="68"/>
      <c r="G43" s="68"/>
      <c r="H43" s="68"/>
      <c r="I43" s="68"/>
      <c r="J43" s="68"/>
      <c r="K43" s="68"/>
      <c r="L43" s="68"/>
      <c r="M43" s="68"/>
      <c r="N43" s="68"/>
      <c r="O43" s="68"/>
      <c r="P43" s="68"/>
      <c r="Q43" s="68"/>
      <c r="R43" s="68"/>
      <c r="S43" s="68"/>
      <c r="T43" s="68"/>
      <c r="U43" s="68"/>
      <c r="V43" s="68"/>
      <c r="W43" s="68"/>
      <c r="X43" s="68"/>
      <c r="Y43" s="68"/>
      <c r="Z43" s="68"/>
    </row>
    <row r="44" spans="3:31" ht="18.75" x14ac:dyDescent="0.25">
      <c r="C44" s="68"/>
      <c r="D44" s="68"/>
      <c r="E44" s="68"/>
      <c r="F44" s="68"/>
      <c r="G44" s="68"/>
      <c r="H44" s="68"/>
      <c r="I44" s="68"/>
      <c r="J44" s="68"/>
      <c r="K44" s="68"/>
      <c r="L44" s="68"/>
      <c r="M44" s="68"/>
      <c r="N44" s="68"/>
      <c r="O44" s="68"/>
      <c r="P44" s="68"/>
      <c r="Q44" s="68"/>
      <c r="R44" s="68"/>
      <c r="S44" s="68"/>
      <c r="T44" s="68"/>
      <c r="U44" s="68"/>
      <c r="V44" s="68"/>
      <c r="W44" s="68"/>
      <c r="X44" s="68"/>
      <c r="Y44" s="68"/>
      <c r="Z44" s="68"/>
    </row>
    <row r="45" spans="3:31" ht="18.75" x14ac:dyDescent="0.25">
      <c r="C45" s="68"/>
      <c r="D45" s="68"/>
      <c r="E45" s="68"/>
      <c r="F45" s="68"/>
      <c r="G45" s="68"/>
      <c r="H45" s="68"/>
      <c r="I45" s="68"/>
      <c r="J45" s="68"/>
      <c r="K45" s="68"/>
      <c r="L45" s="68"/>
      <c r="M45" s="68"/>
      <c r="N45" s="68"/>
      <c r="O45" s="68"/>
      <c r="P45" s="68"/>
      <c r="Q45" s="68"/>
      <c r="R45" s="68"/>
      <c r="S45" s="68"/>
      <c r="T45" s="68"/>
      <c r="U45" s="68"/>
      <c r="V45" s="68"/>
      <c r="W45" s="68"/>
      <c r="X45" s="68"/>
      <c r="Y45" s="68"/>
      <c r="Z45" s="68"/>
    </row>
  </sheetData>
  <mergeCells count="9">
    <mergeCell ref="O4:P4"/>
    <mergeCell ref="K6:L6"/>
    <mergeCell ref="F6:G6"/>
    <mergeCell ref="F9:G9"/>
    <mergeCell ref="F12:G12"/>
    <mergeCell ref="L12:M12"/>
    <mergeCell ref="K9:L9"/>
    <mergeCell ref="O6:P6"/>
    <mergeCell ref="F4:L4"/>
  </mergeCells>
  <hyperlinks>
    <hyperlink ref="F16" r:id="rId1" xr:uid="{F9F3DFAA-A28F-4DF8-9A64-25FF2AA3EA75}"/>
    <hyperlink ref="F14" r:id="rId2" xr:uid="{44406FC0-4E71-4EB0-9EBF-188130E8B874}"/>
    <hyperlink ref="O4:P4" r:id="rId3" display="SAIA IR Page Link" xr:uid="{69780ECD-FE66-43AB-A085-D955E6ED20F9}"/>
  </hyperlinks>
  <pageMargins left="0.7" right="0.7" top="0.75" bottom="0.75" header="0.3" footer="0.3"/>
  <drawing r:id="rId4"/>
  <extLst>
    <ext xmlns:x14="http://schemas.microsoft.com/office/spreadsheetml/2009/9/main" uri="{CCE6A557-97BC-4b89-ADB6-D9C93CAAB3DF}">
      <x14:dataValidations xmlns:xm="http://schemas.microsoft.com/office/excel/2006/main" count="1">
        <x14:dataValidation type="list" allowBlank="1" showInputMessage="1" showErrorMessage="1" xr:uid="{9CDA5AA1-90CF-4048-A913-20A1AB2BF1DE}">
          <x14:formula1>
            <xm:f>'Revenue Build'!$C$46:$C$49</xm:f>
          </x14:formula1>
          <xm:sqref>M9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5ACEB-C839-423C-B839-C5B7BE6FEDEA}">
  <dimension ref="A1:CE173"/>
  <sheetViews>
    <sheetView showGridLines="0" zoomScale="90" zoomScaleNormal="90" workbookViewId="0">
      <pane xSplit="3" topLeftCell="G1" activePane="topRight" state="frozen"/>
      <selection pane="topRight" activeCell="I45" sqref="I45"/>
    </sheetView>
  </sheetViews>
  <sheetFormatPr defaultColWidth="9.01171875" defaultRowHeight="14.1" customHeight="1" outlineLevelRow="1" outlineLevelCol="1" x14ac:dyDescent="0.2"/>
  <cols>
    <col min="1" max="1" width="0.671875" customWidth="1"/>
    <col min="2" max="2" width="0.8046875" customWidth="1"/>
    <col min="3" max="3" width="33.49609375" style="60" customWidth="1"/>
    <col min="4" max="6" width="10.22265625" style="60" hidden="1" customWidth="1" outlineLevel="1"/>
    <col min="7" max="7" width="10.22265625" style="60" customWidth="1" collapsed="1"/>
    <col min="8" max="9" width="10.22265625" style="60" bestFit="1" customWidth="1"/>
    <col min="10" max="10" width="10.22265625" style="60" customWidth="1"/>
    <col min="11" max="15" width="10.22265625" style="60" bestFit="1" customWidth="1"/>
    <col min="16" max="16" width="3.8984375" style="60" bestFit="1" customWidth="1"/>
    <col min="17" max="17" width="5.6484375" style="60" customWidth="1"/>
    <col min="18" max="18" width="30.53515625" style="60" customWidth="1"/>
    <col min="19" max="19" width="10.22265625" style="60" hidden="1" customWidth="1" outlineLevel="1"/>
    <col min="20" max="43" width="9.01171875" style="60" hidden="1" customWidth="1" outlineLevel="1"/>
    <col min="44" max="44" width="9.01171875" style="60" collapsed="1"/>
    <col min="45" max="47" width="9.01171875" style="60"/>
    <col min="48" max="48" width="9.01171875" style="60" customWidth="1" outlineLevel="1"/>
    <col min="49" max="52" width="9.01171875" style="60"/>
    <col min="53" max="53" width="9.01171875" style="60" customWidth="1" outlineLevel="1"/>
    <col min="54" max="57" width="9.01171875" style="60"/>
    <col min="58" max="58" width="9.01171875" style="60" customWidth="1" outlineLevel="1"/>
    <col min="59" max="62" width="9.01171875" style="60"/>
    <col min="63" max="63" width="9.01171875" style="60" customWidth="1" outlineLevel="1"/>
    <col min="64" max="67" width="9.01171875" style="60"/>
    <col min="68" max="68" width="9.01171875" style="60" customWidth="1" outlineLevel="1"/>
    <col min="69" max="72" width="9.01171875" style="60"/>
    <col min="73" max="73" width="9.01171875" style="60" customWidth="1" outlineLevel="1"/>
    <col min="74" max="76" width="9.01171875" style="60"/>
    <col min="77" max="77" width="9.01171875" style="60" customWidth="1"/>
    <col min="78" max="78" width="9.01171875" style="60" customWidth="1" outlineLevel="1"/>
    <col min="79" max="16384" width="9.01171875" style="60"/>
  </cols>
  <sheetData>
    <row r="1" spans="1:83" customFormat="1" ht="3" customHeight="1" x14ac:dyDescent="0.2"/>
    <row r="2" spans="1:83" customFormat="1" ht="1.1499999999999999" customHeight="1" x14ac:dyDescent="0.2"/>
    <row r="3" spans="1:83" s="41" customFormat="1" ht="18.75" x14ac:dyDescent="0.25">
      <c r="A3"/>
      <c r="B3"/>
      <c r="C3" s="47" t="str">
        <f>Company_Name</f>
        <v>SAIA, Inc.</v>
      </c>
      <c r="D3" s="48"/>
      <c r="E3" s="48"/>
      <c r="F3" s="48"/>
      <c r="G3" s="48"/>
      <c r="H3" s="48"/>
      <c r="I3" s="48"/>
      <c r="J3" s="48"/>
      <c r="K3" s="48"/>
      <c r="L3" s="48"/>
      <c r="M3" s="48"/>
      <c r="N3" s="67" t="s">
        <v>317</v>
      </c>
      <c r="O3" s="48" t="str">
        <f>Cover!M9</f>
        <v>Base</v>
      </c>
      <c r="P3" s="1373"/>
      <c r="Q3" s="1373"/>
      <c r="R3" s="1374" t="str">
        <f>C3</f>
        <v>SAIA, Inc.</v>
      </c>
      <c r="S3" s="1374"/>
      <c r="T3" s="1374"/>
      <c r="U3" s="1374"/>
      <c r="V3" s="1374"/>
      <c r="W3" s="1374"/>
      <c r="X3" s="1374"/>
      <c r="Y3" s="1374"/>
      <c r="Z3" s="1374"/>
      <c r="AA3" s="1374"/>
      <c r="AB3" s="1374"/>
      <c r="AC3" s="1374"/>
      <c r="AD3" s="1374"/>
      <c r="AE3" s="1374"/>
      <c r="AF3" s="1374"/>
      <c r="AG3" s="1374"/>
      <c r="AH3" s="1374"/>
      <c r="AI3" s="1374"/>
      <c r="AJ3" s="1374"/>
      <c r="AK3" s="1374"/>
      <c r="AL3" s="1374"/>
      <c r="AM3" s="1374"/>
      <c r="AN3" s="1374"/>
      <c r="AO3" s="1374"/>
      <c r="AP3" s="1374"/>
      <c r="AQ3" s="1374"/>
      <c r="AR3" s="1374"/>
      <c r="AS3" s="1374"/>
      <c r="AT3" s="1374"/>
      <c r="AU3" s="1374"/>
      <c r="AV3" s="1374"/>
      <c r="AW3" s="1374"/>
      <c r="AX3" s="1374"/>
      <c r="AY3" s="1374"/>
      <c r="AZ3" s="1374"/>
      <c r="BA3" s="47"/>
      <c r="BB3" s="47"/>
      <c r="BC3" s="47"/>
      <c r="BD3" s="47"/>
      <c r="BE3" s="47"/>
      <c r="BF3" s="47"/>
      <c r="BG3" s="47"/>
      <c r="BH3" s="47"/>
      <c r="BI3" s="47"/>
      <c r="BJ3" s="47"/>
      <c r="BK3" s="47"/>
      <c r="BL3" s="47"/>
      <c r="BM3" s="47"/>
      <c r="BN3" s="47"/>
      <c r="BO3" s="47"/>
      <c r="BP3" s="47"/>
      <c r="BQ3" s="47"/>
      <c r="BR3" s="47"/>
      <c r="BS3" s="67" t="str">
        <f>N3</f>
        <v>Model Case:</v>
      </c>
      <c r="BT3" s="48" t="str">
        <f>O3</f>
        <v>Base</v>
      </c>
      <c r="BU3" s="47"/>
      <c r="BV3" s="47"/>
      <c r="BW3" s="47"/>
      <c r="BX3" s="67" t="str">
        <f>N4</f>
        <v>DCF Share Value as of 12/31/2024:</v>
      </c>
      <c r="BY3" s="65">
        <f>O4</f>
        <v>520.1066763818468</v>
      </c>
      <c r="BZ3" s="65"/>
    </row>
    <row r="4" spans="1:83" s="62" customFormat="1" ht="15" x14ac:dyDescent="0.2">
      <c r="A4"/>
      <c r="B4"/>
      <c r="C4" s="48" t="str">
        <f>"Revenue and Operating Margins Drivers"</f>
        <v>Revenue and Operating Margins Drivers</v>
      </c>
      <c r="D4" s="48"/>
      <c r="E4" s="48"/>
      <c r="F4" s="48"/>
      <c r="G4" s="48"/>
      <c r="H4" s="48"/>
      <c r="I4" s="48"/>
      <c r="J4" s="48"/>
      <c r="K4" s="48"/>
      <c r="L4" s="48"/>
      <c r="M4" s="48"/>
      <c r="N4" s="67" t="str" cm="1">
        <f t="array" ref="N4">"DCF Share Value as of "&amp;TEXT(DCF_ShareValue_Date,"MM/DD/YYYY")&amp;":"</f>
        <v>DCF Share Value as of 12/31/2024:</v>
      </c>
      <c r="O4" s="65">
        <f>DCF_Share_Value</f>
        <v>520.1066763818468</v>
      </c>
      <c r="P4" s="1373"/>
      <c r="Q4" s="1373"/>
      <c r="R4" s="1375" t="str">
        <f>C4&amp;" Quarterly and Year Basis"</f>
        <v>Revenue and Operating Margins Drivers Quarterly and Year Basis</v>
      </c>
      <c r="S4" s="1375"/>
      <c r="T4" s="1375"/>
      <c r="U4" s="1375"/>
      <c r="V4" s="1375"/>
      <c r="W4" s="1375"/>
      <c r="X4" s="1375"/>
      <c r="Y4" s="1375"/>
      <c r="Z4" s="1375"/>
      <c r="AA4" s="1375"/>
      <c r="AB4" s="1375"/>
      <c r="AC4" s="1375"/>
      <c r="AD4" s="1375"/>
      <c r="AE4" s="1375"/>
      <c r="AF4" s="1375"/>
      <c r="AG4" s="1375"/>
      <c r="AH4" s="1375"/>
      <c r="AI4" s="1375"/>
      <c r="AJ4" s="1375"/>
      <c r="AK4" s="1375"/>
      <c r="AL4" s="1375"/>
      <c r="AM4" s="1375"/>
      <c r="AN4" s="1375"/>
      <c r="AO4" s="1375"/>
      <c r="AP4" s="1375"/>
      <c r="AQ4" s="1375"/>
      <c r="AR4" s="1375"/>
      <c r="AS4" s="1375"/>
      <c r="AT4" s="1375"/>
      <c r="AU4" s="1375"/>
      <c r="AV4" s="1375"/>
      <c r="AW4" s="1375"/>
      <c r="AX4" s="1375"/>
      <c r="AY4" s="1375"/>
      <c r="AZ4" s="1375"/>
      <c r="BA4" s="1375"/>
      <c r="BB4" s="63"/>
      <c r="BC4" s="63"/>
      <c r="BD4" s="63"/>
      <c r="BE4" s="63"/>
      <c r="BF4" s="63"/>
      <c r="BG4" s="63"/>
      <c r="BH4" s="63"/>
      <c r="BI4" s="63"/>
      <c r="BJ4" s="63"/>
      <c r="BK4" s="63"/>
      <c r="BL4" s="63"/>
      <c r="BM4" s="63"/>
      <c r="BN4" s="63"/>
      <c r="BO4" s="63"/>
      <c r="BP4" s="63"/>
      <c r="BQ4" s="63"/>
      <c r="BR4" s="63"/>
      <c r="BS4" s="63"/>
      <c r="BT4" s="63"/>
      <c r="BU4" s="63"/>
      <c r="BV4" s="63"/>
      <c r="BW4" s="63"/>
      <c r="BX4" s="321" t="str">
        <f>N5</f>
        <v>Market Share Price as of 12/31/2024:</v>
      </c>
      <c r="BY4" s="322">
        <f>O5</f>
        <v>455.73</v>
      </c>
      <c r="BZ4" s="322"/>
    </row>
    <row r="5" spans="1:83" s="61" customFormat="1" ht="15" x14ac:dyDescent="0.2">
      <c r="A5"/>
      <c r="B5"/>
      <c r="C5" s="46" t="str">
        <f>"($ in millions, fiscal year ending "&amp;TEXT(FY_Year_End,"MMMM,DD")&amp;")"</f>
        <v>($ in millions, fiscal year ending December,31)</v>
      </c>
      <c r="D5" s="49"/>
      <c r="E5" s="49"/>
      <c r="F5" s="49"/>
      <c r="G5" s="49"/>
      <c r="H5" s="49" t="str">
        <f>"Ticker: "&amp;Company_Ticker</f>
        <v>Ticker: SAIA</v>
      </c>
      <c r="I5" s="49"/>
      <c r="J5" s="49"/>
      <c r="K5" s="49"/>
      <c r="L5" s="49"/>
      <c r="M5" s="49"/>
      <c r="N5" s="66" t="str" cm="1">
        <f t="array" ref="N5">"Market Share Price as of "&amp;TEXT(Market_Share_Price_Date,"MM/DD/YYYY")&amp;":"</f>
        <v>Market Share Price as of 12/31/2024:</v>
      </c>
      <c r="O5" s="65">
        <f>Market_Share_Price</f>
        <v>455.73</v>
      </c>
      <c r="P5" s="1373"/>
      <c r="Q5" s="1373"/>
      <c r="R5" s="96"/>
      <c r="S5" s="1367">
        <f>D7</f>
        <v>43100</v>
      </c>
      <c r="T5" s="1368"/>
      <c r="U5" s="1368"/>
      <c r="V5" s="1368"/>
      <c r="W5" s="1368"/>
      <c r="X5" s="1368">
        <f>DATE(YEAR(S5)+1,MONTH(S5),DAY(S5))</f>
        <v>43465</v>
      </c>
      <c r="Y5" s="1368"/>
      <c r="Z5" s="1368"/>
      <c r="AA5" s="1368"/>
      <c r="AB5" s="1368"/>
      <c r="AC5" s="1368">
        <f>DATE(YEAR(X5)+1,MONTH(X5),DAY(X5))</f>
        <v>43830</v>
      </c>
      <c r="AD5" s="1368"/>
      <c r="AE5" s="1368"/>
      <c r="AF5" s="1368"/>
      <c r="AG5" s="1368"/>
      <c r="AH5" s="1368">
        <f>DATE(YEAR(AC5)+1,MONTH(AC5),DAY(AC5))</f>
        <v>44196</v>
      </c>
      <c r="AI5" s="1368"/>
      <c r="AJ5" s="1368"/>
      <c r="AK5" s="1368"/>
      <c r="AL5" s="1368"/>
      <c r="AM5" s="1368">
        <f>DATE(YEAR(AH5)+1,MONTH(AH5),DAY(AH5))</f>
        <v>44561</v>
      </c>
      <c r="AN5" s="1368"/>
      <c r="AO5" s="1368"/>
      <c r="AP5" s="1368"/>
      <c r="AQ5" s="1368"/>
      <c r="AR5" s="1368">
        <f>DATE(YEAR(AM5)+1,MONTH(AM5),DAY(AM5))</f>
        <v>44926</v>
      </c>
      <c r="AS5" s="1368"/>
      <c r="AT5" s="1368"/>
      <c r="AU5" s="1368"/>
      <c r="AV5" s="1368"/>
      <c r="AW5" s="1368">
        <f>DATE(YEAR(AR5)+1,MONTH(AR5),DAY(AR5))</f>
        <v>45291</v>
      </c>
      <c r="AX5" s="1368"/>
      <c r="AY5" s="1368"/>
      <c r="AZ5" s="1368"/>
      <c r="BA5" s="1368"/>
      <c r="BB5" s="1369">
        <f>DATE(YEAR(AW5)+1,MONTH(AW5),DAY(AW5))</f>
        <v>45657</v>
      </c>
      <c r="BC5" s="1369"/>
      <c r="BD5" s="1369"/>
      <c r="BE5" s="1369"/>
      <c r="BF5" s="1369"/>
      <c r="BG5" s="1365">
        <f>DATE(YEAR(BB5)+1,MONTH(BB5),DAY(BB5))</f>
        <v>46022</v>
      </c>
      <c r="BH5" s="1365"/>
      <c r="BI5" s="1365"/>
      <c r="BJ5" s="1365"/>
      <c r="BK5" s="1365"/>
      <c r="BL5" s="1365">
        <f>DATE(YEAR(BG5)+1,MONTH(BG5),DAY(BG5))</f>
        <v>46387</v>
      </c>
      <c r="BM5" s="1365"/>
      <c r="BN5" s="1365"/>
      <c r="BO5" s="1365"/>
      <c r="BP5" s="1365"/>
      <c r="BQ5" s="1365">
        <f>DATE(YEAR(BL5)+1,MONTH(BL5),DAY(BL5))</f>
        <v>46752</v>
      </c>
      <c r="BR5" s="1365"/>
      <c r="BS5" s="1365"/>
      <c r="BT5" s="1365"/>
      <c r="BU5" s="1365"/>
      <c r="BV5" s="1365">
        <f>DATE(YEAR(BQ5)+1,MONTH(BQ5),DAY(BQ5))</f>
        <v>47118</v>
      </c>
      <c r="BW5" s="1365"/>
      <c r="BX5" s="1365"/>
      <c r="BY5" s="1365"/>
      <c r="BZ5" s="1366"/>
    </row>
    <row r="6" spans="1:83" s="45" customFormat="1" ht="1.5" customHeight="1" x14ac:dyDescent="0.2">
      <c r="A6"/>
      <c r="B6"/>
      <c r="C6" s="42" t="s">
        <v>49</v>
      </c>
      <c r="D6" s="42">
        <v>6</v>
      </c>
      <c r="E6" s="42">
        <v>5</v>
      </c>
      <c r="F6" s="42">
        <v>4</v>
      </c>
      <c r="G6" s="42">
        <v>3</v>
      </c>
      <c r="H6" s="42">
        <v>2</v>
      </c>
      <c r="I6" s="42">
        <v>1</v>
      </c>
      <c r="J6" s="42"/>
      <c r="K6" s="42">
        <v>1</v>
      </c>
      <c r="L6" s="42">
        <v>2</v>
      </c>
      <c r="M6" s="42">
        <v>3</v>
      </c>
      <c r="N6" s="42">
        <v>4</v>
      </c>
      <c r="O6" s="42">
        <v>5</v>
      </c>
      <c r="P6" s="1373"/>
      <c r="Q6" s="1373"/>
      <c r="R6" s="42"/>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4"/>
      <c r="CC6" s="44"/>
      <c r="CD6" s="44"/>
      <c r="CE6" s="44"/>
    </row>
    <row r="7" spans="1:83" s="50" customFormat="1" ht="14.1" customHeight="1" x14ac:dyDescent="0.2">
      <c r="A7"/>
      <c r="B7"/>
      <c r="C7" s="163"/>
      <c r="D7" s="51">
        <f t="shared" ref="D7:I7" si="0">DATE(Base_Year-D6,MONTH(FY_Year_End),DAY(FY_Year_End))</f>
        <v>43100</v>
      </c>
      <c r="E7" s="52">
        <f t="shared" si="0"/>
        <v>43465</v>
      </c>
      <c r="F7" s="52">
        <f t="shared" si="0"/>
        <v>43830</v>
      </c>
      <c r="G7" s="52">
        <f t="shared" si="0"/>
        <v>44196</v>
      </c>
      <c r="H7" s="52">
        <f t="shared" si="0"/>
        <v>44561</v>
      </c>
      <c r="I7" s="52">
        <f t="shared" si="0"/>
        <v>44926</v>
      </c>
      <c r="J7" s="52">
        <f>DATE(Base_Year,MONTH(FY_Year_End),DAY(FY_Year_End))</f>
        <v>45291</v>
      </c>
      <c r="K7" s="53">
        <f>DATE(Base_Year+K6,MONTH(FY_Year_End),DAY(FY_Year_End))</f>
        <v>45657</v>
      </c>
      <c r="L7" s="54">
        <f>DATE(Base_Year+L6,MONTH(FY_Year_End),DAY(FY_Year_End))</f>
        <v>46022</v>
      </c>
      <c r="M7" s="54">
        <f>DATE(Base_Year+M6,MONTH(FY_Year_End),DAY(FY_Year_End))</f>
        <v>46387</v>
      </c>
      <c r="N7" s="54">
        <f>DATE(Base_Year+N6,MONTH(FY_Year_End),DAY(FY_Year_End))</f>
        <v>46752</v>
      </c>
      <c r="O7" s="55">
        <f>DATE(Base_Year+O6,MONTH(FY_Year_End),DAY(FY_Year_End))</f>
        <v>47118</v>
      </c>
      <c r="P7" s="1373"/>
      <c r="Q7" s="1373"/>
      <c r="R7" s="56"/>
      <c r="S7" s="56" t="str">
        <f>TEXT(S5,"YYYY")&amp; " Q"&amp;$K$6</f>
        <v>2017 Q1</v>
      </c>
      <c r="T7" s="57" t="str">
        <f>TEXT(S5,"YYYY")&amp; " Q"&amp;$L$6</f>
        <v>2017 Q2</v>
      </c>
      <c r="U7" s="57" t="str">
        <f>TEXT(S5,"YYYY")&amp; " Q"&amp;$M$6</f>
        <v>2017 Q3</v>
      </c>
      <c r="V7" s="57" t="str">
        <f>TEXT(S5,"YYYY")&amp; " Q"&amp;$N$6</f>
        <v>2017 Q4</v>
      </c>
      <c r="W7" s="57" t="str">
        <f>TEXT(S5,"YYYY")&amp; " FY"</f>
        <v>2017 FY</v>
      </c>
      <c r="X7" s="57" t="str">
        <f>TEXT(X5,"YYYY")&amp; " Q"&amp;$K$6</f>
        <v>2018 Q1</v>
      </c>
      <c r="Y7" s="57" t="str">
        <f>TEXT(X5,"YYYY")&amp; " Q"&amp;$L$6</f>
        <v>2018 Q2</v>
      </c>
      <c r="Z7" s="57" t="str">
        <f>TEXT(X5,"YYYY")&amp; " Q"&amp;$M$6</f>
        <v>2018 Q3</v>
      </c>
      <c r="AA7" s="57" t="str">
        <f>TEXT(X5,"YYYY")&amp; " Q"&amp;$N$6</f>
        <v>2018 Q4</v>
      </c>
      <c r="AB7" s="57" t="str">
        <f>TEXT(X5,"YYYY")&amp; " FY"</f>
        <v>2018 FY</v>
      </c>
      <c r="AC7" s="57" t="str">
        <f>TEXT(AC5,"YYYY")&amp; " Q"&amp;$K$6</f>
        <v>2019 Q1</v>
      </c>
      <c r="AD7" s="57" t="str">
        <f>TEXT(AC5,"YYYY")&amp; " Q"&amp;$L$6</f>
        <v>2019 Q2</v>
      </c>
      <c r="AE7" s="57" t="str">
        <f>TEXT(AC5,"YYYY")&amp; " Q"&amp;$M$6</f>
        <v>2019 Q3</v>
      </c>
      <c r="AF7" s="57" t="str">
        <f>TEXT(AC5,"YYYY")&amp; " Q"&amp;$N$6</f>
        <v>2019 Q4</v>
      </c>
      <c r="AG7" s="57" t="str">
        <f>TEXT(AC5,"YYYY")&amp; " FY"</f>
        <v>2019 FY</v>
      </c>
      <c r="AH7" s="57" t="str">
        <f>TEXT(AH5,"YYYY")&amp; " Q"&amp;$K$6</f>
        <v>2020 Q1</v>
      </c>
      <c r="AI7" s="57" t="str">
        <f>TEXT(AH5,"YYYY")&amp; " Q"&amp;$L$6</f>
        <v>2020 Q2</v>
      </c>
      <c r="AJ7" s="57" t="str">
        <f>TEXT(AH5,"YYYY")&amp; " Q"&amp;$M$6</f>
        <v>2020 Q3</v>
      </c>
      <c r="AK7" s="57" t="str">
        <f>TEXT(AH5,"YYYY")&amp; " Q"&amp;$N$6</f>
        <v>2020 Q4</v>
      </c>
      <c r="AL7" s="57" t="str">
        <f>TEXT(AH5,"YYYY")&amp; " FY"</f>
        <v>2020 FY</v>
      </c>
      <c r="AM7" s="57" t="str">
        <f>TEXT(AM5,"YYYY")&amp; " Q"&amp;$K$6</f>
        <v>2021 Q1</v>
      </c>
      <c r="AN7" s="57" t="str">
        <f>TEXT(AM5,"YYYY")&amp; " Q"&amp;$L$6</f>
        <v>2021 Q2</v>
      </c>
      <c r="AO7" s="57" t="str">
        <f>TEXT(AM5,"YYYY")&amp; " Q"&amp;$M$6</f>
        <v>2021 Q3</v>
      </c>
      <c r="AP7" s="57" t="str">
        <f>TEXT(AM5,"YYYY")&amp; " Q"&amp;$N$6</f>
        <v>2021 Q4</v>
      </c>
      <c r="AQ7" s="57" t="str">
        <f>TEXT(AM5,"YYYY")&amp; " FY"</f>
        <v>2021 FY</v>
      </c>
      <c r="AR7" s="57" t="str">
        <f>TEXT(AR5,"YYYY")&amp; " Q"&amp;$K$6</f>
        <v>2022 Q1</v>
      </c>
      <c r="AS7" s="57" t="str">
        <f>TEXT(AR5,"YYYY")&amp; " Q"&amp;$L$6</f>
        <v>2022 Q2</v>
      </c>
      <c r="AT7" s="57" t="str">
        <f>TEXT(AR5,"YYYY")&amp; " Q"&amp;$M$6</f>
        <v>2022 Q3</v>
      </c>
      <c r="AU7" s="57" t="str">
        <f>TEXT(AR5,"YYYY")&amp; " Q"&amp;$N$6</f>
        <v>2022 Q4</v>
      </c>
      <c r="AV7" s="57" t="str">
        <f>TEXT(AR5,"YYYY")&amp; " FY"</f>
        <v>2022 FY</v>
      </c>
      <c r="AW7" s="57" t="str">
        <f>TEXT(AW5,"YYYY")&amp; " Q"&amp;$K$6</f>
        <v>2023 Q1</v>
      </c>
      <c r="AX7" s="57" t="str">
        <f>TEXT(AW5,"YYYY")&amp; " Q"&amp;$L$6</f>
        <v>2023 Q2</v>
      </c>
      <c r="AY7" s="57" t="str">
        <f>TEXT(AW5,"YYYY")&amp; " Q"&amp;$M$6</f>
        <v>2023 Q3</v>
      </c>
      <c r="AZ7" s="57" t="str">
        <f>TEXT(AW5,"YYYY")&amp; " Q"&amp;$N$6</f>
        <v>2023 Q4</v>
      </c>
      <c r="BA7" s="57" t="str">
        <f>TEXT(AW5,"YYYY")&amp; " FY"</f>
        <v>2023 FY</v>
      </c>
      <c r="BB7" s="57" t="str">
        <f>TEXT(BB5,"YYYY")&amp; " Q"&amp;$K$6</f>
        <v>2024 Q1</v>
      </c>
      <c r="BC7" s="57" t="str">
        <f>TEXT(BB5,"YYYY")&amp; " Q"&amp;$L$6</f>
        <v>2024 Q2</v>
      </c>
      <c r="BD7" s="57" t="str">
        <f>TEXT(BB5,"YYYY")&amp; " Q"&amp;$M$6</f>
        <v>2024 Q3</v>
      </c>
      <c r="BE7" s="58" t="str">
        <f>TEXT(BB5,"YYYY")&amp; " Q"&amp;$N$6</f>
        <v>2024 Q4</v>
      </c>
      <c r="BF7" s="58" t="str">
        <f>TEXT(BB5,"YYYY")&amp; " FY"</f>
        <v>2024 FY</v>
      </c>
      <c r="BG7" s="58" t="str">
        <f>TEXT(BG5,"YYYY")&amp; " Q"&amp;$K$6</f>
        <v>2025 Q1</v>
      </c>
      <c r="BH7" s="58" t="str">
        <f>TEXT(BG5,"YYYY")&amp; " Q"&amp;$L$6</f>
        <v>2025 Q2</v>
      </c>
      <c r="BI7" s="58" t="str">
        <f>TEXT(BG5,"YYYY")&amp; " Q"&amp;$M$6</f>
        <v>2025 Q3</v>
      </c>
      <c r="BJ7" s="58" t="str">
        <f>TEXT(BG5,"YYYY")&amp; " Q"&amp;$N$6</f>
        <v>2025 Q4</v>
      </c>
      <c r="BK7" s="58" t="str">
        <f>TEXT(BG5,"YYYY")&amp; " FY"</f>
        <v>2025 FY</v>
      </c>
      <c r="BL7" s="58" t="str">
        <f>TEXT(BL5,"YYYY")&amp; " Q"&amp;$K$6</f>
        <v>2026 Q1</v>
      </c>
      <c r="BM7" s="58" t="str">
        <f>TEXT(BL5,"YYYY")&amp; " Q"&amp;$L$6</f>
        <v>2026 Q2</v>
      </c>
      <c r="BN7" s="58" t="str">
        <f>TEXT(BL5,"YYYY")&amp; " Q"&amp;$M$6</f>
        <v>2026 Q3</v>
      </c>
      <c r="BO7" s="58" t="str">
        <f>TEXT(BL5,"YYYY")&amp; " Q"&amp;$N$6</f>
        <v>2026 Q4</v>
      </c>
      <c r="BP7" s="58" t="str">
        <f>TEXT(BL5,"YYYY")&amp; " FY"</f>
        <v>2026 FY</v>
      </c>
      <c r="BQ7" s="58" t="str">
        <f>TEXT(BQ5,"YYYY")&amp; " Q"&amp;$K$6</f>
        <v>2027 Q1</v>
      </c>
      <c r="BR7" s="58" t="str">
        <f>TEXT(BQ5,"YYYY")&amp; " Q"&amp;$L$6</f>
        <v>2027 Q2</v>
      </c>
      <c r="BS7" s="58" t="str">
        <f>TEXT(BQ5,"YYYY")&amp; " Q"&amp;$M$6</f>
        <v>2027 Q3</v>
      </c>
      <c r="BT7" s="58" t="str">
        <f>TEXT(BQ5,"YYYY")&amp; " Q"&amp;$N$6</f>
        <v>2027 Q4</v>
      </c>
      <c r="BU7" s="58" t="str">
        <f>TEXT(BQ5,"YYYY")&amp; " FY"</f>
        <v>2027 FY</v>
      </c>
      <c r="BV7" s="58" t="str">
        <f>TEXT(BV5,"YYYY")&amp; " Q"&amp;$K$6</f>
        <v>2028 Q1</v>
      </c>
      <c r="BW7" s="58" t="str">
        <f>TEXT(BV5,"YYYY")&amp; " Q"&amp;$L$6</f>
        <v>2028 Q2</v>
      </c>
      <c r="BX7" s="58" t="str">
        <f>TEXT(BV5,"YYYY")&amp; " Q"&amp;$M$6</f>
        <v>2028 Q3</v>
      </c>
      <c r="BY7" s="58" t="str">
        <f>TEXT(BV5,"YYYY")&amp; " Q"&amp;$N$6</f>
        <v>2028 Q4</v>
      </c>
      <c r="BZ7" s="59" t="str">
        <f>TEXT(BV5,"YYYY")&amp; " FY"</f>
        <v>2028 FY</v>
      </c>
    </row>
    <row r="8" spans="1:83" s="101" customFormat="1" ht="1.1499999999999999" customHeight="1" x14ac:dyDescent="0.2">
      <c r="A8"/>
      <c r="B8"/>
    </row>
    <row r="9" spans="1:83" s="101" customFormat="1" ht="14.1" customHeight="1" x14ac:dyDescent="0.2">
      <c r="A9"/>
      <c r="B9"/>
      <c r="C9" s="238" t="s">
        <v>250</v>
      </c>
      <c r="D9" s="238"/>
      <c r="E9" s="259">
        <f>IFERROR(E11/D11-1,"NM")</f>
        <v>0.17736560682222513</v>
      </c>
      <c r="F9" s="260">
        <f t="shared" ref="F9:O9" si="1">IFERROR(F11/E11-1,"NM")</f>
        <v>8.0349536142658717E-2</v>
      </c>
      <c r="G9" s="260">
        <f t="shared" si="1"/>
        <v>1.9941961174992473E-2</v>
      </c>
      <c r="H9" s="260">
        <f t="shared" si="1"/>
        <v>0.25589700422417905</v>
      </c>
      <c r="I9" s="260">
        <f t="shared" si="1"/>
        <v>0.21992927001482032</v>
      </c>
      <c r="J9" s="260">
        <f t="shared" si="1"/>
        <v>3.2010807802276275E-2</v>
      </c>
      <c r="K9" s="260">
        <f t="shared" si="1"/>
        <v>0.11371800393241971</v>
      </c>
      <c r="L9" s="260">
        <f t="shared" si="1"/>
        <v>0.11011397797145639</v>
      </c>
      <c r="M9" s="260">
        <f t="shared" si="1"/>
        <v>0.14839364532137833</v>
      </c>
      <c r="N9" s="260">
        <f t="shared" si="1"/>
        <v>8.8691950711687673E-2</v>
      </c>
      <c r="O9" s="260">
        <f t="shared" si="1"/>
        <v>7.9534685569966568E-2</v>
      </c>
      <c r="R9" s="238" t="str">
        <f>C9</f>
        <v>Operating Revenue Growth Rate (%)</v>
      </c>
      <c r="S9" s="238"/>
      <c r="T9" s="238"/>
      <c r="U9" s="238"/>
      <c r="V9" s="238"/>
      <c r="W9" s="238"/>
      <c r="X9" s="260">
        <f t="shared" ref="X9:BC9" si="2">IFERROR(X11/S11-1,"NM")</f>
        <v>0.21577579002754654</v>
      </c>
      <c r="Y9" s="260">
        <f t="shared" si="2"/>
        <v>0.19704042885861073</v>
      </c>
      <c r="Z9" s="260">
        <f t="shared" si="2"/>
        <v>0.21567608023721507</v>
      </c>
      <c r="AA9" s="260">
        <f t="shared" si="2"/>
        <v>8.9340664343810383E-2</v>
      </c>
      <c r="AB9" s="260">
        <f t="shared" si="2"/>
        <v>0.17736560682222513</v>
      </c>
      <c r="AC9" s="260">
        <f t="shared" si="2"/>
        <v>4.5261643818179431E-2</v>
      </c>
      <c r="AD9" s="260">
        <f t="shared" si="2"/>
        <v>8.2716009068602103E-2</v>
      </c>
      <c r="AE9" s="260">
        <f t="shared" si="2"/>
        <v>0.10181595161222101</v>
      </c>
      <c r="AF9" s="260">
        <f t="shared" si="2"/>
        <v>8.9280885064536131E-2</v>
      </c>
      <c r="AG9" s="260">
        <f t="shared" si="2"/>
        <v>8.0349536142658717E-2</v>
      </c>
      <c r="AH9" s="260">
        <f t="shared" si="2"/>
        <v>8.7222103150634167E-2</v>
      </c>
      <c r="AI9" s="260">
        <f t="shared" si="2"/>
        <v>-9.9270780598670894E-2</v>
      </c>
      <c r="AJ9" s="260">
        <f t="shared" si="2"/>
        <v>2.6622391984491012E-2</v>
      </c>
      <c r="AK9" s="260">
        <f t="shared" si="2"/>
        <v>7.5422342094275452E-2</v>
      </c>
      <c r="AL9" s="260">
        <f t="shared" si="2"/>
        <v>1.9941961174992473E-2</v>
      </c>
      <c r="AM9" s="260">
        <f t="shared" si="2"/>
        <v>8.4404878179912046E-2</v>
      </c>
      <c r="AN9" s="260">
        <f t="shared" si="2"/>
        <v>0.36645268993623747</v>
      </c>
      <c r="AO9" s="260">
        <f t="shared" si="2"/>
        <v>0.28011899271668184</v>
      </c>
      <c r="AP9" s="260">
        <f t="shared" si="2"/>
        <v>0.29507725370528193</v>
      </c>
      <c r="AQ9" s="260">
        <f t="shared" si="2"/>
        <v>0.25589700422417905</v>
      </c>
      <c r="AR9" s="260">
        <f t="shared" si="2"/>
        <v>0.3659399182769576</v>
      </c>
      <c r="AS9" s="260">
        <f t="shared" si="2"/>
        <v>0.30493775083882779</v>
      </c>
      <c r="AT9" s="260">
        <f t="shared" si="2"/>
        <v>0.18393712594285128</v>
      </c>
      <c r="AU9" s="260">
        <f t="shared" si="2"/>
        <v>6.262549000860429E-2</v>
      </c>
      <c r="AV9" s="260">
        <f t="shared" si="2"/>
        <v>0.21992927001482032</v>
      </c>
      <c r="AW9" s="260">
        <f t="shared" si="2"/>
        <v>-1.0299206310797615E-3</v>
      </c>
      <c r="AX9" s="260">
        <f t="shared" si="2"/>
        <v>-6.8314300506737258E-2</v>
      </c>
      <c r="AY9" s="260">
        <f t="shared" si="2"/>
        <v>6.2480039366139328E-2</v>
      </c>
      <c r="AZ9" s="260">
        <f t="shared" si="2"/>
        <v>0.14549674711693683</v>
      </c>
      <c r="BA9" s="260">
        <f t="shared" si="2"/>
        <v>3.2010807802276275E-2</v>
      </c>
      <c r="BB9" s="260">
        <f t="shared" si="2"/>
        <v>0.14267222781533162</v>
      </c>
      <c r="BC9" s="260">
        <f t="shared" si="2"/>
        <v>0.18516833615981088</v>
      </c>
      <c r="BD9" s="260">
        <f t="shared" ref="BD9:BZ9" si="3">IFERROR(BD11/AY11-1,"NM")</f>
        <v>8.6382659222028257E-2</v>
      </c>
      <c r="BE9" s="260">
        <f t="shared" si="3"/>
        <v>5.0390356455329188E-2</v>
      </c>
      <c r="BF9" s="260">
        <f t="shared" si="3"/>
        <v>0.11371800393241971</v>
      </c>
      <c r="BG9" s="260">
        <f t="shared" si="3"/>
        <v>0.10151149062072284</v>
      </c>
      <c r="BH9" s="260">
        <f t="shared" si="3"/>
        <v>0.11729562723347198</v>
      </c>
      <c r="BI9" s="260">
        <f t="shared" si="3"/>
        <v>9.3143457074752911E-2</v>
      </c>
      <c r="BJ9" s="260">
        <f t="shared" si="3"/>
        <v>0.12896310618947693</v>
      </c>
      <c r="BK9" s="260">
        <f t="shared" si="3"/>
        <v>0.11011397797145639</v>
      </c>
      <c r="BL9" s="260">
        <f t="shared" si="3"/>
        <v>0.13344881999999991</v>
      </c>
      <c r="BM9" s="260">
        <f t="shared" si="3"/>
        <v>0.13872722000000026</v>
      </c>
      <c r="BN9" s="260">
        <f t="shared" si="3"/>
        <v>0.14627072000000019</v>
      </c>
      <c r="BO9" s="260">
        <f t="shared" si="3"/>
        <v>0.17451881689846105</v>
      </c>
      <c r="BP9" s="260">
        <f t="shared" si="3"/>
        <v>0.14839364532137833</v>
      </c>
      <c r="BQ9" s="260">
        <f t="shared" si="3"/>
        <v>8.5088520000000001E-2</v>
      </c>
      <c r="BR9" s="260">
        <f t="shared" si="3"/>
        <v>8.9220820000000201E-2</v>
      </c>
      <c r="BS9" s="260">
        <f t="shared" si="3"/>
        <v>9.4574420000000048E-2</v>
      </c>
      <c r="BT9" s="260">
        <f t="shared" si="3"/>
        <v>8.5475119999999905E-2</v>
      </c>
      <c r="BU9" s="260">
        <f t="shared" si="3"/>
        <v>8.8691950711687673E-2</v>
      </c>
      <c r="BV9" s="260">
        <f t="shared" si="3"/>
        <v>7.8482599999999847E-2</v>
      </c>
      <c r="BW9" s="260">
        <f t="shared" si="3"/>
        <v>8.5750399999999782E-2</v>
      </c>
      <c r="BX9" s="260">
        <f t="shared" si="3"/>
        <v>8.3063000000000109E-2</v>
      </c>
      <c r="BY9" s="260">
        <f t="shared" si="3"/>
        <v>7.0648999999999962E-2</v>
      </c>
      <c r="BZ9" s="260">
        <f t="shared" si="3"/>
        <v>7.9534685569966568E-2</v>
      </c>
    </row>
    <row r="10" spans="1:83" s="101" customFormat="1" ht="1.1499999999999999" customHeight="1" x14ac:dyDescent="0.2">
      <c r="A10"/>
      <c r="B10"/>
      <c r="D10" s="101">
        <f t="shared" ref="D10:N10" si="4">D13+D15</f>
        <v>1404.703</v>
      </c>
      <c r="E10" s="101">
        <f t="shared" si="4"/>
        <v>1653.8489999999999</v>
      </c>
      <c r="F10" s="101">
        <f t="shared" si="4"/>
        <v>1786.7349999999999</v>
      </c>
      <c r="G10" s="101">
        <f t="shared" si="4"/>
        <v>1822.366</v>
      </c>
      <c r="H10" s="101">
        <f t="shared" si="4"/>
        <v>2288.7040000000002</v>
      </c>
      <c r="I10" s="101">
        <f t="shared" si="4"/>
        <v>2792.0569999999998</v>
      </c>
      <c r="J10" s="101">
        <f t="shared" si="4"/>
        <v>2881.433</v>
      </c>
      <c r="K10" s="101">
        <f t="shared" si="4"/>
        <v>3209.1038092250042</v>
      </c>
      <c r="L10" s="101">
        <f t="shared" si="4"/>
        <v>3562.4709953821234</v>
      </c>
      <c r="M10" s="101">
        <f t="shared" si="4"/>
        <v>4091.1190527385556</v>
      </c>
      <c r="N10" s="101">
        <f t="shared" si="4"/>
        <v>4453.9683821196895</v>
      </c>
      <c r="O10" s="101">
        <f>O13+O15</f>
        <v>4808.2133569301513</v>
      </c>
    </row>
    <row r="11" spans="1:83" s="228" customFormat="1" ht="14.1" customHeight="1" x14ac:dyDescent="0.2">
      <c r="A11"/>
      <c r="B11"/>
      <c r="C11" s="239" t="s">
        <v>240</v>
      </c>
      <c r="D11" s="241">
        <f t="shared" ref="D11:N11" si="5">D13+D15</f>
        <v>1404.703</v>
      </c>
      <c r="E11" s="241">
        <f t="shared" si="5"/>
        <v>1653.8489999999999</v>
      </c>
      <c r="F11" s="241">
        <f t="shared" si="5"/>
        <v>1786.7349999999999</v>
      </c>
      <c r="G11" s="241">
        <f t="shared" si="5"/>
        <v>1822.366</v>
      </c>
      <c r="H11" s="241">
        <f t="shared" si="5"/>
        <v>2288.7040000000002</v>
      </c>
      <c r="I11" s="241">
        <f t="shared" si="5"/>
        <v>2792.0569999999998</v>
      </c>
      <c r="J11" s="241">
        <f t="shared" si="5"/>
        <v>2881.433</v>
      </c>
      <c r="K11" s="241">
        <f t="shared" si="5"/>
        <v>3209.1038092250042</v>
      </c>
      <c r="L11" s="241">
        <f t="shared" si="5"/>
        <v>3562.4709953821234</v>
      </c>
      <c r="M11" s="241">
        <f t="shared" si="5"/>
        <v>4091.1190527385556</v>
      </c>
      <c r="N11" s="241">
        <f t="shared" si="5"/>
        <v>4453.9683821196895</v>
      </c>
      <c r="O11" s="241">
        <f>O13+O15</f>
        <v>4808.2133569301513</v>
      </c>
      <c r="P11" s="942"/>
      <c r="Q11" s="227"/>
      <c r="R11" s="238" t="str">
        <f>C11</f>
        <v>Operating Revenue</v>
      </c>
      <c r="S11" s="241">
        <f t="shared" ref="S11:AQ11" si="6">S13+S15</f>
        <v>323.08999999999997</v>
      </c>
      <c r="T11" s="241">
        <f t="shared" si="6"/>
        <v>358.16</v>
      </c>
      <c r="U11" s="241">
        <f t="shared" si="6"/>
        <v>350.06200000000001</v>
      </c>
      <c r="V11" s="241">
        <f t="shared" si="6"/>
        <v>373.39100000000008</v>
      </c>
      <c r="W11" s="241">
        <f t="shared" si="6"/>
        <v>1404.703</v>
      </c>
      <c r="X11" s="241">
        <f t="shared" si="6"/>
        <v>392.80500000000001</v>
      </c>
      <c r="Y11" s="241">
        <f t="shared" si="6"/>
        <v>428.73200000000003</v>
      </c>
      <c r="Z11" s="241">
        <f t="shared" si="6"/>
        <v>425.56200000000001</v>
      </c>
      <c r="AA11" s="241">
        <f t="shared" si="6"/>
        <v>406.74999999999977</v>
      </c>
      <c r="AB11" s="241">
        <f t="shared" si="6"/>
        <v>1653.8489999999999</v>
      </c>
      <c r="AC11" s="241">
        <f t="shared" si="6"/>
        <v>410.584</v>
      </c>
      <c r="AD11" s="241">
        <f t="shared" si="6"/>
        <v>464.19499999999999</v>
      </c>
      <c r="AE11" s="241">
        <f t="shared" si="6"/>
        <v>468.89100000000002</v>
      </c>
      <c r="AF11" s="241">
        <f t="shared" si="6"/>
        <v>443.06499999999983</v>
      </c>
      <c r="AG11" s="241">
        <f t="shared" si="6"/>
        <v>1786.7349999999999</v>
      </c>
      <c r="AH11" s="241">
        <f t="shared" si="6"/>
        <v>446.39600000000002</v>
      </c>
      <c r="AI11" s="241">
        <f t="shared" si="6"/>
        <v>418.11399999999998</v>
      </c>
      <c r="AJ11" s="241">
        <f t="shared" si="6"/>
        <v>481.37400000000002</v>
      </c>
      <c r="AK11" s="241">
        <f t="shared" si="6"/>
        <v>476.48199999999997</v>
      </c>
      <c r="AL11" s="241">
        <f t="shared" si="6"/>
        <v>1822.366</v>
      </c>
      <c r="AM11" s="241">
        <f t="shared" si="6"/>
        <v>484.07400000000001</v>
      </c>
      <c r="AN11" s="241">
        <f t="shared" si="6"/>
        <v>571.33299999999997</v>
      </c>
      <c r="AO11" s="241">
        <f t="shared" si="6"/>
        <v>616.21600000000001</v>
      </c>
      <c r="AP11" s="241">
        <f t="shared" si="6"/>
        <v>617.08100000000013</v>
      </c>
      <c r="AQ11" s="241">
        <f t="shared" si="6"/>
        <v>2288.7040000000002</v>
      </c>
      <c r="AR11" s="241">
        <f t="shared" ref="AR11:AW11" si="7">AR13+AR15</f>
        <v>661.21600000000001</v>
      </c>
      <c r="AS11" s="241">
        <f t="shared" si="7"/>
        <v>745.55399999999997</v>
      </c>
      <c r="AT11" s="241">
        <f t="shared" si="7"/>
        <v>729.56100000000004</v>
      </c>
      <c r="AU11" s="241">
        <f t="shared" si="7"/>
        <v>655.72599999999966</v>
      </c>
      <c r="AV11" s="241">
        <f t="shared" si="7"/>
        <v>2792.0569999999998</v>
      </c>
      <c r="AW11" s="241">
        <f t="shared" si="7"/>
        <v>660.53499999999997</v>
      </c>
      <c r="AX11" s="241">
        <f t="shared" ref="AX11:BD11" si="8">AX13+AX15</f>
        <v>694.62199999999996</v>
      </c>
      <c r="AY11" s="241">
        <f t="shared" si="8"/>
        <v>775.14400000000001</v>
      </c>
      <c r="AZ11" s="241">
        <f t="shared" si="8"/>
        <v>751.13200000000006</v>
      </c>
      <c r="BA11" s="241">
        <f t="shared" si="8"/>
        <v>2881.433</v>
      </c>
      <c r="BB11" s="241">
        <f t="shared" si="8"/>
        <v>754.77499999999998</v>
      </c>
      <c r="BC11" s="241">
        <f t="shared" si="8"/>
        <v>823.24400000000003</v>
      </c>
      <c r="BD11" s="241">
        <f t="shared" si="8"/>
        <v>842.10299999999995</v>
      </c>
      <c r="BE11" s="318">
        <f>IFERROR(BE13+BE15,"NM")</f>
        <v>788.98180922500433</v>
      </c>
      <c r="BF11" s="318">
        <f t="shared" ref="BF11:BZ11" si="9">IFERROR(BF13+BF15,"NM")</f>
        <v>3209.1038092250042</v>
      </c>
      <c r="BG11" s="318">
        <f t="shared" si="9"/>
        <v>831.39333533325612</v>
      </c>
      <c r="BH11" s="318">
        <f t="shared" si="9"/>
        <v>919.80692134619244</v>
      </c>
      <c r="BI11" s="318">
        <f t="shared" si="9"/>
        <v>920.53938463302052</v>
      </c>
      <c r="BJ11" s="318">
        <f t="shared" si="9"/>
        <v>890.73135406965412</v>
      </c>
      <c r="BK11" s="318">
        <f>IFERROR(BK13+BK15,"NM")</f>
        <v>3562.4709953821234</v>
      </c>
      <c r="BL11" s="318">
        <f t="shared" si="9"/>
        <v>942.3417948893433</v>
      </c>
      <c r="BM11" s="318">
        <f t="shared" si="9"/>
        <v>1047.4091784813086</v>
      </c>
      <c r="BN11" s="318">
        <f t="shared" si="9"/>
        <v>1055.1873432116495</v>
      </c>
      <c r="BO11" s="318">
        <f t="shared" si="9"/>
        <v>1046.1807361562544</v>
      </c>
      <c r="BP11" s="318">
        <f>IFERROR(BP13+BP15,"NM")</f>
        <v>4091.1190527385556</v>
      </c>
      <c r="BQ11" s="318">
        <f t="shared" si="9"/>
        <v>1022.5242635506211</v>
      </c>
      <c r="BR11" s="318">
        <f t="shared" si="9"/>
        <v>1140.8598842609374</v>
      </c>
      <c r="BS11" s="318">
        <f t="shared" si="9"/>
        <v>1154.9810741872323</v>
      </c>
      <c r="BT11" s="318">
        <f t="shared" si="9"/>
        <v>1135.6031601208986</v>
      </c>
      <c r="BU11" s="318">
        <f t="shared" si="9"/>
        <v>4453.9683821196895</v>
      </c>
      <c r="BV11" s="318">
        <f t="shared" si="9"/>
        <v>1102.7746263171589</v>
      </c>
      <c r="BW11" s="318">
        <f t="shared" si="9"/>
        <v>1238.6890756802663</v>
      </c>
      <c r="BX11" s="318">
        <f t="shared" si="9"/>
        <v>1250.9172671524464</v>
      </c>
      <c r="BY11" s="318">
        <f t="shared" si="9"/>
        <v>1215.8323877802798</v>
      </c>
      <c r="BZ11" s="318">
        <f t="shared" si="9"/>
        <v>4808.2133569301513</v>
      </c>
    </row>
    <row r="12" spans="1:83" s="101" customFormat="1" ht="1.1499999999999999" customHeight="1" x14ac:dyDescent="0.2">
      <c r="A12"/>
      <c r="B12"/>
    </row>
    <row r="13" spans="1:83" s="101" customFormat="1" ht="14.1" customHeight="1" x14ac:dyDescent="0.2">
      <c r="A13"/>
      <c r="B13"/>
      <c r="C13" s="240" t="s">
        <v>254</v>
      </c>
      <c r="D13" s="261">
        <f t="shared" ref="D13:J13" si="10">IFERROR(D21*D25,"NM")</f>
        <v>1367.0280000000002</v>
      </c>
      <c r="E13" s="261">
        <f t="shared" si="10"/>
        <v>1613.136</v>
      </c>
      <c r="F13" s="261">
        <f t="shared" si="10"/>
        <v>1740.02</v>
      </c>
      <c r="G13" s="261">
        <f t="shared" si="10"/>
        <v>1775.0771999999997</v>
      </c>
      <c r="H13" s="261">
        <f t="shared" si="10"/>
        <v>2233.8535999999999</v>
      </c>
      <c r="I13" s="261">
        <f t="shared" si="10"/>
        <v>2703.6619999999998</v>
      </c>
      <c r="J13" s="261">
        <f t="shared" si="10"/>
        <v>2813.6268</v>
      </c>
      <c r="K13" s="261">
        <f>BF13</f>
        <v>3135.0924811263994</v>
      </c>
      <c r="L13" s="261">
        <f>BK13</f>
        <v>3476.7321371290027</v>
      </c>
      <c r="M13" s="261">
        <f>BP13</f>
        <v>3975.5468139740806</v>
      </c>
      <c r="N13" s="261">
        <f>BU13</f>
        <v>4328.1981803076551</v>
      </c>
      <c r="O13" s="262">
        <f>BZ13</f>
        <v>4672.5898508968812</v>
      </c>
      <c r="R13" s="240" t="s">
        <v>254</v>
      </c>
      <c r="S13" s="298">
        <f t="shared" ref="S13:BE13" si="11">IFERROR(S21*S25,"NM")</f>
        <v>295.23599999999999</v>
      </c>
      <c r="T13" s="110">
        <f t="shared" si="11"/>
        <v>332.39519999999999</v>
      </c>
      <c r="U13" s="110">
        <f t="shared" si="11"/>
        <v>323.2432</v>
      </c>
      <c r="V13" s="110">
        <f t="shared" si="11"/>
        <v>338.01100000000014</v>
      </c>
      <c r="W13" s="253">
        <f t="shared" si="11"/>
        <v>1367.0280000000002</v>
      </c>
      <c r="X13" s="298">
        <f t="shared" si="11"/>
        <v>381.76160000000004</v>
      </c>
      <c r="Y13" s="110">
        <f t="shared" si="11"/>
        <v>420.20640000000009</v>
      </c>
      <c r="Z13" s="110">
        <f t="shared" si="11"/>
        <v>415.55200000000002</v>
      </c>
      <c r="AA13" s="110">
        <f t="shared" si="11"/>
        <v>393.7247999999999</v>
      </c>
      <c r="AB13" s="253">
        <f t="shared" si="11"/>
        <v>1613.136</v>
      </c>
      <c r="AC13" s="298">
        <f t="shared" si="11"/>
        <v>401.1558</v>
      </c>
      <c r="AD13" s="110">
        <f t="shared" si="11"/>
        <v>452.69400000000007</v>
      </c>
      <c r="AE13" s="110">
        <f t="shared" si="11"/>
        <v>457.71119999999996</v>
      </c>
      <c r="AF13" s="110">
        <f t="shared" si="11"/>
        <v>428.81760000000031</v>
      </c>
      <c r="AG13" s="253">
        <f t="shared" si="11"/>
        <v>1740.02</v>
      </c>
      <c r="AH13" s="298">
        <f t="shared" si="11"/>
        <v>436.92959999999999</v>
      </c>
      <c r="AI13" s="110">
        <f t="shared" si="11"/>
        <v>409.97799999999995</v>
      </c>
      <c r="AJ13" s="110">
        <f t="shared" si="11"/>
        <v>469.58339999999993</v>
      </c>
      <c r="AK13" s="110">
        <f t="shared" si="11"/>
        <v>459.54159999999973</v>
      </c>
      <c r="AL13" s="253">
        <f t="shared" si="11"/>
        <v>1775.0771999999997</v>
      </c>
      <c r="AM13" s="298">
        <f t="shared" si="11"/>
        <v>478.34920000000011</v>
      </c>
      <c r="AN13" s="110">
        <f t="shared" si="11"/>
        <v>557.9008</v>
      </c>
      <c r="AO13" s="110">
        <f t="shared" si="11"/>
        <v>598.93439999999998</v>
      </c>
      <c r="AP13" s="110">
        <f t="shared" si="11"/>
        <v>601.39280000000008</v>
      </c>
      <c r="AQ13" s="253">
        <f t="shared" si="11"/>
        <v>2233.8535999999999</v>
      </c>
      <c r="AR13" s="298">
        <f t="shared" si="11"/>
        <v>646.06459999999993</v>
      </c>
      <c r="AS13" s="110">
        <f t="shared" si="11"/>
        <v>724.44599999999991</v>
      </c>
      <c r="AT13" s="110">
        <f t="shared" si="11"/>
        <v>701.2940000000001</v>
      </c>
      <c r="AU13" s="110">
        <f t="shared" si="11"/>
        <v>630.44959999999969</v>
      </c>
      <c r="AV13" s="253">
        <f t="shared" si="11"/>
        <v>2703.6619999999998</v>
      </c>
      <c r="AW13" s="298">
        <f t="shared" si="11"/>
        <v>645.79859999999996</v>
      </c>
      <c r="AX13" s="110">
        <f t="shared" si="11"/>
        <v>677.81700000000001</v>
      </c>
      <c r="AY13" s="110">
        <f t="shared" si="11"/>
        <v>759.0258</v>
      </c>
      <c r="AZ13" s="110">
        <f t="shared" si="11"/>
        <v>730.32959999999991</v>
      </c>
      <c r="BA13" s="253">
        <f t="shared" si="11"/>
        <v>2813.6268</v>
      </c>
      <c r="BB13" s="298">
        <f t="shared" si="11"/>
        <v>738.03839999999991</v>
      </c>
      <c r="BC13" s="110">
        <f t="shared" si="11"/>
        <v>802.88499999999999</v>
      </c>
      <c r="BD13" s="110">
        <f t="shared" si="11"/>
        <v>823.04399999999998</v>
      </c>
      <c r="BE13" s="110">
        <f t="shared" si="11"/>
        <v>771.12508112639966</v>
      </c>
      <c r="BF13" s="253">
        <f>SUM(BB13:BE13)</f>
        <v>3135.0924811263994</v>
      </c>
      <c r="BG13" s="298">
        <f>IFERROR(BG21*BG25,"NM")</f>
        <v>812.12638478399992</v>
      </c>
      <c r="BH13" s="110">
        <f>IFERROR(BH21*BH25,"NM")</f>
        <v>896.14009275000001</v>
      </c>
      <c r="BI13" s="110">
        <f>IFERROR(BI21*BI25,"NM")</f>
        <v>898.78462409999986</v>
      </c>
      <c r="BJ13" s="110">
        <f>IFERROR(BJ21*BJ25,"NM")</f>
        <v>869.68103549500279</v>
      </c>
      <c r="BK13" s="253">
        <f>SUM(BG13:BJ13)</f>
        <v>3476.7321371290027</v>
      </c>
      <c r="BL13" s="298">
        <f>IFERROR(BL21*BL25,"NM")</f>
        <v>920.50369252429061</v>
      </c>
      <c r="BM13" s="110">
        <f>IFERROR(BM21*BM25,"NM")</f>
        <v>1020.4591165477498</v>
      </c>
      <c r="BN13" s="110">
        <f>IFERROR(BN21*BN25,"NM")</f>
        <v>1030.2504981920363</v>
      </c>
      <c r="BO13" s="110">
        <f>IFERROR(BO21*BO25,"NM")</f>
        <v>1004.3335067100041</v>
      </c>
      <c r="BP13" s="253">
        <f>SUM(BL13:BO13)</f>
        <v>3975.5468139740806</v>
      </c>
      <c r="BQ13" s="298">
        <f>IFERROR(BQ21*BQ25,"NM")</f>
        <v>998.82798937571749</v>
      </c>
      <c r="BR13" s="110">
        <f>IFERROR(BR21*BR25,"NM")</f>
        <v>1111.5053157026157</v>
      </c>
      <c r="BS13" s="110">
        <f>IFERROR(BS21*BS25,"NM")</f>
        <v>1127.6858415132592</v>
      </c>
      <c r="BT13" s="110">
        <f>IFERROR(BT21*BT25,"NM")</f>
        <v>1090.1790337160626</v>
      </c>
      <c r="BU13" s="253">
        <f>SUM(BQ13:BT13)</f>
        <v>4328.1981803076551</v>
      </c>
      <c r="BV13" s="298">
        <f>IFERROR(BV21*BV25,"NM")</f>
        <v>1077.218606934696</v>
      </c>
      <c r="BW13" s="110">
        <f>IFERROR(BW21*BW25,"NM")</f>
        <v>1206.8173411262412</v>
      </c>
      <c r="BX13" s="110">
        <f>IFERROR(BX21*BX25,"NM")</f>
        <v>1221.3548105668751</v>
      </c>
      <c r="BY13" s="110">
        <f>IFERROR(BY21*BY25,"NM")</f>
        <v>1167.1990922690686</v>
      </c>
      <c r="BZ13" s="253">
        <f>SUM(BV13:BY13)</f>
        <v>4672.5898508968812</v>
      </c>
    </row>
    <row r="14" spans="1:83" s="101" customFormat="1" ht="14.1" customHeight="1" x14ac:dyDescent="0.2">
      <c r="A14"/>
      <c r="B14"/>
      <c r="C14" s="244" t="s">
        <v>245</v>
      </c>
      <c r="D14" s="263">
        <f>IFERROR(D13/'Income Statement'!D8,"NM")</f>
        <v>0.97317938382704405</v>
      </c>
      <c r="E14" s="263">
        <f>IFERROR(E13/'Income Statement'!E8,"NM")</f>
        <v>0.97538287957364911</v>
      </c>
      <c r="F14" s="263">
        <f>IFERROR(F13/'Income Statement'!F8,"NM")</f>
        <v>0.97385454474222544</v>
      </c>
      <c r="G14" s="263">
        <f>IFERROR(G13/'Income Statement'!G8,"NM")</f>
        <v>0.97405087671741009</v>
      </c>
      <c r="H14" s="263">
        <f>IFERROR(H13/'Income Statement'!H8,"NM")</f>
        <v>0.97603429713934164</v>
      </c>
      <c r="I14" s="263">
        <f>IFERROR(I13/'Income Statement'!I8,"NM")</f>
        <v>0.96834054605618725</v>
      </c>
      <c r="J14" s="263">
        <f>IFERROR(J13/'Income Statement'!J8,"NM")</f>
        <v>0.97646788941474605</v>
      </c>
      <c r="K14" s="263">
        <f>BF14</f>
        <v>0.97693707262262786</v>
      </c>
      <c r="L14" s="263">
        <f>BK14</f>
        <v>0.97593275612229258</v>
      </c>
      <c r="M14" s="263">
        <f>BP14</f>
        <v>0.97175045818157946</v>
      </c>
      <c r="N14" s="263">
        <f>BU14</f>
        <v>0.9717622149459042</v>
      </c>
      <c r="O14" s="264">
        <f>BZ14</f>
        <v>0.97179336773028302</v>
      </c>
      <c r="R14" s="244" t="s">
        <v>245</v>
      </c>
      <c r="S14" s="347">
        <f>IFERROR(S13/'Income Statement'!S8,"NM")</f>
        <v>0.913788727599121</v>
      </c>
      <c r="T14" s="251">
        <f>IFERROR(T13/'Income Statement'!T8,"NM")</f>
        <v>0.92806343533616253</v>
      </c>
      <c r="U14" s="251">
        <f>IFERROR(U13/'Income Statement'!U8,"NM")</f>
        <v>0.92338842833555201</v>
      </c>
      <c r="V14" s="251">
        <f>IFERROR(V13/'Income Statement'!V8,"NM")</f>
        <v>0.90524677884576776</v>
      </c>
      <c r="W14" s="254">
        <f>IFERROR(W13/'Income Statement'!W8,"NM")</f>
        <v>0.97317938382704405</v>
      </c>
      <c r="X14" s="347">
        <f>IFERROR(X13/'Income Statement'!X8,"NM")</f>
        <v>0.97188579575107248</v>
      </c>
      <c r="Y14" s="251">
        <f>IFERROR(Y13/'Income Statement'!Y8,"NM")</f>
        <v>0.98011438381086569</v>
      </c>
      <c r="Z14" s="251">
        <f>IFERROR(Z13/'Income Statement'!Z8,"NM")</f>
        <v>0.97647816299387635</v>
      </c>
      <c r="AA14" s="251">
        <f>IFERROR(AA13/'Income Statement'!AA8,"NM")</f>
        <v>0.96797738168408143</v>
      </c>
      <c r="AB14" s="254">
        <f>IFERROR(AB13/'Income Statement'!AB8,"NM")</f>
        <v>0.97538287957364911</v>
      </c>
      <c r="AC14" s="347">
        <f>IFERROR(AC13/'Income Statement'!AC8,"NM")</f>
        <v>0.97703709837694597</v>
      </c>
      <c r="AD14" s="251">
        <f>IFERROR(AD13/'Income Statement'!AD8,"NM")</f>
        <v>0.97522377449132391</v>
      </c>
      <c r="AE14" s="251">
        <f>IFERROR(AE13/'Income Statement'!AE8,"NM")</f>
        <v>0.97615693199485587</v>
      </c>
      <c r="AF14" s="251">
        <f>IFERROR(AF13/'Income Statement'!AF8,"NM")</f>
        <v>0.96784354440093545</v>
      </c>
      <c r="AG14" s="254">
        <f>IFERROR(AG13/'Income Statement'!AG8,"NM")</f>
        <v>0.97385454474222544</v>
      </c>
      <c r="AH14" s="347">
        <f>IFERROR(AH13/'Income Statement'!AH8,"NM")</f>
        <v>0.97879371678957694</v>
      </c>
      <c r="AI14" s="251">
        <f>IFERROR(AI13/'Income Statement'!AI8,"NM")</f>
        <v>0.98054119211506907</v>
      </c>
      <c r="AJ14" s="251">
        <f>IFERROR(AJ13/'Income Statement'!AJ8,"NM")</f>
        <v>0.97550636303580984</v>
      </c>
      <c r="AK14" s="251">
        <f>IFERROR(AK13/'Income Statement'!AK8,"NM")</f>
        <v>0.96444692559215195</v>
      </c>
      <c r="AL14" s="254">
        <f>IFERROR(AL13/'Income Statement'!AL8,"NM")</f>
        <v>0.97405087671741009</v>
      </c>
      <c r="AM14" s="347">
        <f>IFERROR(AM13/'Income Statement'!AM8,"NM")</f>
        <v>0.98817370897837953</v>
      </c>
      <c r="AN14" s="251">
        <f>IFERROR(AN13/'Income Statement'!AN8,"NM")</f>
        <v>0.97648971790531969</v>
      </c>
      <c r="AO14" s="251">
        <f>IFERROR(AO13/'Income Statement'!AO8,"NM")</f>
        <v>0.97195528840536427</v>
      </c>
      <c r="AP14" s="251">
        <f>IFERROR(AP13/'Income Statement'!AP8,"NM")</f>
        <v>0.97457675734628024</v>
      </c>
      <c r="AQ14" s="254">
        <f>IFERROR(AQ13/'Income Statement'!AQ8,"NM")</f>
        <v>0.97603429713934164</v>
      </c>
      <c r="AR14" s="347">
        <f>IFERROR(AR13/'Income Statement'!AR8,"NM")</f>
        <v>0.97708555146880882</v>
      </c>
      <c r="AS14" s="251">
        <f>IFERROR(AS13/'Income Statement'!AS8,"NM")</f>
        <v>0.97168816745668318</v>
      </c>
      <c r="AT14" s="251">
        <f>IFERROR(AT13/'Income Statement'!AT8,"NM")</f>
        <v>0.96125478198533099</v>
      </c>
      <c r="AU14" s="251">
        <f>IFERROR(AU13/'Income Statement'!AU8,"NM")</f>
        <v>0.96145280193251448</v>
      </c>
      <c r="AV14" s="254">
        <f>IFERROR(AV13/'Income Statement'!AV8,"NM")</f>
        <v>0.96834054605618725</v>
      </c>
      <c r="AW14" s="347">
        <f>IFERROR(AW13/'Income Statement'!AW8,"NM")</f>
        <v>0.97769020566661868</v>
      </c>
      <c r="AX14" s="251">
        <f>IFERROR(AX13/'Income Statement'!AX8,"NM")</f>
        <v>0.97580698566990398</v>
      </c>
      <c r="AY14" s="251">
        <f>IFERROR(AY13/'Income Statement'!AY8,"NM")</f>
        <v>0.97920618620540179</v>
      </c>
      <c r="AZ14" s="251">
        <f>IFERROR(AZ13/'Income Statement'!AZ8,"NM")</f>
        <v>0.97230526724996391</v>
      </c>
      <c r="BA14" s="254">
        <f>IFERROR(BA13/'Income Statement'!BA8,"NM")</f>
        <v>0.97646788941474605</v>
      </c>
      <c r="BB14" s="347">
        <f>IFERROR(BB13/'Income Statement'!BB8,"NM")</f>
        <v>0.97782570964857063</v>
      </c>
      <c r="BC14" s="251">
        <f>IFERROR(BC13/'Income Statement'!BC8,"NM")</f>
        <v>0.97526978635738615</v>
      </c>
      <c r="BD14" s="251">
        <f>IFERROR(BD13/'Income Statement'!BD8,"NM")</f>
        <v>0.97736737667482487</v>
      </c>
      <c r="BE14" s="1206">
        <f>BD14</f>
        <v>0.97736737667482487</v>
      </c>
      <c r="BF14" s="1207">
        <f>BF13/SUM(BF13,BF15)</f>
        <v>0.97693707262262786</v>
      </c>
      <c r="BG14" s="1208">
        <f>BB14-0.1%</f>
        <v>0.97682570964857063</v>
      </c>
      <c r="BH14" s="1206">
        <f>BC14-0.1%</f>
        <v>0.97426978635738615</v>
      </c>
      <c r="BI14" s="1206">
        <f>BD14-0.1%</f>
        <v>0.97636737667482487</v>
      </c>
      <c r="BJ14" s="1206">
        <f>BE14-0.1%</f>
        <v>0.97636737667482487</v>
      </c>
      <c r="BK14" s="1207">
        <f>BK13/SUM(BK13,BK15)</f>
        <v>0.97593275612229258</v>
      </c>
      <c r="BL14" s="1208">
        <f>BG14</f>
        <v>0.97682570964857063</v>
      </c>
      <c r="BM14" s="1206">
        <f>BH14</f>
        <v>0.97426978635738615</v>
      </c>
      <c r="BN14" s="1206">
        <f>BI14</f>
        <v>0.97636737667482487</v>
      </c>
      <c r="BO14" s="1206">
        <v>0.96</v>
      </c>
      <c r="BP14" s="1207">
        <f>BP13/SUM(BP13,BP15)</f>
        <v>0.97175045818157946</v>
      </c>
      <c r="BQ14" s="1208">
        <f>BL14</f>
        <v>0.97682570964857063</v>
      </c>
      <c r="BR14" s="1206">
        <f>BM14</f>
        <v>0.97426978635738615</v>
      </c>
      <c r="BS14" s="1206">
        <f>BN14</f>
        <v>0.97636737667482487</v>
      </c>
      <c r="BT14" s="1206">
        <f>BO14</f>
        <v>0.96</v>
      </c>
      <c r="BU14" s="1207">
        <f>BU13/SUM(BU13,BU15)</f>
        <v>0.9717622149459042</v>
      </c>
      <c r="BV14" s="1208">
        <f>BQ14</f>
        <v>0.97682570964857063</v>
      </c>
      <c r="BW14" s="1206">
        <f>BR14</f>
        <v>0.97426978635738615</v>
      </c>
      <c r="BX14" s="1206">
        <f>BS14</f>
        <v>0.97636737667482487</v>
      </c>
      <c r="BY14" s="1206">
        <f>BT14</f>
        <v>0.96</v>
      </c>
      <c r="BZ14" s="1207">
        <f>BZ13/SUM(BZ13,BZ15)</f>
        <v>0.97179336773028302</v>
      </c>
    </row>
    <row r="15" spans="1:83" s="101" customFormat="1" ht="14.1" customHeight="1" x14ac:dyDescent="0.2">
      <c r="A15"/>
      <c r="B15"/>
      <c r="C15" s="243" t="s">
        <v>255</v>
      </c>
      <c r="D15" s="265" cm="1">
        <f t="array" ref="D15">IFERROR(D13/D14*D16,NM)</f>
        <v>37.674999999999734</v>
      </c>
      <c r="E15" s="265" cm="1">
        <f t="array" ref="E15">IFERROR(E13/E14*E16,NM)</f>
        <v>40.712999999999994</v>
      </c>
      <c r="F15" s="265" cm="1">
        <f t="array" ref="F15">IFERROR(F13/F14*F16,NM)</f>
        <v>46.714999999999833</v>
      </c>
      <c r="G15" s="265" cm="1">
        <f t="array" ref="G15">IFERROR(G13/G14*G16,NM)</f>
        <v>47.288800000000251</v>
      </c>
      <c r="H15" s="265" cm="1">
        <f t="array" ref="H15">IFERROR(H13/H14*H16,NM)</f>
        <v>54.850400000000228</v>
      </c>
      <c r="I15" s="265" cm="1">
        <f t="array" ref="I15">IFERROR(I13/I14*I16,NM)</f>
        <v>88.394999999999996</v>
      </c>
      <c r="J15" s="265" cm="1">
        <f t="array" ref="J15">IFERROR(J13/J14*J16,NM)</f>
        <v>67.806200000000047</v>
      </c>
      <c r="K15" s="265">
        <f>BF15</f>
        <v>74.011328098604764</v>
      </c>
      <c r="L15" s="265">
        <f>BK15</f>
        <v>85.738858253120611</v>
      </c>
      <c r="M15" s="265">
        <f>BP15</f>
        <v>115.57223876447489</v>
      </c>
      <c r="N15" s="265">
        <f>BU15</f>
        <v>125.7702018120342</v>
      </c>
      <c r="O15" s="266">
        <f>BZ15</f>
        <v>135.62350603327047</v>
      </c>
      <c r="R15" s="243" t="s">
        <v>255</v>
      </c>
      <c r="S15" s="348" cm="1">
        <f t="array" ref="S15">IFERROR(S13/S14*S16,NM)</f>
        <v>27.853999999999996</v>
      </c>
      <c r="T15" s="99" cm="1">
        <f t="array" ref="T15">IFERROR(T13/T14*T16,NM)</f>
        <v>25.764800000000029</v>
      </c>
      <c r="U15" s="99" cm="1">
        <f t="array" ref="U15">IFERROR(U13/U14*U16,NM)</f>
        <v>26.818799999999992</v>
      </c>
      <c r="V15" s="99" cm="1">
        <f t="array" ref="V15">IFERROR(V13/V14*V16,NM)</f>
        <v>35.379999999999939</v>
      </c>
      <c r="W15" s="255" cm="1">
        <f t="array" ref="W15">IFERROR(W13/W14*W16,NM)</f>
        <v>37.674999999999734</v>
      </c>
      <c r="X15" s="348" cm="1">
        <f t="array" ref="X15">IFERROR(X13/X14*X16,NM)</f>
        <v>11.043399999999975</v>
      </c>
      <c r="Y15" s="99" cm="1">
        <f t="array" ref="Y15">IFERROR(Y13/Y14*Y16,NM)</f>
        <v>8.5255999999999332</v>
      </c>
      <c r="Z15" s="99" cm="1">
        <f t="array" ref="Z15">IFERROR(Z13/Z14*Z16,NM)</f>
        <v>10.009999999999991</v>
      </c>
      <c r="AA15" s="99" cm="1">
        <f t="array" ref="AA15">IFERROR(AA13/AA14*AA16,NM)</f>
        <v>13.025199999999872</v>
      </c>
      <c r="AB15" s="255" cm="1">
        <f t="array" ref="AB15">IFERROR(AB13/AB14*AB16,NM)</f>
        <v>40.712999999999994</v>
      </c>
      <c r="AC15" s="348" cm="1">
        <f t="array" ref="AC15">IFERROR(AC13/AC14*AC16,NM)</f>
        <v>9.4282000000000163</v>
      </c>
      <c r="AD15" s="99" cm="1">
        <f t="array" ref="AD15">IFERROR(AD13/AD14*AD16,NM)</f>
        <v>11.500999999999896</v>
      </c>
      <c r="AE15" s="99" cm="1">
        <f t="array" ref="AE15">IFERROR(AE13/AE14*AE16,NM)</f>
        <v>11.179800000000037</v>
      </c>
      <c r="AF15" s="99" cm="1">
        <f t="array" ref="AF15">IFERROR(AF13/AF14*AF16,NM)</f>
        <v>14.247399999999528</v>
      </c>
      <c r="AG15" s="255" cm="1">
        <f t="array" ref="AG15">IFERROR(AG13/AG14*AG16,NM)</f>
        <v>46.714999999999833</v>
      </c>
      <c r="AH15" s="348" cm="1">
        <f t="array" ref="AH15">IFERROR(AH13/AH14*AH16,NM)</f>
        <v>9.4664000000000126</v>
      </c>
      <c r="AI15" s="99" cm="1">
        <f t="array" ref="AI15">IFERROR(AI13/AI14*AI16,NM)</f>
        <v>8.1360000000000099</v>
      </c>
      <c r="AJ15" s="99" cm="1">
        <f t="array" ref="AJ15">IFERROR(AJ13/AJ14*AJ16,NM)</f>
        <v>11.790600000000074</v>
      </c>
      <c r="AK15" s="99" cm="1">
        <f t="array" ref="AK15">IFERROR(AK13/AK14*AK16,NM)</f>
        <v>16.940400000000253</v>
      </c>
      <c r="AL15" s="255" cm="1">
        <f t="array" ref="AL15">IFERROR(AL13/AL14*AL16,NM)</f>
        <v>47.288800000000251</v>
      </c>
      <c r="AM15" s="348" cm="1">
        <f t="array" ref="AM15">IFERROR(AM13/AM14*AM16,NM)</f>
        <v>5.7247999999999086</v>
      </c>
      <c r="AN15" s="99" cm="1">
        <f t="array" ref="AN15">IFERROR(AN13/AN14*AN16,NM)</f>
        <v>13.432199999999986</v>
      </c>
      <c r="AO15" s="99" cm="1">
        <f t="array" ref="AO15">IFERROR(AO13/AO14*AO16,NM)</f>
        <v>17.281600000000051</v>
      </c>
      <c r="AP15" s="99" cm="1">
        <f t="array" ref="AP15">IFERROR(AP13/AP14*AP16,NM)</f>
        <v>15.688200000000045</v>
      </c>
      <c r="AQ15" s="255" cm="1">
        <f t="array" ref="AQ15">IFERROR(AQ13/AQ14*AQ16,NM)</f>
        <v>54.850400000000228</v>
      </c>
      <c r="AR15" s="348" cm="1">
        <f t="array" ref="AR15">IFERROR(AR13/AR14*AR16,NM)</f>
        <v>15.151400000000107</v>
      </c>
      <c r="AS15" s="99" cm="1">
        <f t="array" ref="AS15">IFERROR(AS13/AS14*AS16,NM)</f>
        <v>21.108000000000025</v>
      </c>
      <c r="AT15" s="99" cm="1">
        <f t="array" ref="AT15">IFERROR(AT13/AT14*AT16,NM)</f>
        <v>28.266999999999943</v>
      </c>
      <c r="AU15" s="99" cm="1">
        <f t="array" ref="AU15">IFERROR(AU13/AU14*AU16,NM)</f>
        <v>25.276399999999999</v>
      </c>
      <c r="AV15" s="255" cm="1">
        <f t="array" ref="AV15">IFERROR(AV13/AV14*AV16,NM)</f>
        <v>88.394999999999996</v>
      </c>
      <c r="AW15" s="348" cm="1">
        <f t="array" ref="AW15">IFERROR(AW13/AW14*AW16,NM)</f>
        <v>14.736400000000026</v>
      </c>
      <c r="AX15" s="99" cm="1">
        <f t="array" ref="AX15">IFERROR(AX13/AX14*AX16,NM)</f>
        <v>16.804999999999957</v>
      </c>
      <c r="AY15" s="99" cm="1">
        <f t="array" ref="AY15">IFERROR(AY13/AY14*AY16,NM)</f>
        <v>16.118200000000037</v>
      </c>
      <c r="AZ15" s="99" cm="1">
        <f t="array" ref="AZ15">IFERROR(AZ13/AZ14*AZ16,NM)</f>
        <v>20.802400000000109</v>
      </c>
      <c r="BA15" s="255" cm="1">
        <f t="array" ref="BA15">IFERROR(BA13/BA14*BA16,NM)</f>
        <v>67.806200000000047</v>
      </c>
      <c r="BB15" s="348" cm="1">
        <f t="array" ref="BB15">IFERROR(BB13/BB14*BB16,NM)</f>
        <v>16.736600000000102</v>
      </c>
      <c r="BC15" s="99" cm="1">
        <f t="array" ref="BC15">IFERROR(BC13/BC14*BC16,NM)</f>
        <v>20.358999999999998</v>
      </c>
      <c r="BD15" s="99" cm="1">
        <f t="array" ref="BD15">IFERROR(BD13/BD14*BD16,NM)</f>
        <v>19.058999999999948</v>
      </c>
      <c r="BE15" s="99" cm="1">
        <f t="array" ref="BE15">IFERROR(BE13/BE14*BE16,NM)</f>
        <v>17.856728098604705</v>
      </c>
      <c r="BF15" s="255">
        <f>SUM(BB15:BE15)</f>
        <v>74.011328098604764</v>
      </c>
      <c r="BG15" s="348" cm="1">
        <f t="array" ref="BG15">IFERROR(BG13/BG14*BG16,NM)</f>
        <v>19.266950549256162</v>
      </c>
      <c r="BH15" s="99" cm="1">
        <f t="array" ref="BH15">IFERROR(BH13/BH14*BH16,NM)</f>
        <v>23.666828596192449</v>
      </c>
      <c r="BI15" s="99" cm="1">
        <f t="array" ref="BI15">IFERROR(BI13/BI14*BI16,NM)</f>
        <v>21.754760533020679</v>
      </c>
      <c r="BJ15" s="99" cm="1">
        <f t="array" ref="BJ15">IFERROR((BJ13/BJ14)*BJ16,NM)</f>
        <v>21.050318574651335</v>
      </c>
      <c r="BK15" s="255">
        <f>SUM(BG15:BJ15)</f>
        <v>85.738858253120611</v>
      </c>
      <c r="BL15" s="348" cm="1">
        <f t="array" ref="BL15">IFERROR(BL13/BL14*BL16,NM)</f>
        <v>21.838102365052745</v>
      </c>
      <c r="BM15" s="99" cm="1">
        <f t="array" ref="BM15">IFERROR(BM13/BM14*BM16,NM)</f>
        <v>26.950061933558732</v>
      </c>
      <c r="BN15" s="99" cm="1">
        <f t="array" ref="BN15">IFERROR(BN13/BN14*BN16,NM)</f>
        <v>24.936845019613202</v>
      </c>
      <c r="BO15" s="99" cm="1">
        <f t="array" ref="BO15">IFERROR(BO13/BO14*BO16,NM)</f>
        <v>41.847229446250211</v>
      </c>
      <c r="BP15" s="255">
        <f>SUM(BL15:BO15)</f>
        <v>115.57223876447489</v>
      </c>
      <c r="BQ15" s="348" cm="1">
        <f t="array" ref="BQ15">IFERROR(BQ13/BQ14*BQ16,NM)</f>
        <v>23.696274174903582</v>
      </c>
      <c r="BR15" s="99" cm="1">
        <f t="array" ref="BR15">IFERROR(BR13/BR14*BR16,NM)</f>
        <v>29.354568558321631</v>
      </c>
      <c r="BS15" s="99" cm="1">
        <f t="array" ref="BS15">IFERROR(BS13/BS14*BS16,NM)</f>
        <v>27.295232673973011</v>
      </c>
      <c r="BT15" s="99" cm="1">
        <f t="array" ref="BT15">IFERROR(BT13/BT14*BT16,NM)</f>
        <v>45.424126404835981</v>
      </c>
      <c r="BU15" s="255">
        <f>SUM(BQ15:BT15)</f>
        <v>125.7702018120342</v>
      </c>
      <c r="BV15" s="348" cm="1">
        <f t="array" ref="BV15">IFERROR(BV13/BV14*BV16,NM)</f>
        <v>25.556019382462868</v>
      </c>
      <c r="BW15" s="99" cm="1">
        <f t="array" ref="BW15">IFERROR(BW13/BW14*BW16,NM)</f>
        <v>31.871734554025132</v>
      </c>
      <c r="BX15" s="99" cm="1">
        <f t="array" ref="BX15">IFERROR(BX13/BX14*BX16,NM)</f>
        <v>29.56245658557123</v>
      </c>
      <c r="BY15" s="99" cm="1">
        <f t="array" ref="BY15">IFERROR(BY13/BY14*BY16,NM)</f>
        <v>48.63329551121123</v>
      </c>
      <c r="BZ15" s="255">
        <f>SUM(BV15:BY15)</f>
        <v>135.62350603327047</v>
      </c>
    </row>
    <row r="16" spans="1:83" s="101" customFormat="1" ht="14.1" customHeight="1" x14ac:dyDescent="0.2">
      <c r="A16"/>
      <c r="B16"/>
      <c r="C16" s="245" t="s">
        <v>244</v>
      </c>
      <c r="D16" s="267">
        <f t="shared" ref="D16:J16" si="12">IFERROR(1-D14,"NM")</f>
        <v>2.6820616172955947E-2</v>
      </c>
      <c r="E16" s="267">
        <f t="shared" si="12"/>
        <v>2.4617120426350891E-2</v>
      </c>
      <c r="F16" s="267">
        <f t="shared" si="12"/>
        <v>2.6145455257774564E-2</v>
      </c>
      <c r="G16" s="267">
        <f t="shared" si="12"/>
        <v>2.5949123282589914E-2</v>
      </c>
      <c r="H16" s="267">
        <f t="shared" si="12"/>
        <v>2.3965702860658356E-2</v>
      </c>
      <c r="I16" s="267">
        <f t="shared" si="12"/>
        <v>3.1659453943812754E-2</v>
      </c>
      <c r="J16" s="267">
        <f t="shared" si="12"/>
        <v>2.3532110585253951E-2</v>
      </c>
      <c r="K16" s="267">
        <f>BF16</f>
        <v>2.30629273773722E-2</v>
      </c>
      <c r="L16" s="267">
        <f>BK16</f>
        <v>2.4067243877707405E-2</v>
      </c>
      <c r="M16" s="267">
        <f>BP16</f>
        <v>2.824954181842055E-2</v>
      </c>
      <c r="N16" s="267">
        <f>BU16</f>
        <v>2.8237785054095705E-2</v>
      </c>
      <c r="O16" s="268">
        <f>BZ16</f>
        <v>2.8206632269717032E-2</v>
      </c>
      <c r="R16" s="245" t="s">
        <v>244</v>
      </c>
      <c r="S16" s="349">
        <f t="shared" ref="S16:AZ16" si="13">IFERROR(1-S14,"NM")</f>
        <v>8.6211272400879002E-2</v>
      </c>
      <c r="T16" s="252">
        <f t="shared" si="13"/>
        <v>7.1936564663837466E-2</v>
      </c>
      <c r="U16" s="252">
        <f t="shared" si="13"/>
        <v>7.6611571664447986E-2</v>
      </c>
      <c r="V16" s="252">
        <f t="shared" si="13"/>
        <v>9.4753221154232237E-2</v>
      </c>
      <c r="W16" s="256">
        <f t="shared" si="13"/>
        <v>2.6820616172955947E-2</v>
      </c>
      <c r="X16" s="349">
        <f t="shared" si="13"/>
        <v>2.8114204248927521E-2</v>
      </c>
      <c r="Y16" s="252">
        <f t="shared" si="13"/>
        <v>1.9885616189134314E-2</v>
      </c>
      <c r="Z16" s="252">
        <f t="shared" si="13"/>
        <v>2.3521837006123647E-2</v>
      </c>
      <c r="AA16" s="252">
        <f t="shared" si="13"/>
        <v>3.2022618315918572E-2</v>
      </c>
      <c r="AB16" s="256">
        <f t="shared" si="13"/>
        <v>2.4617120426350891E-2</v>
      </c>
      <c r="AC16" s="349">
        <f t="shared" si="13"/>
        <v>2.2962901623054033E-2</v>
      </c>
      <c r="AD16" s="252">
        <f t="shared" si="13"/>
        <v>2.4776225508676086E-2</v>
      </c>
      <c r="AE16" s="252">
        <f t="shared" si="13"/>
        <v>2.384306800514413E-2</v>
      </c>
      <c r="AF16" s="252">
        <f t="shared" si="13"/>
        <v>3.2156455599064548E-2</v>
      </c>
      <c r="AG16" s="256">
        <f t="shared" si="13"/>
        <v>2.6145455257774564E-2</v>
      </c>
      <c r="AH16" s="349">
        <f t="shared" si="13"/>
        <v>2.120628321042306E-2</v>
      </c>
      <c r="AI16" s="252">
        <f t="shared" si="13"/>
        <v>1.9458807884930929E-2</v>
      </c>
      <c r="AJ16" s="252">
        <f t="shared" si="13"/>
        <v>2.4493636964190157E-2</v>
      </c>
      <c r="AK16" s="252">
        <f t="shared" si="13"/>
        <v>3.5553074407848051E-2</v>
      </c>
      <c r="AL16" s="256">
        <f t="shared" si="13"/>
        <v>2.5949123282589914E-2</v>
      </c>
      <c r="AM16" s="349">
        <f t="shared" si="13"/>
        <v>1.1826291021620472E-2</v>
      </c>
      <c r="AN16" s="252">
        <f t="shared" si="13"/>
        <v>2.3510282094680313E-2</v>
      </c>
      <c r="AO16" s="252">
        <f t="shared" si="13"/>
        <v>2.8044711594635729E-2</v>
      </c>
      <c r="AP16" s="252">
        <f t="shared" si="13"/>
        <v>2.5423242653719758E-2</v>
      </c>
      <c r="AQ16" s="256">
        <f t="shared" si="13"/>
        <v>2.3965702860658356E-2</v>
      </c>
      <c r="AR16" s="349">
        <f t="shared" si="13"/>
        <v>2.2914448531191178E-2</v>
      </c>
      <c r="AS16" s="252">
        <f t="shared" si="13"/>
        <v>2.8311832543316817E-2</v>
      </c>
      <c r="AT16" s="252">
        <f t="shared" si="13"/>
        <v>3.8745218014669014E-2</v>
      </c>
      <c r="AU16" s="252">
        <f t="shared" si="13"/>
        <v>3.8547198067485522E-2</v>
      </c>
      <c r="AV16" s="256">
        <f t="shared" si="13"/>
        <v>3.1659453943812754E-2</v>
      </c>
      <c r="AW16" s="349">
        <f t="shared" si="13"/>
        <v>2.2309794333381316E-2</v>
      </c>
      <c r="AX16" s="252">
        <f t="shared" si="13"/>
        <v>2.4193014330096019E-2</v>
      </c>
      <c r="AY16" s="252">
        <f t="shared" si="13"/>
        <v>2.0793813794598215E-2</v>
      </c>
      <c r="AZ16" s="252">
        <f t="shared" si="13"/>
        <v>2.7694732750036088E-2</v>
      </c>
      <c r="BA16" s="256">
        <f>IFERROR(1-BA14,"NM")</f>
        <v>2.3532110585253951E-2</v>
      </c>
      <c r="BB16" s="349">
        <f>IFERROR(1-BB14,"NM")</f>
        <v>2.2174290351429371E-2</v>
      </c>
      <c r="BC16" s="252">
        <f>IFERROR(1-BC14,"NM")</f>
        <v>2.4730213642613852E-2</v>
      </c>
      <c r="BD16" s="252">
        <f>IFERROR(1-BD14,"NM")</f>
        <v>2.2632623325175127E-2</v>
      </c>
      <c r="BE16" s="252">
        <f>1-BE14</f>
        <v>2.2632623325175127E-2</v>
      </c>
      <c r="BF16" s="256">
        <f>BF15/SUM(BF13,BF15)</f>
        <v>2.30629273773722E-2</v>
      </c>
      <c r="BG16" s="349">
        <f t="shared" ref="BG16:BY16" si="14">1-BG14</f>
        <v>2.3174290351429372E-2</v>
      </c>
      <c r="BH16" s="252">
        <f t="shared" si="14"/>
        <v>2.5730213642613853E-2</v>
      </c>
      <c r="BI16" s="252">
        <f t="shared" si="14"/>
        <v>2.3632623325175128E-2</v>
      </c>
      <c r="BJ16" s="252">
        <f t="shared" si="14"/>
        <v>2.3632623325175128E-2</v>
      </c>
      <c r="BK16" s="256">
        <f>BK15/SUM(BK13,BK15)</f>
        <v>2.4067243877707405E-2</v>
      </c>
      <c r="BL16" s="349">
        <f t="shared" si="14"/>
        <v>2.3174290351429372E-2</v>
      </c>
      <c r="BM16" s="252">
        <f t="shared" si="14"/>
        <v>2.5730213642613853E-2</v>
      </c>
      <c r="BN16" s="252">
        <f t="shared" si="14"/>
        <v>2.3632623325175128E-2</v>
      </c>
      <c r="BO16" s="252">
        <f t="shared" si="14"/>
        <v>4.0000000000000036E-2</v>
      </c>
      <c r="BP16" s="256">
        <f>BP15/SUM(BP13,BP15)</f>
        <v>2.824954181842055E-2</v>
      </c>
      <c r="BQ16" s="349">
        <f t="shared" si="14"/>
        <v>2.3174290351429372E-2</v>
      </c>
      <c r="BR16" s="252">
        <f t="shared" si="14"/>
        <v>2.5730213642613853E-2</v>
      </c>
      <c r="BS16" s="252">
        <f t="shared" si="14"/>
        <v>2.3632623325175128E-2</v>
      </c>
      <c r="BT16" s="252">
        <f t="shared" si="14"/>
        <v>4.0000000000000036E-2</v>
      </c>
      <c r="BU16" s="256">
        <f>BU15/SUM(BU13,BU15)</f>
        <v>2.8237785054095705E-2</v>
      </c>
      <c r="BV16" s="349">
        <f t="shared" si="14"/>
        <v>2.3174290351429372E-2</v>
      </c>
      <c r="BW16" s="252">
        <f t="shared" si="14"/>
        <v>2.5730213642613853E-2</v>
      </c>
      <c r="BX16" s="252">
        <f t="shared" si="14"/>
        <v>2.3632623325175128E-2</v>
      </c>
      <c r="BY16" s="252">
        <f t="shared" si="14"/>
        <v>4.0000000000000036E-2</v>
      </c>
      <c r="BZ16" s="256">
        <f>BZ15/SUM(BZ13,BZ15)</f>
        <v>2.8206632269717032E-2</v>
      </c>
    </row>
    <row r="17" spans="1:80" s="101" customFormat="1" ht="1.1499999999999999" customHeight="1" x14ac:dyDescent="0.2">
      <c r="A17"/>
      <c r="B17"/>
      <c r="C17" s="229"/>
    </row>
    <row r="18" spans="1:80" s="101" customFormat="1" ht="14.1" customHeight="1" x14ac:dyDescent="0.2">
      <c r="A18"/>
      <c r="B18"/>
      <c r="C18" s="229"/>
    </row>
    <row r="19" spans="1:80" s="101" customFormat="1" ht="14.1" customHeight="1" x14ac:dyDescent="0.2">
      <c r="A19"/>
      <c r="B19"/>
      <c r="C19" s="238" t="s">
        <v>252</v>
      </c>
      <c r="D19" s="246">
        <f>W19</f>
        <v>4.4850000000000003</v>
      </c>
      <c r="E19" s="246">
        <f>AB19</f>
        <v>4.8010000000000002</v>
      </c>
      <c r="F19" s="246">
        <f>AG19</f>
        <v>4.82</v>
      </c>
      <c r="G19" s="246">
        <f>AL19</f>
        <v>4.8419999999999996</v>
      </c>
      <c r="H19" s="246">
        <f>AQ19</f>
        <v>5.4009999999999998</v>
      </c>
      <c r="I19" s="246">
        <f>AV19</f>
        <v>5.4729999999999999</v>
      </c>
      <c r="J19" s="246">
        <f>BA19</f>
        <v>5.5430000000000001</v>
      </c>
      <c r="K19" s="246">
        <f>BF19</f>
        <v>6.0357439999999993</v>
      </c>
      <c r="L19" s="246">
        <f>BK19</f>
        <v>6.3805845919999999</v>
      </c>
      <c r="M19" s="246">
        <f>BP19</f>
        <v>6.8642150898703997</v>
      </c>
      <c r="N19" s="246">
        <f>BU19</f>
        <v>7.2971834075471538</v>
      </c>
      <c r="O19" s="246">
        <f>BZ19</f>
        <v>7.7062699369505427</v>
      </c>
      <c r="R19" s="238" t="str">
        <f>C19</f>
        <v>LTL Tonnage (In Millions)</v>
      </c>
      <c r="S19" s="246">
        <v>0.88500000000000001</v>
      </c>
      <c r="T19" s="246">
        <v>0.98399999999999999</v>
      </c>
      <c r="U19" s="246">
        <v>0.93100000000000005</v>
      </c>
      <c r="V19" s="246">
        <f>W19-SUM(S19:U19)</f>
        <v>1.6850000000000005</v>
      </c>
      <c r="W19" s="246">
        <v>4.4850000000000003</v>
      </c>
      <c r="X19" s="246">
        <v>1.1990000000000001</v>
      </c>
      <c r="Y19" s="246">
        <v>1.278</v>
      </c>
      <c r="Z19" s="246">
        <v>1.208</v>
      </c>
      <c r="AA19" s="246">
        <f>AB19-SUM(X19:Z19)</f>
        <v>1.1159999999999997</v>
      </c>
      <c r="AB19" s="246">
        <v>4.8010000000000002</v>
      </c>
      <c r="AC19" s="246">
        <v>1.139</v>
      </c>
      <c r="AD19" s="246">
        <v>1.254</v>
      </c>
      <c r="AE19" s="246">
        <v>1.2629999999999999</v>
      </c>
      <c r="AF19" s="246">
        <f>AG19-SUM(AC19:AE19)</f>
        <v>1.1640000000000006</v>
      </c>
      <c r="AG19" s="246">
        <v>4.82</v>
      </c>
      <c r="AH19" s="246">
        <v>1.2030000000000001</v>
      </c>
      <c r="AI19" s="246">
        <v>1.1419999999999999</v>
      </c>
      <c r="AJ19" s="246">
        <v>1.2629999999999999</v>
      </c>
      <c r="AK19" s="246">
        <f>AL19-SUM(AH19:AJ19)</f>
        <v>1.234</v>
      </c>
      <c r="AL19" s="246">
        <v>4.8419999999999996</v>
      </c>
      <c r="AM19" s="246">
        <v>1.2470000000000001</v>
      </c>
      <c r="AN19" s="246">
        <v>1.4059999999999999</v>
      </c>
      <c r="AO19" s="246">
        <v>1.4019999999999999</v>
      </c>
      <c r="AP19" s="246">
        <f>AQ19-SUM(AM19:AO19)</f>
        <v>1.3460000000000001</v>
      </c>
      <c r="AQ19" s="246">
        <v>5.4009999999999998</v>
      </c>
      <c r="AR19" s="350">
        <v>1.387</v>
      </c>
      <c r="AS19" s="351">
        <v>1.446</v>
      </c>
      <c r="AT19" s="351">
        <v>1.397</v>
      </c>
      <c r="AU19" s="351">
        <f>AV19-SUM(AR19:AT19)</f>
        <v>1.2429999999999994</v>
      </c>
      <c r="AV19" s="352">
        <v>5.4729999999999999</v>
      </c>
      <c r="AW19" s="350">
        <v>1.3109999999999999</v>
      </c>
      <c r="AX19" s="351">
        <v>1.421</v>
      </c>
      <c r="AY19" s="351">
        <v>1.4670000000000001</v>
      </c>
      <c r="AZ19" s="351">
        <f>BA19-SUM(AW19:AY19)</f>
        <v>1.3440000000000003</v>
      </c>
      <c r="BA19" s="352">
        <v>5.5430000000000001</v>
      </c>
      <c r="BB19" s="350">
        <v>1.3919999999999999</v>
      </c>
      <c r="BC19" s="351">
        <v>1.5589999999999999</v>
      </c>
      <c r="BD19" s="351">
        <v>1.605</v>
      </c>
      <c r="BE19" s="351">
        <f>BE58</f>
        <v>1.4797440000000004</v>
      </c>
      <c r="BF19" s="352">
        <f t="shared" ref="BF19:BZ19" si="15">BF58</f>
        <v>6.0357439999999993</v>
      </c>
      <c r="BG19" s="350">
        <f t="shared" si="15"/>
        <v>1.4657759999999997</v>
      </c>
      <c r="BH19" s="351">
        <f t="shared" si="15"/>
        <v>1.6572169999999999</v>
      </c>
      <c r="BI19" s="351">
        <f t="shared" si="15"/>
        <v>1.677225</v>
      </c>
      <c r="BJ19" s="351">
        <f t="shared" si="15"/>
        <v>1.5803665920000005</v>
      </c>
      <c r="BK19" s="352">
        <f t="shared" si="15"/>
        <v>6.3805845919999999</v>
      </c>
      <c r="BL19" s="350">
        <f t="shared" si="15"/>
        <v>1.5686734751999998</v>
      </c>
      <c r="BM19" s="351">
        <f t="shared" si="15"/>
        <v>1.7834969354000001</v>
      </c>
      <c r="BN19" s="351">
        <f t="shared" si="15"/>
        <v>1.8033523199999999</v>
      </c>
      <c r="BO19" s="351">
        <f t="shared" si="15"/>
        <v>1.7086923592704004</v>
      </c>
      <c r="BP19" s="352">
        <f t="shared" si="15"/>
        <v>6.8642150898703997</v>
      </c>
      <c r="BQ19" s="350">
        <f t="shared" si="15"/>
        <v>1.6642056898396798</v>
      </c>
      <c r="BR19" s="351">
        <f t="shared" si="15"/>
        <v>1.8974623895720601</v>
      </c>
      <c r="BS19" s="351">
        <f t="shared" si="15"/>
        <v>1.9167831809279998</v>
      </c>
      <c r="BT19" s="351">
        <f t="shared" si="15"/>
        <v>1.8187321472074143</v>
      </c>
      <c r="BU19" s="352">
        <f t="shared" si="15"/>
        <v>7.2971834075471538</v>
      </c>
      <c r="BV19" s="350">
        <f t="shared" si="15"/>
        <v>1.7524085914011827</v>
      </c>
      <c r="BW19" s="351">
        <f t="shared" si="15"/>
        <v>2.0056177457776676</v>
      </c>
      <c r="BX19" s="351">
        <f t="shared" si="15"/>
        <v>2.0222062558790399</v>
      </c>
      <c r="BY19" s="351">
        <f t="shared" si="15"/>
        <v>1.9260373438926517</v>
      </c>
      <c r="BZ19" s="352">
        <f t="shared" si="15"/>
        <v>7.7062699369505427</v>
      </c>
    </row>
    <row r="20" spans="1:80" s="101" customFormat="1" ht="1.1499999999999999" customHeight="1" x14ac:dyDescent="0.2">
      <c r="A20"/>
      <c r="B20"/>
      <c r="D20" s="247"/>
      <c r="E20" s="247"/>
      <c r="F20" s="247"/>
      <c r="G20" s="247"/>
      <c r="H20" s="247"/>
      <c r="I20" s="247"/>
      <c r="J20" s="247"/>
      <c r="K20" s="247"/>
      <c r="L20" s="247"/>
      <c r="M20" s="247"/>
      <c r="N20" s="247"/>
      <c r="O20" s="247"/>
      <c r="S20" s="247"/>
      <c r="T20" s="247"/>
      <c r="U20" s="247"/>
      <c r="V20" s="247"/>
      <c r="W20" s="247"/>
      <c r="X20" s="247"/>
      <c r="Y20" s="247"/>
      <c r="Z20" s="247"/>
      <c r="AA20" s="247"/>
      <c r="AB20" s="247"/>
      <c r="AC20" s="247"/>
      <c r="AD20" s="247"/>
      <c r="AE20" s="247"/>
      <c r="AF20" s="247"/>
      <c r="AG20" s="247"/>
      <c r="AH20" s="247"/>
      <c r="AI20" s="247"/>
      <c r="AJ20" s="247"/>
      <c r="AK20" s="247"/>
      <c r="AL20" s="247"/>
      <c r="AM20" s="247"/>
      <c r="AN20" s="247"/>
      <c r="AO20" s="247"/>
      <c r="AP20" s="247"/>
      <c r="AQ20" s="247"/>
      <c r="AR20" s="353"/>
      <c r="AS20" s="247"/>
      <c r="AT20" s="247"/>
      <c r="AU20" s="247"/>
      <c r="AV20" s="354"/>
      <c r="AW20" s="353"/>
      <c r="AX20" s="247"/>
      <c r="AY20" s="247"/>
      <c r="AZ20" s="247"/>
      <c r="BA20" s="354"/>
      <c r="BB20" s="353"/>
      <c r="BC20" s="247"/>
      <c r="BD20" s="247"/>
      <c r="BE20" s="247"/>
      <c r="BF20" s="354"/>
      <c r="BG20" s="353"/>
      <c r="BH20" s="247"/>
      <c r="BI20" s="247"/>
      <c r="BJ20" s="247"/>
      <c r="BK20" s="354"/>
      <c r="BL20" s="353"/>
      <c r="BM20" s="247"/>
      <c r="BN20" s="247"/>
      <c r="BO20" s="247"/>
      <c r="BP20" s="354"/>
      <c r="BQ20" s="353"/>
      <c r="BR20" s="247"/>
      <c r="BS20" s="247"/>
      <c r="BT20" s="247"/>
      <c r="BU20" s="354"/>
      <c r="BV20" s="353"/>
      <c r="BW20" s="247"/>
      <c r="BX20" s="247"/>
      <c r="BY20" s="247"/>
      <c r="BZ20" s="354"/>
    </row>
    <row r="21" spans="1:80" s="101" customFormat="1" ht="14.1" customHeight="1" x14ac:dyDescent="0.2">
      <c r="A21"/>
      <c r="B21"/>
      <c r="C21" s="238" t="s">
        <v>253</v>
      </c>
      <c r="D21" s="246">
        <f>W21</f>
        <v>6.7750000000000004</v>
      </c>
      <c r="E21" s="246">
        <f>AB21</f>
        <v>7.1029999999999998</v>
      </c>
      <c r="F21" s="246">
        <f>AG21</f>
        <v>7.4089999999999998</v>
      </c>
      <c r="G21" s="246">
        <f>AL21</f>
        <v>7.3710000000000004</v>
      </c>
      <c r="H21" s="246">
        <f>AQ21</f>
        <v>7.73</v>
      </c>
      <c r="I21" s="246">
        <f>AV21</f>
        <v>7.6970000000000001</v>
      </c>
      <c r="J21" s="246">
        <f>BA21</f>
        <v>7.9969999999999999</v>
      </c>
      <c r="K21" s="246">
        <f>BF21</f>
        <v>8.9900941176470592</v>
      </c>
      <c r="L21" s="246">
        <f>BK21</f>
        <v>9.3618096276997225</v>
      </c>
      <c r="M21" s="246">
        <f>BP21</f>
        <v>9.7931455200451687</v>
      </c>
      <c r="N21" s="246">
        <f>BU21</f>
        <v>10.244490332482416</v>
      </c>
      <c r="O21" s="246">
        <f>BZ21</f>
        <v>10.646506064444953</v>
      </c>
      <c r="P21" s="229"/>
      <c r="R21" s="238" t="str">
        <f>C21</f>
        <v>LTL Shipments (In Millions)</v>
      </c>
      <c r="S21" s="246">
        <v>1.607</v>
      </c>
      <c r="T21" s="246">
        <v>1.76</v>
      </c>
      <c r="U21" s="246">
        <v>1.6619999999999999</v>
      </c>
      <c r="V21" s="246">
        <f>W21-SUM(S21:U21)</f>
        <v>1.7460000000000004</v>
      </c>
      <c r="W21" s="246">
        <v>6.7750000000000004</v>
      </c>
      <c r="X21" s="246">
        <v>1.77</v>
      </c>
      <c r="Y21" s="246">
        <v>1.8660000000000001</v>
      </c>
      <c r="Z21" s="246">
        <v>1.78</v>
      </c>
      <c r="AA21" s="246">
        <f>AB21-SUM(X21:Z21)</f>
        <v>1.6869999999999994</v>
      </c>
      <c r="AB21" s="246">
        <v>7.1029999999999998</v>
      </c>
      <c r="AC21" s="246">
        <v>1.7410000000000001</v>
      </c>
      <c r="AD21" s="246">
        <v>1.9330000000000001</v>
      </c>
      <c r="AE21" s="246">
        <v>1.9410000000000001</v>
      </c>
      <c r="AF21" s="246">
        <f>AG21-SUM(AC21:AE21)</f>
        <v>1.7939999999999996</v>
      </c>
      <c r="AG21" s="246">
        <v>7.4089999999999998</v>
      </c>
      <c r="AH21" s="246">
        <v>1.8089999999999999</v>
      </c>
      <c r="AI21" s="246">
        <v>1.7450000000000001</v>
      </c>
      <c r="AJ21" s="246">
        <v>1.9590000000000001</v>
      </c>
      <c r="AK21" s="246">
        <f>AL21-SUM(AH21:AJ21)</f>
        <v>1.8580000000000005</v>
      </c>
      <c r="AL21" s="246">
        <v>7.3710000000000004</v>
      </c>
      <c r="AM21" s="246">
        <v>1.8260000000000001</v>
      </c>
      <c r="AN21" s="246">
        <v>2.012</v>
      </c>
      <c r="AO21" s="246">
        <v>2.004</v>
      </c>
      <c r="AP21" s="246">
        <f>AQ21-SUM(AM21:AO21)</f>
        <v>1.8879999999999999</v>
      </c>
      <c r="AQ21" s="246">
        <v>7.73</v>
      </c>
      <c r="AR21" s="355">
        <v>1.962</v>
      </c>
      <c r="AS21" s="246">
        <v>2.048</v>
      </c>
      <c r="AT21" s="246">
        <v>1.954</v>
      </c>
      <c r="AU21" s="246">
        <f>AV21-SUM(AR21:AT21)</f>
        <v>1.7330000000000005</v>
      </c>
      <c r="AV21" s="356">
        <v>7.6970000000000001</v>
      </c>
      <c r="AW21" s="355">
        <v>1.8220000000000001</v>
      </c>
      <c r="AX21" s="246">
        <v>1.97</v>
      </c>
      <c r="AY21" s="246">
        <v>2.1579999999999999</v>
      </c>
      <c r="AZ21" s="246">
        <f>BA21-SUM(AW21:AY21)</f>
        <v>2.0470000000000006</v>
      </c>
      <c r="BA21" s="356">
        <v>7.9969999999999999</v>
      </c>
      <c r="BB21" s="355">
        <v>2.1080000000000001</v>
      </c>
      <c r="BC21" s="246">
        <v>2.327</v>
      </c>
      <c r="BD21" s="246">
        <v>2.379</v>
      </c>
      <c r="BE21" s="246">
        <f>BE45</f>
        <v>2.1760941176470592</v>
      </c>
      <c r="BF21" s="356">
        <f t="shared" ref="BF21:BZ21" si="16">BF45</f>
        <v>8.9900941176470592</v>
      </c>
      <c r="BG21" s="355">
        <f t="shared" si="16"/>
        <v>2.1657446808510636</v>
      </c>
      <c r="BH21" s="246">
        <f t="shared" si="16"/>
        <v>2.4370838235294117</v>
      </c>
      <c r="BI21" s="246">
        <f t="shared" si="16"/>
        <v>2.4485036496350361</v>
      </c>
      <c r="BJ21" s="246">
        <f t="shared" si="16"/>
        <v>2.3104774736842111</v>
      </c>
      <c r="BK21" s="356">
        <f>BK45</f>
        <v>9.3618096276997225</v>
      </c>
      <c r="BL21" s="355">
        <f t="shared" si="16"/>
        <v>2.2603364195965416</v>
      </c>
      <c r="BM21" s="246">
        <f t="shared" si="16"/>
        <v>2.5577182495339166</v>
      </c>
      <c r="BN21" s="246">
        <f t="shared" si="16"/>
        <v>2.5725425392296719</v>
      </c>
      <c r="BO21" s="246">
        <f t="shared" si="16"/>
        <v>2.4025483116850399</v>
      </c>
      <c r="BP21" s="356">
        <f t="shared" si="16"/>
        <v>9.7931455200451687</v>
      </c>
      <c r="BQ21" s="355">
        <f t="shared" si="16"/>
        <v>2.3308202938931091</v>
      </c>
      <c r="BR21" s="246">
        <f t="shared" si="16"/>
        <v>2.6952590760966766</v>
      </c>
      <c r="BS21" s="246">
        <f t="shared" si="16"/>
        <v>2.6958975821772149</v>
      </c>
      <c r="BT21" s="246">
        <f t="shared" si="16"/>
        <v>2.5225133803154152</v>
      </c>
      <c r="BU21" s="356">
        <f t="shared" si="16"/>
        <v>10.244490332482416</v>
      </c>
      <c r="BV21" s="355">
        <f t="shared" si="16"/>
        <v>2.4305250920959538</v>
      </c>
      <c r="BW21" s="246">
        <f t="shared" si="16"/>
        <v>2.7399149532481797</v>
      </c>
      <c r="BX21" s="246">
        <f t="shared" si="16"/>
        <v>2.8047243493467962</v>
      </c>
      <c r="BY21" s="246">
        <f t="shared" si="16"/>
        <v>2.6713416697540247</v>
      </c>
      <c r="BZ21" s="356">
        <f t="shared" si="16"/>
        <v>10.646506064444953</v>
      </c>
    </row>
    <row r="22" spans="1:80" s="101" customFormat="1" ht="1.1499999999999999" customHeight="1" x14ac:dyDescent="0.2">
      <c r="A22"/>
      <c r="B22"/>
      <c r="C22" s="237"/>
      <c r="AR22" s="357"/>
      <c r="AV22" s="275"/>
      <c r="AW22" s="357"/>
      <c r="BA22" s="275"/>
      <c r="BB22" s="357"/>
      <c r="BF22" s="275"/>
      <c r="BG22" s="357"/>
      <c r="BK22" s="275"/>
      <c r="BL22" s="357"/>
      <c r="BP22" s="275"/>
      <c r="BQ22" s="357"/>
      <c r="BU22" s="275"/>
      <c r="BV22" s="357"/>
      <c r="BZ22" s="275"/>
    </row>
    <row r="23" spans="1:80" s="101" customFormat="1" ht="14.1" customHeight="1" x14ac:dyDescent="0.2">
      <c r="A23"/>
      <c r="B23"/>
      <c r="C23" s="238" t="s">
        <v>246</v>
      </c>
      <c r="D23" s="246">
        <f>W23</f>
        <v>15.24</v>
      </c>
      <c r="E23" s="246">
        <f>AB23</f>
        <v>16.8</v>
      </c>
      <c r="F23" s="246">
        <f>AG23</f>
        <v>18.05</v>
      </c>
      <c r="G23" s="246">
        <f>AL23</f>
        <v>18.329999999999998</v>
      </c>
      <c r="H23" s="246">
        <f>AQ23</f>
        <v>20.68</v>
      </c>
      <c r="I23" s="246">
        <f>AV23</f>
        <v>24.7</v>
      </c>
      <c r="J23" s="246">
        <f>BA23</f>
        <v>25.38</v>
      </c>
      <c r="K23" s="246">
        <f>BF23</f>
        <v>25.9890075</v>
      </c>
      <c r="L23" s="246">
        <f>BK23</f>
        <v>27.262354419999998</v>
      </c>
      <c r="M23" s="246">
        <f>BP23</f>
        <v>28.975598468501996</v>
      </c>
      <c r="N23" s="246">
        <f>BU23</f>
        <v>29.671341018137088</v>
      </c>
      <c r="O23" s="246">
        <f>BZ23</f>
        <v>30.330100265377144</v>
      </c>
      <c r="R23" s="238" t="str">
        <f>C23</f>
        <v>LTL Revenue Per Hundredweight</v>
      </c>
      <c r="S23" s="242">
        <v>16.68</v>
      </c>
      <c r="T23" s="242">
        <v>16.89</v>
      </c>
      <c r="U23" s="242">
        <v>17.36</v>
      </c>
      <c r="V23" s="242">
        <f>W23*4-SUM(S23:U23)</f>
        <v>10.030000000000001</v>
      </c>
      <c r="W23" s="242">
        <v>15.24</v>
      </c>
      <c r="X23" s="242">
        <v>15.92</v>
      </c>
      <c r="Y23" s="242">
        <v>16.440000000000001</v>
      </c>
      <c r="Z23" s="242">
        <v>17.2</v>
      </c>
      <c r="AA23" s="242">
        <f>AB23*4-SUM(X23:Z23)</f>
        <v>17.64</v>
      </c>
      <c r="AB23" s="242">
        <v>16.8</v>
      </c>
      <c r="AC23" s="242">
        <v>17.61</v>
      </c>
      <c r="AD23" s="242">
        <v>18.05</v>
      </c>
      <c r="AE23" s="242">
        <v>18.12</v>
      </c>
      <c r="AF23" s="242">
        <f>AG23*4-SUM(AC23:AE23)</f>
        <v>18.420000000000002</v>
      </c>
      <c r="AG23" s="242">
        <v>18.05</v>
      </c>
      <c r="AH23" s="242">
        <v>18.16</v>
      </c>
      <c r="AI23" s="242">
        <v>17.95</v>
      </c>
      <c r="AJ23" s="242">
        <v>18.59</v>
      </c>
      <c r="AK23" s="242">
        <f>AL23*4-SUM(AH23:AJ23)</f>
        <v>18.61999999999999</v>
      </c>
      <c r="AL23" s="242">
        <v>18.329999999999998</v>
      </c>
      <c r="AM23" s="242">
        <v>19.18</v>
      </c>
      <c r="AN23" s="242">
        <v>19.84</v>
      </c>
      <c r="AO23" s="242">
        <v>21.36</v>
      </c>
      <c r="AP23" s="242">
        <f>AQ23*4-SUM(AM23:AO23)</f>
        <v>22.340000000000003</v>
      </c>
      <c r="AQ23" s="242">
        <v>20.68</v>
      </c>
      <c r="AR23" s="358">
        <v>23.29</v>
      </c>
      <c r="AS23" s="242">
        <v>25.05</v>
      </c>
      <c r="AT23" s="242">
        <v>25.1</v>
      </c>
      <c r="AU23" s="242">
        <f>AV23*4-SUM(AR23:AT23)</f>
        <v>25.36</v>
      </c>
      <c r="AV23" s="359">
        <v>24.7</v>
      </c>
      <c r="AW23" s="358">
        <v>24.63</v>
      </c>
      <c r="AX23" s="242">
        <v>23.85</v>
      </c>
      <c r="AY23" s="242">
        <v>25.87</v>
      </c>
      <c r="AZ23" s="242">
        <f>BA23*4-SUM(AW23:AY23)</f>
        <v>27.169999999999987</v>
      </c>
      <c r="BA23" s="359">
        <v>25.38</v>
      </c>
      <c r="BB23" s="358">
        <v>26.51</v>
      </c>
      <c r="BC23" s="242">
        <v>25.75</v>
      </c>
      <c r="BD23" s="242">
        <v>25.64</v>
      </c>
      <c r="BE23" s="242">
        <f>BE51</f>
        <v>26.056029999999986</v>
      </c>
      <c r="BF23" s="359">
        <f t="shared" ref="BF23:BZ23" si="17">BF51</f>
        <v>25.9890075</v>
      </c>
      <c r="BG23" s="358">
        <f t="shared" si="17"/>
        <v>27.702950000000001</v>
      </c>
      <c r="BH23" s="242">
        <f t="shared" si="17"/>
        <v>27.037500000000001</v>
      </c>
      <c r="BI23" s="242">
        <f t="shared" si="17"/>
        <v>26.793799999999997</v>
      </c>
      <c r="BJ23" s="242">
        <f t="shared" si="17"/>
        <v>27.515167679999987</v>
      </c>
      <c r="BK23" s="359">
        <f t="shared" si="17"/>
        <v>27.262354419999998</v>
      </c>
      <c r="BL23" s="358">
        <f t="shared" si="17"/>
        <v>29.340194345</v>
      </c>
      <c r="BM23" s="242">
        <f t="shared" si="17"/>
        <v>28.608378750000004</v>
      </c>
      <c r="BN23" s="242">
        <f t="shared" si="17"/>
        <v>28.56487018</v>
      </c>
      <c r="BO23" s="242">
        <f>BO51</f>
        <v>29.388950599007988</v>
      </c>
      <c r="BP23" s="359">
        <f t="shared" si="17"/>
        <v>28.975598468501996</v>
      </c>
      <c r="BQ23" s="358">
        <f t="shared" si="17"/>
        <v>30.009150776065997</v>
      </c>
      <c r="BR23" s="242">
        <f t="shared" si="17"/>
        <v>29.289258164250004</v>
      </c>
      <c r="BS23" s="242">
        <f t="shared" si="17"/>
        <v>29.416103311364001</v>
      </c>
      <c r="BT23" s="242">
        <f t="shared" si="17"/>
        <v>29.970851820868347</v>
      </c>
      <c r="BU23" s="359">
        <f t="shared" si="17"/>
        <v>29.671341018137088</v>
      </c>
      <c r="BV23" s="358">
        <f t="shared" si="17"/>
        <v>30.735372224846795</v>
      </c>
      <c r="BW23" s="242">
        <f t="shared" si="17"/>
        <v>30.085925986317601</v>
      </c>
      <c r="BX23" s="242">
        <f t="shared" si="17"/>
        <v>30.198571659446284</v>
      </c>
      <c r="BY23" s="242">
        <f t="shared" si="17"/>
        <v>30.300531190897896</v>
      </c>
      <c r="BZ23" s="359">
        <f t="shared" si="17"/>
        <v>30.330100265377144</v>
      </c>
      <c r="CB23" s="50"/>
    </row>
    <row r="24" spans="1:80" s="101" customFormat="1" ht="1.1499999999999999" customHeight="1" x14ac:dyDescent="0.2">
      <c r="A24"/>
      <c r="B24"/>
      <c r="D24" s="248"/>
      <c r="E24" s="248"/>
      <c r="F24" s="248"/>
      <c r="G24" s="248"/>
      <c r="H24" s="248"/>
      <c r="I24" s="248"/>
      <c r="J24" s="248"/>
      <c r="K24" s="248"/>
      <c r="L24" s="248"/>
      <c r="M24" s="248"/>
      <c r="N24" s="248"/>
      <c r="O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360"/>
      <c r="AS24" s="248"/>
      <c r="AT24" s="248"/>
      <c r="AU24" s="248"/>
      <c r="AV24" s="361"/>
      <c r="AW24" s="360"/>
      <c r="AX24" s="248"/>
      <c r="AY24" s="248"/>
      <c r="AZ24" s="248"/>
      <c r="BA24" s="361"/>
      <c r="BB24" s="360"/>
      <c r="BC24" s="248"/>
      <c r="BD24" s="248"/>
      <c r="BE24" s="248"/>
      <c r="BF24" s="361"/>
      <c r="BG24" s="360"/>
      <c r="BH24" s="248"/>
      <c r="BI24" s="248"/>
      <c r="BJ24" s="248"/>
      <c r="BK24" s="361"/>
      <c r="BL24" s="360"/>
      <c r="BM24" s="248"/>
      <c r="BN24" s="248"/>
      <c r="BO24" s="248"/>
      <c r="BP24" s="361"/>
      <c r="BQ24" s="360"/>
      <c r="BR24" s="248"/>
      <c r="BS24" s="248"/>
      <c r="BT24" s="248"/>
      <c r="BU24" s="361"/>
      <c r="BV24" s="360"/>
      <c r="BW24" s="248"/>
      <c r="BX24" s="248"/>
      <c r="BY24" s="248"/>
      <c r="BZ24" s="361"/>
    </row>
    <row r="25" spans="1:80" s="101" customFormat="1" ht="14.1" customHeight="1" x14ac:dyDescent="0.2">
      <c r="A25"/>
      <c r="B25"/>
      <c r="C25" s="238" t="s">
        <v>247</v>
      </c>
      <c r="D25" s="250">
        <f t="shared" ref="D25:O25" si="18">IFERROR((D23*D19*20)/D21,"NM")</f>
        <v>201.77535055350558</v>
      </c>
      <c r="E25" s="250">
        <f t="shared" si="18"/>
        <v>227.10629311558498</v>
      </c>
      <c r="F25" s="250">
        <f t="shared" si="18"/>
        <v>234.85220677554327</v>
      </c>
      <c r="G25" s="250">
        <f t="shared" si="18"/>
        <v>240.81904761904758</v>
      </c>
      <c r="H25" s="250">
        <f t="shared" si="18"/>
        <v>288.98494178525226</v>
      </c>
      <c r="I25" s="250">
        <f t="shared" si="18"/>
        <v>351.26179030791212</v>
      </c>
      <c r="J25" s="250">
        <f t="shared" si="18"/>
        <v>351.8352882330874</v>
      </c>
      <c r="K25" s="250">
        <f t="shared" si="18"/>
        <v>348.96852920853536</v>
      </c>
      <c r="L25" s="250">
        <f t="shared" si="18"/>
        <v>371.61567148131815</v>
      </c>
      <c r="M25" s="250">
        <f t="shared" si="18"/>
        <v>406.19173857553318</v>
      </c>
      <c r="N25" s="250">
        <f t="shared" si="18"/>
        <v>422.69983245668686</v>
      </c>
      <c r="O25" s="250">
        <f t="shared" si="18"/>
        <v>439.07726806326104</v>
      </c>
      <c r="R25" s="238" t="str">
        <f>C25</f>
        <v>Revenue Per Shipment</v>
      </c>
      <c r="S25" s="250">
        <f t="shared" ref="S25:AX25" si="19">IFERROR((S23*S19*20)/S21,"NM")</f>
        <v>183.71873055382702</v>
      </c>
      <c r="T25" s="250">
        <f t="shared" si="19"/>
        <v>188.86090909090908</v>
      </c>
      <c r="U25" s="250">
        <f t="shared" si="19"/>
        <v>194.49049338146813</v>
      </c>
      <c r="V25" s="250">
        <f t="shared" si="19"/>
        <v>193.59163802978239</v>
      </c>
      <c r="W25" s="250">
        <f t="shared" si="19"/>
        <v>201.77535055350558</v>
      </c>
      <c r="X25" s="250">
        <f t="shared" si="19"/>
        <v>215.68451977401133</v>
      </c>
      <c r="Y25" s="250">
        <f t="shared" si="19"/>
        <v>225.19099678456595</v>
      </c>
      <c r="Z25" s="250">
        <f t="shared" si="19"/>
        <v>233.4561797752809</v>
      </c>
      <c r="AA25" s="250">
        <f t="shared" si="19"/>
        <v>233.38755186721994</v>
      </c>
      <c r="AB25" s="250">
        <f t="shared" si="19"/>
        <v>227.10629311558498</v>
      </c>
      <c r="AC25" s="250">
        <f t="shared" si="19"/>
        <v>230.41688684663984</v>
      </c>
      <c r="AD25" s="250">
        <f t="shared" si="19"/>
        <v>234.19244697361617</v>
      </c>
      <c r="AE25" s="250">
        <f t="shared" si="19"/>
        <v>235.81205564142192</v>
      </c>
      <c r="AF25" s="250">
        <f t="shared" si="19"/>
        <v>239.02876254180626</v>
      </c>
      <c r="AG25" s="250">
        <f t="shared" si="19"/>
        <v>234.85220677554327</v>
      </c>
      <c r="AH25" s="250">
        <f t="shared" si="19"/>
        <v>241.53101160862354</v>
      </c>
      <c r="AI25" s="250">
        <f t="shared" si="19"/>
        <v>234.94441260744981</v>
      </c>
      <c r="AJ25" s="250">
        <f t="shared" si="19"/>
        <v>239.70566615620208</v>
      </c>
      <c r="AK25" s="250">
        <f t="shared" si="19"/>
        <v>247.33132400430549</v>
      </c>
      <c r="AL25" s="250">
        <f t="shared" si="19"/>
        <v>240.81904761904758</v>
      </c>
      <c r="AM25" s="250">
        <f t="shared" si="19"/>
        <v>261.96560788608986</v>
      </c>
      <c r="AN25" s="250">
        <f t="shared" si="19"/>
        <v>277.28667992047713</v>
      </c>
      <c r="AO25" s="250">
        <f t="shared" si="19"/>
        <v>298.86946107784428</v>
      </c>
      <c r="AP25" s="250">
        <f t="shared" si="19"/>
        <v>318.53432203389838</v>
      </c>
      <c r="AQ25" s="250">
        <f t="shared" si="19"/>
        <v>288.98494178525226</v>
      </c>
      <c r="AR25" s="369">
        <f t="shared" si="19"/>
        <v>329.28878695208965</v>
      </c>
      <c r="AS25" s="370">
        <f t="shared" si="19"/>
        <v>353.73339843749994</v>
      </c>
      <c r="AT25" s="370">
        <f t="shared" si="19"/>
        <v>358.90174002047087</v>
      </c>
      <c r="AU25" s="370">
        <f t="shared" si="19"/>
        <v>363.79088286208855</v>
      </c>
      <c r="AV25" s="371">
        <f t="shared" si="19"/>
        <v>351.26179030791212</v>
      </c>
      <c r="AW25" s="369">
        <f t="shared" si="19"/>
        <v>354.4448957189901</v>
      </c>
      <c r="AX25" s="370">
        <f t="shared" si="19"/>
        <v>344.06954314720815</v>
      </c>
      <c r="AY25" s="370">
        <f t="shared" ref="AY25:BZ25" si="20">IFERROR((AY23*AY19*20)/AY21,"NM")</f>
        <v>351.72650602409641</v>
      </c>
      <c r="AZ25" s="370">
        <f t="shared" si="20"/>
        <v>356.78045920859779</v>
      </c>
      <c r="BA25" s="371">
        <f t="shared" si="20"/>
        <v>351.8352882330874</v>
      </c>
      <c r="BB25" s="369">
        <f t="shared" si="20"/>
        <v>350.11309297912709</v>
      </c>
      <c r="BC25" s="370">
        <f t="shared" si="20"/>
        <v>345.03008165019338</v>
      </c>
      <c r="BD25" s="370">
        <f t="shared" si="20"/>
        <v>345.96216897856243</v>
      </c>
      <c r="BE25" s="370">
        <f t="shared" si="20"/>
        <v>354.36200799999978</v>
      </c>
      <c r="BF25" s="371">
        <f t="shared" si="20"/>
        <v>348.96852920853536</v>
      </c>
      <c r="BG25" s="369">
        <f t="shared" si="20"/>
        <v>374.98713120000002</v>
      </c>
      <c r="BH25" s="370">
        <f t="shared" si="20"/>
        <v>367.71000000000004</v>
      </c>
      <c r="BI25" s="370">
        <f t="shared" si="20"/>
        <v>367.07506000000001</v>
      </c>
      <c r="BJ25" s="370">
        <f t="shared" si="20"/>
        <v>376.40749386239986</v>
      </c>
      <c r="BK25" s="371">
        <f t="shared" si="20"/>
        <v>371.61567148131815</v>
      </c>
      <c r="BL25" s="369">
        <f t="shared" si="20"/>
        <v>407.24189750859995</v>
      </c>
      <c r="BM25" s="370">
        <f t="shared" si="20"/>
        <v>398.97245004750005</v>
      </c>
      <c r="BN25" s="370">
        <f t="shared" si="20"/>
        <v>400.47947992359997</v>
      </c>
      <c r="BO25" s="370">
        <f t="shared" si="20"/>
        <v>418.02843332028965</v>
      </c>
      <c r="BP25" s="371">
        <f t="shared" si="20"/>
        <v>406.19173857553318</v>
      </c>
      <c r="BQ25" s="369">
        <f t="shared" si="20"/>
        <v>428.53067308222239</v>
      </c>
      <c r="BR25" s="370">
        <f t="shared" si="20"/>
        <v>412.39275495264002</v>
      </c>
      <c r="BS25" s="370">
        <f t="shared" si="20"/>
        <v>418.2969890875961</v>
      </c>
      <c r="BT25" s="370">
        <f>IFERROR((BT23*BT19*20)/BT21,"NM")</f>
        <v>432.17968325692152</v>
      </c>
      <c r="BU25" s="371">
        <f t="shared" si="20"/>
        <v>422.69983245668686</v>
      </c>
      <c r="BV25" s="369">
        <f t="shared" si="20"/>
        <v>443.20406748229072</v>
      </c>
      <c r="BW25" s="370">
        <f t="shared" si="20"/>
        <v>440.45795643968972</v>
      </c>
      <c r="BX25" s="370">
        <f t="shared" si="20"/>
        <v>435.4634033292154</v>
      </c>
      <c r="BY25" s="370">
        <f>IFERROR((BY23*BY19*20)/BY21,"NM")</f>
        <v>436.93365977274766</v>
      </c>
      <c r="BZ25" s="371">
        <f t="shared" si="20"/>
        <v>439.07726806326104</v>
      </c>
    </row>
    <row r="26" spans="1:80" s="101" customFormat="1" ht="1.1499999999999999" customHeight="1" x14ac:dyDescent="0.2">
      <c r="A26"/>
      <c r="B26"/>
      <c r="D26" s="248"/>
      <c r="E26" s="248"/>
      <c r="F26" s="248"/>
      <c r="G26" s="248"/>
      <c r="H26" s="248"/>
      <c r="I26" s="248"/>
      <c r="J26" s="248"/>
      <c r="K26" s="248"/>
      <c r="L26" s="248"/>
      <c r="M26" s="248"/>
      <c r="N26" s="248"/>
      <c r="O26" s="248"/>
      <c r="S26" s="248"/>
      <c r="T26" s="248"/>
      <c r="U26" s="248"/>
      <c r="V26" s="248"/>
      <c r="W26" s="248"/>
      <c r="X26" s="248"/>
      <c r="Y26" s="248"/>
      <c r="Z26" s="248"/>
      <c r="AA26" s="248"/>
      <c r="AB26" s="248"/>
      <c r="AC26" s="248"/>
      <c r="AD26" s="248"/>
      <c r="AE26" s="248"/>
      <c r="AF26" s="248"/>
      <c r="AG26" s="248"/>
      <c r="AH26" s="248"/>
      <c r="AI26" s="248"/>
      <c r="AJ26" s="248"/>
      <c r="AK26" s="248"/>
      <c r="AL26" s="248"/>
      <c r="AM26" s="248"/>
      <c r="AN26" s="248"/>
      <c r="AO26" s="248"/>
      <c r="AP26" s="248"/>
      <c r="AQ26" s="248"/>
      <c r="AR26" s="360"/>
      <c r="AS26" s="248"/>
      <c r="AT26" s="248"/>
      <c r="AU26" s="248"/>
      <c r="AV26" s="361"/>
      <c r="AW26" s="360"/>
      <c r="AX26" s="248"/>
      <c r="AY26" s="248"/>
      <c r="AZ26" s="248"/>
      <c r="BA26" s="361"/>
      <c r="BB26" s="360"/>
      <c r="BC26" s="248"/>
      <c r="BD26" s="248"/>
      <c r="BE26" s="248"/>
      <c r="BF26" s="361"/>
      <c r="BG26" s="360"/>
      <c r="BH26" s="248"/>
      <c r="BI26" s="248"/>
      <c r="BJ26" s="248"/>
      <c r="BK26" s="361"/>
      <c r="BL26" s="360"/>
      <c r="BM26" s="248"/>
      <c r="BN26" s="248"/>
      <c r="BO26" s="248"/>
      <c r="BP26" s="361"/>
      <c r="BQ26" s="360"/>
      <c r="BR26" s="248"/>
      <c r="BS26" s="248"/>
      <c r="BT26" s="248"/>
      <c r="BU26" s="361"/>
      <c r="BV26" s="360"/>
      <c r="BW26" s="248"/>
      <c r="BX26" s="248"/>
      <c r="BY26" s="248"/>
      <c r="BZ26" s="361"/>
    </row>
    <row r="27" spans="1:80" s="101" customFormat="1" ht="14.1" hidden="1" customHeight="1" outlineLevel="1" x14ac:dyDescent="0.2">
      <c r="A27"/>
      <c r="B27"/>
      <c r="C27" s="238" t="s">
        <v>248</v>
      </c>
      <c r="D27" s="258" t="str">
        <f>W27</f>
        <v>NM</v>
      </c>
      <c r="E27" s="258" t="str">
        <f>AB27</f>
        <v>NM</v>
      </c>
      <c r="F27" s="258" t="str">
        <f>AG27</f>
        <v>NM</v>
      </c>
      <c r="G27" s="258" t="str">
        <f>AL27</f>
        <v>NM</v>
      </c>
      <c r="H27" s="258" t="str">
        <f>AQ27</f>
        <v>NM</v>
      </c>
      <c r="I27" s="258" t="str">
        <f>AV27</f>
        <v>NM</v>
      </c>
      <c r="J27" s="258">
        <f>BA27</f>
        <v>20.99</v>
      </c>
      <c r="K27" s="258">
        <f>BF27</f>
        <v>0</v>
      </c>
      <c r="L27" s="258">
        <f>BK27</f>
        <v>0</v>
      </c>
      <c r="M27" s="258">
        <f>BP27</f>
        <v>0</v>
      </c>
      <c r="N27" s="258">
        <f>BU27</f>
        <v>0</v>
      </c>
      <c r="O27" s="258">
        <f>BZ27</f>
        <v>0</v>
      </c>
      <c r="R27" s="238" t="str">
        <f>C27</f>
        <v>LTL Revenue per hundredweight, excluding fuel surcharge</v>
      </c>
      <c r="S27" s="250"/>
      <c r="T27" s="242"/>
      <c r="U27" s="250" t="s">
        <v>256</v>
      </c>
      <c r="V27" s="250" t="s">
        <v>256</v>
      </c>
      <c r="W27" s="250" t="s">
        <v>256</v>
      </c>
      <c r="X27" s="250" t="s">
        <v>256</v>
      </c>
      <c r="Y27" s="250" t="s">
        <v>256</v>
      </c>
      <c r="Z27" s="250" t="s">
        <v>256</v>
      </c>
      <c r="AA27" s="250" t="s">
        <v>256</v>
      </c>
      <c r="AB27" s="250" t="s">
        <v>256</v>
      </c>
      <c r="AC27" s="250" t="s">
        <v>256</v>
      </c>
      <c r="AD27" s="250" t="s">
        <v>256</v>
      </c>
      <c r="AE27" s="250" t="s">
        <v>256</v>
      </c>
      <c r="AF27" s="250" t="s">
        <v>256</v>
      </c>
      <c r="AG27" s="250" t="s">
        <v>256</v>
      </c>
      <c r="AH27" s="250" t="s">
        <v>256</v>
      </c>
      <c r="AI27" s="250" t="s">
        <v>256</v>
      </c>
      <c r="AJ27" s="250" t="s">
        <v>256</v>
      </c>
      <c r="AK27" s="250" t="s">
        <v>256</v>
      </c>
      <c r="AL27" s="250" t="s">
        <v>256</v>
      </c>
      <c r="AM27" s="250" t="s">
        <v>256</v>
      </c>
      <c r="AN27" s="250" t="s">
        <v>256</v>
      </c>
      <c r="AO27" s="250" t="s">
        <v>256</v>
      </c>
      <c r="AP27" s="250" t="s">
        <v>256</v>
      </c>
      <c r="AQ27" s="250" t="s">
        <v>256</v>
      </c>
      <c r="AR27" s="362" t="s">
        <v>256</v>
      </c>
      <c r="AS27" s="242">
        <v>19.440000000000001</v>
      </c>
      <c r="AT27" s="242">
        <v>19.739999999999998</v>
      </c>
      <c r="AU27" s="250" t="s">
        <v>256</v>
      </c>
      <c r="AV27" s="363" t="s">
        <v>256</v>
      </c>
      <c r="AW27" s="362" t="s">
        <v>256</v>
      </c>
      <c r="AX27" s="242">
        <v>19.96</v>
      </c>
      <c r="AY27" s="242">
        <v>21.39</v>
      </c>
      <c r="AZ27" s="250" t="s">
        <v>256</v>
      </c>
      <c r="BA27" s="363">
        <v>20.99</v>
      </c>
      <c r="BB27" s="362">
        <v>22.26</v>
      </c>
      <c r="BC27" s="242">
        <v>21.69</v>
      </c>
      <c r="BD27" s="242">
        <v>21.75</v>
      </c>
      <c r="BE27" s="250"/>
      <c r="BF27" s="363"/>
      <c r="BG27" s="362"/>
      <c r="BH27" s="242"/>
      <c r="BI27" s="242"/>
      <c r="BJ27" s="250"/>
      <c r="BK27" s="363"/>
      <c r="BL27" s="362"/>
      <c r="BM27" s="242"/>
      <c r="BN27" s="242"/>
      <c r="BO27" s="250"/>
      <c r="BP27" s="363"/>
      <c r="BQ27" s="362"/>
      <c r="BR27" s="242"/>
      <c r="BS27" s="242"/>
      <c r="BT27" s="250"/>
      <c r="BU27" s="363"/>
      <c r="BV27" s="362"/>
      <c r="BW27" s="242"/>
      <c r="BX27" s="242"/>
      <c r="BY27" s="250"/>
      <c r="BZ27" s="363"/>
    </row>
    <row r="28" spans="1:80" s="101" customFormat="1" ht="1.1499999999999999" hidden="1" customHeight="1" outlineLevel="1" x14ac:dyDescent="0.2">
      <c r="A28"/>
      <c r="B28"/>
      <c r="D28" s="248"/>
      <c r="E28" s="248"/>
      <c r="F28" s="248"/>
      <c r="G28" s="248"/>
      <c r="H28" s="248"/>
      <c r="I28" s="248"/>
      <c r="J28" s="248"/>
      <c r="K28" s="248"/>
      <c r="L28" s="248"/>
      <c r="M28" s="248"/>
      <c r="N28" s="248"/>
      <c r="O28" s="248"/>
      <c r="S28" s="248"/>
      <c r="T28" s="248"/>
      <c r="U28" s="248"/>
      <c r="V28" s="248"/>
      <c r="W28" s="248"/>
      <c r="X28" s="248"/>
      <c r="Y28" s="248"/>
      <c r="Z28" s="248"/>
      <c r="AA28" s="248"/>
      <c r="AB28" s="248"/>
      <c r="AC28" s="248"/>
      <c r="AD28" s="248"/>
      <c r="AE28" s="248"/>
      <c r="AF28" s="248"/>
      <c r="AG28" s="248"/>
      <c r="AH28" s="248"/>
      <c r="AI28" s="248"/>
      <c r="AJ28" s="248"/>
      <c r="AK28" s="248"/>
      <c r="AL28" s="248"/>
      <c r="AM28" s="248"/>
      <c r="AN28" s="248"/>
      <c r="AO28" s="248"/>
      <c r="AP28" s="248"/>
      <c r="AQ28" s="248"/>
      <c r="AR28" s="360"/>
      <c r="AS28" s="248"/>
      <c r="AT28" s="248"/>
      <c r="AU28" s="248"/>
      <c r="AV28" s="361"/>
      <c r="AW28" s="360"/>
      <c r="AX28" s="248"/>
      <c r="AY28" s="248"/>
      <c r="AZ28" s="248"/>
      <c r="BA28" s="361"/>
      <c r="BB28" s="360"/>
      <c r="BC28" s="248"/>
      <c r="BD28" s="248"/>
      <c r="BE28" s="248"/>
      <c r="BF28" s="361"/>
      <c r="BG28" s="360"/>
      <c r="BH28" s="248"/>
      <c r="BI28" s="248"/>
      <c r="BJ28" s="248"/>
      <c r="BK28" s="361"/>
      <c r="BL28" s="360"/>
      <c r="BM28" s="248"/>
      <c r="BN28" s="248"/>
      <c r="BO28" s="248"/>
      <c r="BP28" s="361"/>
      <c r="BQ28" s="360"/>
      <c r="BR28" s="248"/>
      <c r="BS28" s="248"/>
      <c r="BT28" s="248"/>
      <c r="BU28" s="361"/>
      <c r="BV28" s="360"/>
      <c r="BW28" s="248"/>
      <c r="BX28" s="248"/>
      <c r="BY28" s="248"/>
      <c r="BZ28" s="361"/>
    </row>
    <row r="29" spans="1:80" s="233" customFormat="1" ht="14.1" hidden="1" customHeight="1" outlineLevel="1" x14ac:dyDescent="0.2">
      <c r="A29"/>
      <c r="B29"/>
      <c r="C29" s="238" t="s">
        <v>249</v>
      </c>
      <c r="D29" s="258" t="str">
        <f>W29</f>
        <v>NM</v>
      </c>
      <c r="E29" s="258" t="str">
        <f>AB29</f>
        <v>NM</v>
      </c>
      <c r="F29" s="258" t="str">
        <f>AG29</f>
        <v>NM</v>
      </c>
      <c r="G29" s="258" t="str">
        <f>AL29</f>
        <v>NM</v>
      </c>
      <c r="H29" s="258" t="str">
        <f>AQ29</f>
        <v>NM</v>
      </c>
      <c r="I29" s="258" t="str">
        <f>AV29</f>
        <v>NM</v>
      </c>
      <c r="J29" s="258">
        <f>BA29</f>
        <v>4.3900000000000006</v>
      </c>
      <c r="K29" s="258">
        <f>BF29</f>
        <v>25.9890075</v>
      </c>
      <c r="L29" s="258">
        <f>BK29</f>
        <v>27.262354419999998</v>
      </c>
      <c r="M29" s="258">
        <f>BP29</f>
        <v>28.975598468501996</v>
      </c>
      <c r="N29" s="258">
        <f>BU29</f>
        <v>29.671341018137088</v>
      </c>
      <c r="O29" s="258">
        <f>BZ29</f>
        <v>30.330100265377144</v>
      </c>
      <c r="R29" s="238" t="str">
        <f>C29</f>
        <v>Fuel Surcharge Revenue</v>
      </c>
      <c r="S29" s="250" t="s">
        <v>256</v>
      </c>
      <c r="T29" s="250" t="s">
        <v>256</v>
      </c>
      <c r="U29" s="250" t="s">
        <v>256</v>
      </c>
      <c r="V29" s="250" t="s">
        <v>256</v>
      </c>
      <c r="W29" s="250" t="s">
        <v>256</v>
      </c>
      <c r="X29" s="250" t="s">
        <v>256</v>
      </c>
      <c r="Y29" s="250" t="s">
        <v>256</v>
      </c>
      <c r="Z29" s="250" t="s">
        <v>256</v>
      </c>
      <c r="AA29" s="250" t="s">
        <v>256</v>
      </c>
      <c r="AB29" s="250" t="s">
        <v>256</v>
      </c>
      <c r="AC29" s="250" t="s">
        <v>256</v>
      </c>
      <c r="AD29" s="250" t="s">
        <v>256</v>
      </c>
      <c r="AE29" s="250" t="s">
        <v>256</v>
      </c>
      <c r="AF29" s="250" t="s">
        <v>256</v>
      </c>
      <c r="AG29" s="250" t="s">
        <v>256</v>
      </c>
      <c r="AH29" s="250" t="s">
        <v>256</v>
      </c>
      <c r="AI29" s="250" t="s">
        <v>256</v>
      </c>
      <c r="AJ29" s="250" t="s">
        <v>256</v>
      </c>
      <c r="AK29" s="250" t="s">
        <v>256</v>
      </c>
      <c r="AL29" s="250" t="s">
        <v>256</v>
      </c>
      <c r="AM29" s="250" t="s">
        <v>256</v>
      </c>
      <c r="AN29" s="250" t="s">
        <v>256</v>
      </c>
      <c r="AO29" s="250" t="s">
        <v>256</v>
      </c>
      <c r="AP29" s="250" t="s">
        <v>256</v>
      </c>
      <c r="AQ29" s="250" t="s">
        <v>256</v>
      </c>
      <c r="AR29" s="362" t="s">
        <v>256</v>
      </c>
      <c r="AS29" s="242">
        <f>AS23-AS27</f>
        <v>5.6099999999999994</v>
      </c>
      <c r="AT29" s="242">
        <f>AT23-AT27</f>
        <v>5.360000000000003</v>
      </c>
      <c r="AU29" s="250" t="s">
        <v>256</v>
      </c>
      <c r="AV29" s="363" t="s">
        <v>256</v>
      </c>
      <c r="AW29" s="362" t="s">
        <v>256</v>
      </c>
      <c r="AX29" s="242">
        <f>AX23-AX27</f>
        <v>3.8900000000000006</v>
      </c>
      <c r="AY29" s="242">
        <f>AY23-AY27</f>
        <v>4.4800000000000004</v>
      </c>
      <c r="AZ29" s="250" t="s">
        <v>256</v>
      </c>
      <c r="BA29" s="363">
        <f t="shared" ref="BA29:BZ29" si="21">BA23-BA27</f>
        <v>4.3900000000000006</v>
      </c>
      <c r="BB29" s="362">
        <f t="shared" si="21"/>
        <v>4.25</v>
      </c>
      <c r="BC29" s="242">
        <f t="shared" si="21"/>
        <v>4.0599999999999987</v>
      </c>
      <c r="BD29" s="242">
        <f t="shared" si="21"/>
        <v>3.8900000000000006</v>
      </c>
      <c r="BE29" s="250">
        <f t="shared" si="21"/>
        <v>26.056029999999986</v>
      </c>
      <c r="BF29" s="363">
        <f t="shared" si="21"/>
        <v>25.9890075</v>
      </c>
      <c r="BG29" s="362">
        <f t="shared" si="21"/>
        <v>27.702950000000001</v>
      </c>
      <c r="BH29" s="242">
        <f t="shared" si="21"/>
        <v>27.037500000000001</v>
      </c>
      <c r="BI29" s="242">
        <f t="shared" si="21"/>
        <v>26.793799999999997</v>
      </c>
      <c r="BJ29" s="250">
        <f t="shared" si="21"/>
        <v>27.515167679999987</v>
      </c>
      <c r="BK29" s="363">
        <f t="shared" si="21"/>
        <v>27.262354419999998</v>
      </c>
      <c r="BL29" s="362">
        <f t="shared" si="21"/>
        <v>29.340194345</v>
      </c>
      <c r="BM29" s="242">
        <f t="shared" si="21"/>
        <v>28.608378750000004</v>
      </c>
      <c r="BN29" s="242">
        <f t="shared" si="21"/>
        <v>28.56487018</v>
      </c>
      <c r="BO29" s="250">
        <f t="shared" si="21"/>
        <v>29.388950599007988</v>
      </c>
      <c r="BP29" s="363">
        <f t="shared" si="21"/>
        <v>28.975598468501996</v>
      </c>
      <c r="BQ29" s="362">
        <f t="shared" si="21"/>
        <v>30.009150776065997</v>
      </c>
      <c r="BR29" s="242">
        <f t="shared" si="21"/>
        <v>29.289258164250004</v>
      </c>
      <c r="BS29" s="242">
        <f t="shared" si="21"/>
        <v>29.416103311364001</v>
      </c>
      <c r="BT29" s="250">
        <f t="shared" si="21"/>
        <v>29.970851820868347</v>
      </c>
      <c r="BU29" s="363">
        <f t="shared" si="21"/>
        <v>29.671341018137088</v>
      </c>
      <c r="BV29" s="362">
        <f t="shared" si="21"/>
        <v>30.735372224846795</v>
      </c>
      <c r="BW29" s="242">
        <f t="shared" si="21"/>
        <v>30.085925986317601</v>
      </c>
      <c r="BX29" s="242">
        <f t="shared" si="21"/>
        <v>30.198571659446284</v>
      </c>
      <c r="BY29" s="250">
        <f t="shared" si="21"/>
        <v>30.300531190897896</v>
      </c>
      <c r="BZ29" s="363">
        <f t="shared" si="21"/>
        <v>30.330100265377144</v>
      </c>
    </row>
    <row r="30" spans="1:80" ht="1.1499999999999999" hidden="1" customHeight="1" outlineLevel="1" x14ac:dyDescent="0.2">
      <c r="AR30" s="364"/>
      <c r="AV30" s="365">
        <v>913</v>
      </c>
      <c r="AW30" s="364"/>
      <c r="BA30" s="365"/>
      <c r="BB30" s="364"/>
      <c r="BF30" s="365"/>
      <c r="BG30" s="364"/>
      <c r="BK30" s="365"/>
      <c r="BL30" s="364"/>
      <c r="BP30" s="365"/>
      <c r="BQ30" s="364"/>
      <c r="BU30" s="365"/>
      <c r="BV30" s="364"/>
      <c r="BZ30" s="365"/>
    </row>
    <row r="31" spans="1:80" ht="14.1" hidden="1" customHeight="1" outlineLevel="1" x14ac:dyDescent="0.2">
      <c r="C31" s="238" t="s">
        <v>251</v>
      </c>
      <c r="D31" s="257" t="str">
        <f>W31</f>
        <v>NM</v>
      </c>
      <c r="E31" s="257" t="str">
        <f>AB31</f>
        <v>NM</v>
      </c>
      <c r="F31" s="257">
        <f>AG31</f>
        <v>840</v>
      </c>
      <c r="G31" s="257">
        <f>AL31</f>
        <v>879</v>
      </c>
      <c r="H31" s="257">
        <f>AQ31</f>
        <v>913</v>
      </c>
      <c r="I31" s="257">
        <f>AV31</f>
        <v>904</v>
      </c>
      <c r="J31" s="257">
        <f>BA31</f>
        <v>894</v>
      </c>
      <c r="K31" s="257">
        <f>BF31</f>
        <v>0</v>
      </c>
      <c r="L31" s="257">
        <f>BK31</f>
        <v>0</v>
      </c>
      <c r="M31" s="257">
        <f>BP31</f>
        <v>0</v>
      </c>
      <c r="N31" s="257">
        <f>BU31</f>
        <v>0</v>
      </c>
      <c r="O31" s="257">
        <f>BZ31</f>
        <v>0</v>
      </c>
      <c r="R31" s="238" t="str">
        <f>C31</f>
        <v>LTL Haul Length</v>
      </c>
      <c r="S31" s="257" t="s">
        <v>256</v>
      </c>
      <c r="T31" s="257" t="s">
        <v>256</v>
      </c>
      <c r="U31" s="257" t="s">
        <v>256</v>
      </c>
      <c r="V31" s="257" t="s">
        <v>256</v>
      </c>
      <c r="W31" s="257" t="s">
        <v>256</v>
      </c>
      <c r="X31" s="257" t="s">
        <v>256</v>
      </c>
      <c r="Y31" s="257" t="s">
        <v>256</v>
      </c>
      <c r="Z31" s="257" t="s">
        <v>256</v>
      </c>
      <c r="AA31" s="257" t="s">
        <v>256</v>
      </c>
      <c r="AB31" s="257" t="s">
        <v>256</v>
      </c>
      <c r="AC31" s="257" t="s">
        <v>256</v>
      </c>
      <c r="AD31" s="257" t="s">
        <v>256</v>
      </c>
      <c r="AE31" s="257" t="s">
        <v>256</v>
      </c>
      <c r="AF31" s="257" t="s">
        <v>256</v>
      </c>
      <c r="AG31" s="249">
        <v>840</v>
      </c>
      <c r="AH31" s="257" t="s">
        <v>256</v>
      </c>
      <c r="AI31" s="249">
        <v>876</v>
      </c>
      <c r="AJ31" s="249">
        <v>893</v>
      </c>
      <c r="AK31" s="257" t="s">
        <v>256</v>
      </c>
      <c r="AL31" s="249">
        <v>879</v>
      </c>
      <c r="AM31" s="249">
        <v>915</v>
      </c>
      <c r="AN31" s="249">
        <v>911</v>
      </c>
      <c r="AO31" s="249">
        <v>915</v>
      </c>
      <c r="AP31" s="249">
        <f>AQ31*4-SUM(AM31:AO31)</f>
        <v>911</v>
      </c>
      <c r="AQ31" s="249">
        <v>913</v>
      </c>
      <c r="AR31" s="366">
        <v>915</v>
      </c>
      <c r="AS31" s="367">
        <v>910</v>
      </c>
      <c r="AT31" s="367">
        <v>897</v>
      </c>
      <c r="AU31" s="367">
        <f>AV31*4-SUM(AR31:AT31)</f>
        <v>894</v>
      </c>
      <c r="AV31" s="368">
        <v>904</v>
      </c>
      <c r="AW31" s="366">
        <v>892</v>
      </c>
      <c r="AX31" s="367">
        <v>892</v>
      </c>
      <c r="AY31" s="367">
        <v>896</v>
      </c>
      <c r="AZ31" s="367">
        <f>BA31*4-SUM(AW31:AY31)</f>
        <v>896</v>
      </c>
      <c r="BA31" s="368">
        <v>894</v>
      </c>
      <c r="BB31" s="366">
        <v>888</v>
      </c>
      <c r="BC31" s="367">
        <v>888</v>
      </c>
      <c r="BD31" s="367">
        <v>890</v>
      </c>
      <c r="BE31" s="367"/>
      <c r="BF31" s="368"/>
      <c r="BG31" s="366"/>
      <c r="BH31" s="367"/>
      <c r="BI31" s="367"/>
      <c r="BJ31" s="367"/>
      <c r="BK31" s="368"/>
      <c r="BL31" s="366"/>
      <c r="BM31" s="367"/>
      <c r="BN31" s="367"/>
      <c r="BO31" s="367"/>
      <c r="BP31" s="368"/>
      <c r="BQ31" s="366"/>
      <c r="BR31" s="367"/>
      <c r="BS31" s="367"/>
      <c r="BT31" s="367"/>
      <c r="BU31" s="368"/>
      <c r="BV31" s="366"/>
      <c r="BW31" s="367"/>
      <c r="BX31" s="367"/>
      <c r="BY31" s="367"/>
      <c r="BZ31" s="368"/>
    </row>
    <row r="32" spans="1:80" ht="14.1" customHeight="1" collapsed="1" x14ac:dyDescent="0.2"/>
    <row r="33" spans="1:79" ht="14.1" customHeight="1" x14ac:dyDescent="0.2">
      <c r="C33" s="170"/>
      <c r="D33" s="97">
        <f t="shared" ref="D33:O33" si="22">D7</f>
        <v>43100</v>
      </c>
      <c r="E33" s="98">
        <f t="shared" si="22"/>
        <v>43465</v>
      </c>
      <c r="F33" s="98">
        <f t="shared" si="22"/>
        <v>43830</v>
      </c>
      <c r="G33" s="98">
        <f t="shared" si="22"/>
        <v>44196</v>
      </c>
      <c r="H33" s="98">
        <f t="shared" si="22"/>
        <v>44561</v>
      </c>
      <c r="I33" s="98">
        <f t="shared" si="22"/>
        <v>44926</v>
      </c>
      <c r="J33" s="98">
        <f t="shared" si="22"/>
        <v>45291</v>
      </c>
      <c r="K33" s="137">
        <f t="shared" si="22"/>
        <v>45657</v>
      </c>
      <c r="L33" s="138">
        <f t="shared" si="22"/>
        <v>46022</v>
      </c>
      <c r="M33" s="138">
        <f t="shared" si="22"/>
        <v>46387</v>
      </c>
      <c r="N33" s="138">
        <f t="shared" si="22"/>
        <v>46752</v>
      </c>
      <c r="O33" s="139">
        <f t="shared" si="22"/>
        <v>47118</v>
      </c>
      <c r="R33" s="340"/>
      <c r="S33" s="1377">
        <f>S5</f>
        <v>43100</v>
      </c>
      <c r="T33" s="1378"/>
      <c r="U33" s="1378"/>
      <c r="V33" s="1378"/>
      <c r="W33" s="1379"/>
      <c r="X33" s="1377">
        <f>X5</f>
        <v>43465</v>
      </c>
      <c r="Y33" s="1378"/>
      <c r="Z33" s="1378"/>
      <c r="AA33" s="1378"/>
      <c r="AB33" s="1379"/>
      <c r="AC33" s="1377">
        <f>AC5</f>
        <v>43830</v>
      </c>
      <c r="AD33" s="1378"/>
      <c r="AE33" s="1378"/>
      <c r="AF33" s="1378"/>
      <c r="AG33" s="1379"/>
      <c r="AH33" s="1377">
        <f>AH5</f>
        <v>44196</v>
      </c>
      <c r="AI33" s="1378"/>
      <c r="AJ33" s="1378"/>
      <c r="AK33" s="1378"/>
      <c r="AL33" s="1379"/>
      <c r="AM33" s="1377">
        <f>AM5</f>
        <v>44561</v>
      </c>
      <c r="AN33" s="1378"/>
      <c r="AO33" s="1378"/>
      <c r="AP33" s="1378"/>
      <c r="AQ33" s="1379"/>
      <c r="AR33" s="1377">
        <f>AR5</f>
        <v>44926</v>
      </c>
      <c r="AS33" s="1378"/>
      <c r="AT33" s="1378"/>
      <c r="AU33" s="1378"/>
      <c r="AV33" s="1379"/>
      <c r="AW33" s="1377">
        <f>AW5</f>
        <v>45291</v>
      </c>
      <c r="AX33" s="1378"/>
      <c r="AY33" s="1378"/>
      <c r="AZ33" s="1378"/>
      <c r="BA33" s="1379"/>
      <c r="BB33" s="1380">
        <f>BB5</f>
        <v>45657</v>
      </c>
      <c r="BC33" s="1381"/>
      <c r="BD33" s="1381"/>
      <c r="BE33" s="1381"/>
      <c r="BF33" s="1382"/>
      <c r="BG33" s="1383">
        <f>BG5</f>
        <v>46022</v>
      </c>
      <c r="BH33" s="1384"/>
      <c r="BI33" s="1384"/>
      <c r="BJ33" s="1384"/>
      <c r="BK33" s="1385"/>
      <c r="BL33" s="1383">
        <f>BL5</f>
        <v>46387</v>
      </c>
      <c r="BM33" s="1384"/>
      <c r="BN33" s="1384"/>
      <c r="BO33" s="1384"/>
      <c r="BP33" s="1385"/>
      <c r="BQ33" s="1383">
        <f>BQ5</f>
        <v>46752</v>
      </c>
      <c r="BR33" s="1384"/>
      <c r="BS33" s="1384"/>
      <c r="BT33" s="1384"/>
      <c r="BU33" s="1385"/>
      <c r="BV33" s="1383">
        <f>BV5</f>
        <v>47118</v>
      </c>
      <c r="BW33" s="1384"/>
      <c r="BX33" s="1384"/>
      <c r="BY33" s="1384"/>
      <c r="BZ33" s="1386"/>
    </row>
    <row r="34" spans="1:79" s="143" customFormat="1" ht="14.1" customHeight="1" x14ac:dyDescent="0.2">
      <c r="A34"/>
      <c r="B34"/>
      <c r="C34" s="438"/>
      <c r="D34" s="438"/>
      <c r="E34" s="438"/>
      <c r="F34" s="438"/>
      <c r="G34" s="438"/>
      <c r="H34" s="438"/>
      <c r="I34" s="438"/>
      <c r="J34" s="438"/>
      <c r="K34" s="439"/>
      <c r="L34" s="375"/>
      <c r="M34" s="376"/>
      <c r="N34" s="376"/>
      <c r="O34" s="376"/>
      <c r="P34" s="60"/>
      <c r="Q34" s="60"/>
      <c r="R34" s="341"/>
      <c r="S34" s="96" t="str">
        <f t="shared" ref="S34:AX34" si="23">S7</f>
        <v>2017 Q1</v>
      </c>
      <c r="T34" s="140" t="str">
        <f t="shared" si="23"/>
        <v>2017 Q2</v>
      </c>
      <c r="U34" s="140" t="str">
        <f t="shared" si="23"/>
        <v>2017 Q3</v>
      </c>
      <c r="V34" s="140" t="str">
        <f t="shared" si="23"/>
        <v>2017 Q4</v>
      </c>
      <c r="W34" s="140" t="str">
        <f t="shared" si="23"/>
        <v>2017 FY</v>
      </c>
      <c r="X34" s="140" t="str">
        <f t="shared" si="23"/>
        <v>2018 Q1</v>
      </c>
      <c r="Y34" s="140" t="str">
        <f t="shared" si="23"/>
        <v>2018 Q2</v>
      </c>
      <c r="Z34" s="140" t="str">
        <f t="shared" si="23"/>
        <v>2018 Q3</v>
      </c>
      <c r="AA34" s="140" t="str">
        <f t="shared" si="23"/>
        <v>2018 Q4</v>
      </c>
      <c r="AB34" s="140" t="str">
        <f t="shared" si="23"/>
        <v>2018 FY</v>
      </c>
      <c r="AC34" s="140" t="str">
        <f t="shared" si="23"/>
        <v>2019 Q1</v>
      </c>
      <c r="AD34" s="140" t="str">
        <f t="shared" si="23"/>
        <v>2019 Q2</v>
      </c>
      <c r="AE34" s="140" t="str">
        <f t="shared" si="23"/>
        <v>2019 Q3</v>
      </c>
      <c r="AF34" s="140" t="str">
        <f t="shared" si="23"/>
        <v>2019 Q4</v>
      </c>
      <c r="AG34" s="140" t="str">
        <f t="shared" si="23"/>
        <v>2019 FY</v>
      </c>
      <c r="AH34" s="140" t="str">
        <f t="shared" si="23"/>
        <v>2020 Q1</v>
      </c>
      <c r="AI34" s="140" t="str">
        <f t="shared" si="23"/>
        <v>2020 Q2</v>
      </c>
      <c r="AJ34" s="140" t="str">
        <f t="shared" si="23"/>
        <v>2020 Q3</v>
      </c>
      <c r="AK34" s="140" t="str">
        <f t="shared" si="23"/>
        <v>2020 Q4</v>
      </c>
      <c r="AL34" s="140" t="str">
        <f t="shared" si="23"/>
        <v>2020 FY</v>
      </c>
      <c r="AM34" s="140" t="str">
        <f t="shared" si="23"/>
        <v>2021 Q1</v>
      </c>
      <c r="AN34" s="140" t="str">
        <f t="shared" si="23"/>
        <v>2021 Q2</v>
      </c>
      <c r="AO34" s="140" t="str">
        <f t="shared" si="23"/>
        <v>2021 Q3</v>
      </c>
      <c r="AP34" s="140" t="str">
        <f t="shared" si="23"/>
        <v>2021 Q4</v>
      </c>
      <c r="AQ34" s="140" t="str">
        <f t="shared" si="23"/>
        <v>2021 FY</v>
      </c>
      <c r="AR34" s="140" t="str">
        <f t="shared" si="23"/>
        <v>2022 Q1</v>
      </c>
      <c r="AS34" s="140" t="str">
        <f t="shared" si="23"/>
        <v>2022 Q2</v>
      </c>
      <c r="AT34" s="140" t="str">
        <f t="shared" si="23"/>
        <v>2022 Q3</v>
      </c>
      <c r="AU34" s="140" t="str">
        <f t="shared" si="23"/>
        <v>2022 Q4</v>
      </c>
      <c r="AV34" s="140" t="str">
        <f t="shared" si="23"/>
        <v>2022 FY</v>
      </c>
      <c r="AW34" s="140" t="str">
        <f t="shared" si="23"/>
        <v>2023 Q1</v>
      </c>
      <c r="AX34" s="140" t="str">
        <f t="shared" si="23"/>
        <v>2023 Q2</v>
      </c>
      <c r="AY34" s="140" t="str">
        <f t="shared" ref="AY34:BZ34" si="24">AY7</f>
        <v>2023 Q3</v>
      </c>
      <c r="AZ34" s="140" t="str">
        <f t="shared" si="24"/>
        <v>2023 Q4</v>
      </c>
      <c r="BA34" s="140" t="str">
        <f t="shared" si="24"/>
        <v>2023 FY</v>
      </c>
      <c r="BB34" s="140" t="str">
        <f t="shared" si="24"/>
        <v>2024 Q1</v>
      </c>
      <c r="BC34" s="140" t="str">
        <f t="shared" si="24"/>
        <v>2024 Q2</v>
      </c>
      <c r="BD34" s="140" t="str">
        <f t="shared" si="24"/>
        <v>2024 Q3</v>
      </c>
      <c r="BE34" s="141" t="str">
        <f t="shared" si="24"/>
        <v>2024 Q4</v>
      </c>
      <c r="BF34" s="141" t="str">
        <f t="shared" si="24"/>
        <v>2024 FY</v>
      </c>
      <c r="BG34" s="141" t="str">
        <f t="shared" si="24"/>
        <v>2025 Q1</v>
      </c>
      <c r="BH34" s="141" t="str">
        <f t="shared" si="24"/>
        <v>2025 Q2</v>
      </c>
      <c r="BI34" s="141" t="str">
        <f t="shared" si="24"/>
        <v>2025 Q3</v>
      </c>
      <c r="BJ34" s="141" t="str">
        <f t="shared" si="24"/>
        <v>2025 Q4</v>
      </c>
      <c r="BK34" s="141" t="str">
        <f t="shared" si="24"/>
        <v>2025 FY</v>
      </c>
      <c r="BL34" s="141" t="str">
        <f t="shared" si="24"/>
        <v>2026 Q1</v>
      </c>
      <c r="BM34" s="141" t="str">
        <f t="shared" si="24"/>
        <v>2026 Q2</v>
      </c>
      <c r="BN34" s="141" t="str">
        <f t="shared" si="24"/>
        <v>2026 Q3</v>
      </c>
      <c r="BO34" s="141" t="str">
        <f t="shared" si="24"/>
        <v>2026 Q4</v>
      </c>
      <c r="BP34" s="141" t="str">
        <f t="shared" si="24"/>
        <v>2026 FY</v>
      </c>
      <c r="BQ34" s="141" t="str">
        <f t="shared" si="24"/>
        <v>2027 Q1</v>
      </c>
      <c r="BR34" s="141" t="str">
        <f t="shared" si="24"/>
        <v>2027 Q2</v>
      </c>
      <c r="BS34" s="141" t="str">
        <f t="shared" si="24"/>
        <v>2027 Q3</v>
      </c>
      <c r="BT34" s="141" t="str">
        <f t="shared" si="24"/>
        <v>2027 Q4</v>
      </c>
      <c r="BU34" s="141" t="str">
        <f t="shared" si="24"/>
        <v>2027 FY</v>
      </c>
      <c r="BV34" s="141" t="str">
        <f t="shared" si="24"/>
        <v>2028 Q1</v>
      </c>
      <c r="BW34" s="141" t="str">
        <f t="shared" si="24"/>
        <v>2028 Q2</v>
      </c>
      <c r="BX34" s="141" t="str">
        <f t="shared" si="24"/>
        <v>2028 Q3</v>
      </c>
      <c r="BY34" s="141" t="str">
        <f t="shared" si="24"/>
        <v>2028 Q4</v>
      </c>
      <c r="BZ34" s="342" t="str">
        <f t="shared" si="24"/>
        <v>2028 FY</v>
      </c>
    </row>
    <row r="35" spans="1:79" s="131" customFormat="1" ht="14.1" customHeight="1" x14ac:dyDescent="0.2">
      <c r="A35" s="150"/>
      <c r="B35" s="150"/>
      <c r="P35" s="228"/>
      <c r="Q35" s="228"/>
      <c r="R35" s="276"/>
      <c r="S35" s="228"/>
      <c r="T35" s="228"/>
      <c r="U35" s="228"/>
      <c r="V35" s="228"/>
      <c r="W35" s="228"/>
      <c r="X35" s="228"/>
      <c r="Y35" s="228"/>
      <c r="Z35" s="228"/>
      <c r="AA35" s="228"/>
      <c r="AB35" s="228"/>
      <c r="AC35" s="228"/>
      <c r="AD35" s="228"/>
      <c r="AE35" s="228"/>
      <c r="AF35" s="228"/>
      <c r="AG35" s="228"/>
      <c r="AH35" s="228"/>
      <c r="AI35" s="228"/>
      <c r="AJ35" s="228"/>
      <c r="AK35" s="228"/>
      <c r="AL35" s="228"/>
      <c r="AM35" s="228"/>
      <c r="AN35" s="228"/>
      <c r="AO35" s="228"/>
      <c r="AP35" s="228"/>
      <c r="AQ35" s="228"/>
      <c r="AR35" s="228"/>
      <c r="AS35" s="228"/>
      <c r="AT35" s="228"/>
      <c r="AU35" s="228"/>
      <c r="AV35" s="228"/>
      <c r="AW35" s="228"/>
      <c r="AX35" s="228"/>
      <c r="AY35" s="228"/>
      <c r="AZ35" s="228"/>
      <c r="BA35" s="228"/>
      <c r="BB35" s="234"/>
      <c r="BC35" s="234"/>
      <c r="BD35" s="234"/>
      <c r="BE35" s="234"/>
      <c r="BF35" s="234"/>
      <c r="BG35" s="234"/>
      <c r="BH35" s="234"/>
      <c r="BI35" s="234"/>
      <c r="BJ35" s="234"/>
      <c r="BK35" s="234"/>
      <c r="BL35" s="234"/>
      <c r="BM35" s="234"/>
      <c r="BN35" s="234"/>
      <c r="BO35" s="234"/>
      <c r="BP35" s="234"/>
      <c r="BQ35" s="234"/>
      <c r="BR35" s="234"/>
      <c r="BS35" s="234"/>
      <c r="BT35" s="234"/>
      <c r="BU35" s="234"/>
      <c r="BV35" s="234"/>
      <c r="BW35" s="234"/>
      <c r="BX35" s="234"/>
      <c r="BY35" s="234"/>
      <c r="BZ35" s="282"/>
    </row>
    <row r="36" spans="1:79" s="131" customFormat="1" ht="14.1" customHeight="1" x14ac:dyDescent="0.2">
      <c r="A36"/>
      <c r="B36"/>
      <c r="P36" s="228"/>
      <c r="Q36" s="228"/>
      <c r="R36" s="276" t="str">
        <f>"Tonnage per Quarter / Total Tonnage"</f>
        <v>Tonnage per Quarter / Total Tonnage</v>
      </c>
      <c r="S36" s="269">
        <f>IFERROR(S19/W19,"NM")</f>
        <v>0.19732441471571904</v>
      </c>
      <c r="T36" s="269">
        <f>IFERROR(T19/W19,"NM")</f>
        <v>0.21939799331103677</v>
      </c>
      <c r="U36" s="269">
        <f>IFERROR(U19/W19,"NM")</f>
        <v>0.20758082497212932</v>
      </c>
      <c r="V36" s="269">
        <f>IFERROR(V19/W19,"NM")</f>
        <v>0.37569676700111493</v>
      </c>
      <c r="W36" s="269">
        <f>SUM(S36:V36)</f>
        <v>1</v>
      </c>
      <c r="X36" s="269">
        <f>IFERROR(X19/AB19,"NM")</f>
        <v>0.2497396375755051</v>
      </c>
      <c r="Y36" s="269">
        <f>IFERROR(Y19/AB19,"NM")</f>
        <v>0.26619454280358257</v>
      </c>
      <c r="Z36" s="269">
        <f>IFERROR(Z19/AB19,"NM")</f>
        <v>0.25161424703186835</v>
      </c>
      <c r="AA36" s="269">
        <f>IFERROR(AA19/AB19,"NM")</f>
        <v>0.23245157258904386</v>
      </c>
      <c r="AB36" s="269">
        <f>SUM(X36:AA36)</f>
        <v>1</v>
      </c>
      <c r="AC36" s="270">
        <f>IFERROR(AC19/AG19,"NM")</f>
        <v>0.23630705394190871</v>
      </c>
      <c r="AD36" s="270">
        <f>IFERROR(AD19/AG19,"NM")</f>
        <v>0.2601659751037344</v>
      </c>
      <c r="AE36" s="270">
        <f>IFERROR(AE19/AG19,"NM")</f>
        <v>0.26203319502074685</v>
      </c>
      <c r="AF36" s="270">
        <f>IFERROR(AF19/AG19,"NM")</f>
        <v>0.24149377593361007</v>
      </c>
      <c r="AG36" s="270">
        <f>SUM(AC36:AF36)</f>
        <v>1</v>
      </c>
      <c r="AH36" s="270">
        <f>IFERROR(AH19/AL19,"NM")</f>
        <v>0.24845105328376707</v>
      </c>
      <c r="AI36" s="270">
        <f>IFERROR(AI19/AL19,"NM")</f>
        <v>0.23585295332507228</v>
      </c>
      <c r="AJ36" s="270">
        <f>IFERROR(AJ19/AL19,"NM")</f>
        <v>0.26084262701363076</v>
      </c>
      <c r="AK36" s="270">
        <f>IFERROR(AK19/AL19,"NM")</f>
        <v>0.25485336637752998</v>
      </c>
      <c r="AL36" s="270">
        <f>SUM(AH36:AK36)</f>
        <v>1</v>
      </c>
      <c r="AM36" s="270">
        <f>IFERROR(AM19/AQ19,"NM")</f>
        <v>0.23088316978337348</v>
      </c>
      <c r="AN36" s="270">
        <f>IFERROR(AN19/AQ19,"NM")</f>
        <v>0.26032216256248841</v>
      </c>
      <c r="AO36" s="270">
        <f>IFERROR(AO19/AQ19,"NM")</f>
        <v>0.25958155897056101</v>
      </c>
      <c r="AP36" s="270">
        <f>IFERROR(AP19/AQ19,"NM")</f>
        <v>0.24921310868357713</v>
      </c>
      <c r="AQ36" s="270">
        <f>SUM(AM36:AP36)</f>
        <v>1</v>
      </c>
      <c r="AR36" s="270">
        <f>IFERROR(AR19/AV19,"NM")</f>
        <v>0.25342590900785678</v>
      </c>
      <c r="AS36" s="270">
        <f>IFERROR(AS19/AV19,"NM")</f>
        <v>0.26420610268591266</v>
      </c>
      <c r="AT36" s="270">
        <f>IFERROR(AT19/AV19,"NM")</f>
        <v>0.25525306047871371</v>
      </c>
      <c r="AU36" s="270">
        <f>IFERROR(AU19/AV19,"NM")</f>
        <v>0.2271149278275168</v>
      </c>
      <c r="AV36" s="270">
        <f>SUM(AR36:AU36)</f>
        <v>1</v>
      </c>
      <c r="AW36" s="270">
        <f>IFERROR(AW19/BA19,"NM")</f>
        <v>0.23651452282157676</v>
      </c>
      <c r="AX36" s="270">
        <f>IFERROR(AX19/BA19,"NM")</f>
        <v>0.25635937218112936</v>
      </c>
      <c r="AY36" s="270">
        <f>IFERROR(AY19/BA19,"NM")</f>
        <v>0.26465812736785133</v>
      </c>
      <c r="AZ36" s="270">
        <f>IFERROR(AZ19/BA19,"NM")</f>
        <v>0.24246797762944258</v>
      </c>
      <c r="BA36" s="270">
        <f>SUM(AW36:AZ36)</f>
        <v>1</v>
      </c>
      <c r="BB36" s="270">
        <f>IFERROR(BB19/BF19,"NM")</f>
        <v>0.2306260835449615</v>
      </c>
      <c r="BC36" s="270">
        <f>IFERROR(BC19/BF19,"NM")</f>
        <v>0.25829458638404812</v>
      </c>
      <c r="BD36" s="270">
        <f>IFERROR(BD19/BF19,"NM")</f>
        <v>0.26591585063912587</v>
      </c>
      <c r="BE36" s="270">
        <f>IFERROR(BE19/BF19,"NM")</f>
        <v>0.24516347943186467</v>
      </c>
      <c r="BF36" s="270">
        <f>SUM(BB36:BE36)</f>
        <v>1.0000000000000002</v>
      </c>
      <c r="BG36" s="270">
        <f>IFERROR(BG19/BK19,"NM")</f>
        <v>0.22972440516466078</v>
      </c>
      <c r="BH36" s="270">
        <f>IFERROR(BH19/BK19,"NM")</f>
        <v>0.25972808229481426</v>
      </c>
      <c r="BI36" s="270">
        <f>IFERROR(BI19/BK19,"NM")</f>
        <v>0.26286384512524302</v>
      </c>
      <c r="BJ36" s="270">
        <f>IFERROR(BJ19/BK19,"NM")</f>
        <v>0.24768366741528197</v>
      </c>
      <c r="BK36" s="270">
        <f>SUM(BG36:BJ36)</f>
        <v>1</v>
      </c>
      <c r="BL36" s="270">
        <f>IFERROR(BL19/BP19,"NM")</f>
        <v>0.22852918427846311</v>
      </c>
      <c r="BM36" s="270">
        <f>IFERROR(BM19/BP19,"NM")</f>
        <v>0.25982532773950029</v>
      </c>
      <c r="BN36" s="270">
        <f>IFERROR(BN19/BP19,"NM")</f>
        <v>0.26271792133396688</v>
      </c>
      <c r="BO36" s="270">
        <f>IFERROR(BO19/BP19,"NM")</f>
        <v>0.24892756664806981</v>
      </c>
      <c r="BP36" s="270">
        <f>SUM(BL36:BO36)</f>
        <v>1</v>
      </c>
      <c r="BQ36" s="270">
        <f>IFERROR(BQ19/BU19,"NM")</f>
        <v>0.22806137613568345</v>
      </c>
      <c r="BR36" s="270">
        <f>IFERROR(BR19/BU19,"NM")</f>
        <v>0.26002668202221679</v>
      </c>
      <c r="BS36" s="270">
        <f>IFERROR(BS19/BU19,"NM")</f>
        <v>0.26267438734588416</v>
      </c>
      <c r="BT36" s="270">
        <f>IFERROR(BT19/BU19,"NM")</f>
        <v>0.24923755449621565</v>
      </c>
      <c r="BU36" s="270">
        <f>SUM(BQ36:BT36)</f>
        <v>1</v>
      </c>
      <c r="BV36" s="270">
        <f>IFERROR(BV19/BZ19,"NM")</f>
        <v>0.2274003643447027</v>
      </c>
      <c r="BW36" s="270">
        <f>IFERROR(BW19/BZ19,"NM")</f>
        <v>0.26025791494286965</v>
      </c>
      <c r="BX36" s="270">
        <f>IFERROR(BX19/BZ19,"NM")</f>
        <v>0.26241051409097793</v>
      </c>
      <c r="BY36" s="270">
        <f>IFERROR(BY19/BZ19,"NM")</f>
        <v>0.24993120662144963</v>
      </c>
      <c r="BZ36" s="343">
        <f>SUM(BV36:BY36)</f>
        <v>0.99999999999999989</v>
      </c>
    </row>
    <row r="37" spans="1:79" s="231" customFormat="1" ht="14.1" customHeight="1" x14ac:dyDescent="0.2">
      <c r="A37"/>
      <c r="B37"/>
      <c r="C37" s="798" t="str">
        <f>N3&amp; " "&amp;O3</f>
        <v>Model Case: Base</v>
      </c>
      <c r="D37" s="799"/>
      <c r="E37" s="799"/>
      <c r="F37" s="799"/>
      <c r="G37" s="799"/>
      <c r="H37" s="799"/>
      <c r="I37" s="799"/>
      <c r="J37" s="799"/>
      <c r="K37" s="801"/>
      <c r="L37" s="800"/>
      <c r="M37" s="800"/>
      <c r="N37" s="800"/>
      <c r="O37" s="800"/>
      <c r="P37" s="232"/>
      <c r="Q37" s="232"/>
      <c r="R37" s="344" t="str">
        <f>"Shipments per Quarter / Total Shipments"</f>
        <v>Shipments per Quarter / Total Shipments</v>
      </c>
      <c r="S37" s="323">
        <f>IFERROR(S21/W21,"NM")</f>
        <v>0.23719557195571955</v>
      </c>
      <c r="T37" s="323">
        <f>IFERROR(T21/W21,"NM")</f>
        <v>0.25977859778597784</v>
      </c>
      <c r="U37" s="323">
        <f>IFERROR(U21/W21,"NM")</f>
        <v>0.24531365313653133</v>
      </c>
      <c r="V37" s="323">
        <f>IFERROR(V21/W21,"NM")</f>
        <v>0.25771217712177125</v>
      </c>
      <c r="W37" s="323">
        <f>SUM(S37:V37)</f>
        <v>1</v>
      </c>
      <c r="X37" s="345">
        <f>IFERROR(X21/AB21,"NM")</f>
        <v>0.24919048289455162</v>
      </c>
      <c r="Y37" s="345">
        <f>IFERROR(Y21/AB21,"NM")</f>
        <v>0.26270589891595103</v>
      </c>
      <c r="Z37" s="345">
        <f>IFERROR(Z21/AB21,"NM")</f>
        <v>0.25059833873011406</v>
      </c>
      <c r="AA37" s="345">
        <f>IFERROR(AA21/AB21,"NM")</f>
        <v>0.23750527945938329</v>
      </c>
      <c r="AB37" s="345">
        <f>SUM(X37:AA37)</f>
        <v>1</v>
      </c>
      <c r="AC37" s="345">
        <f>IFERROR(AC21/AG21,"NM")</f>
        <v>0.23498447833715752</v>
      </c>
      <c r="AD37" s="345">
        <f>IFERROR(AD21/AG21,"NM")</f>
        <v>0.26089890673505201</v>
      </c>
      <c r="AE37" s="345">
        <f>IFERROR(AE21/AG21,"NM")</f>
        <v>0.26197867458496427</v>
      </c>
      <c r="AF37" s="345">
        <f>IFERROR(AF21/AG21,"NM")</f>
        <v>0.24213794034282624</v>
      </c>
      <c r="AG37" s="345">
        <f>SUM(AC37:AF37)</f>
        <v>1</v>
      </c>
      <c r="AH37" s="345">
        <f>IFERROR(AH21/AL21,"NM")</f>
        <v>0.24542124542124541</v>
      </c>
      <c r="AI37" s="345">
        <f>IFERROR(AI21/AL21,"NM")</f>
        <v>0.23673857007190341</v>
      </c>
      <c r="AJ37" s="345">
        <f>IFERROR(AJ21/AL21,"NM")</f>
        <v>0.26577126577126575</v>
      </c>
      <c r="AK37" s="345">
        <f>IFERROR(AK21/AL21,"NM")</f>
        <v>0.25206891873558546</v>
      </c>
      <c r="AL37" s="345">
        <f>SUM(AH37:AK37)</f>
        <v>1</v>
      </c>
      <c r="AM37" s="345">
        <f>IFERROR(AM21/AQ21,"NM")</f>
        <v>0.23622250970245795</v>
      </c>
      <c r="AN37" s="345">
        <f>IFERROR(AN21/AQ21,"NM")</f>
        <v>0.26028460543337645</v>
      </c>
      <c r="AO37" s="345">
        <f>IFERROR(AO21/AQ21,"NM")</f>
        <v>0.2592496765847348</v>
      </c>
      <c r="AP37" s="345">
        <f>IFERROR(AP21/AQ21,"NM")</f>
        <v>0.24424320827943077</v>
      </c>
      <c r="AQ37" s="345">
        <f>SUM(AM37:AP37)</f>
        <v>1</v>
      </c>
      <c r="AR37" s="345">
        <f>IFERROR(AR21/AV21,"NM")</f>
        <v>0.25490450824996752</v>
      </c>
      <c r="AS37" s="345">
        <f>IFERROR(AS21/AV21,"NM")</f>
        <v>0.26607769260750941</v>
      </c>
      <c r="AT37" s="345">
        <f>IFERROR(AT21/AV21,"NM")</f>
        <v>0.25386514226321943</v>
      </c>
      <c r="AU37" s="345">
        <f>IFERROR(AU21/AV21,"NM")</f>
        <v>0.22515265687930369</v>
      </c>
      <c r="AV37" s="345">
        <f>SUM(AR37:AU37)</f>
        <v>1</v>
      </c>
      <c r="AW37" s="345">
        <f>IFERROR(AW21/BA21,"NM")</f>
        <v>0.22783543828935851</v>
      </c>
      <c r="AX37" s="345">
        <f>IFERROR(AX21/BA21,"NM")</f>
        <v>0.24634237839189696</v>
      </c>
      <c r="AY37" s="345">
        <f>IFERROR(AY21/BA21,"NM")</f>
        <v>0.26985119419782416</v>
      </c>
      <c r="AZ37" s="345">
        <f>IFERROR(AZ21/BA21,"NM")</f>
        <v>0.25597098912092042</v>
      </c>
      <c r="BA37" s="345">
        <f>SUM(AW37:AZ37)</f>
        <v>1</v>
      </c>
      <c r="BB37" s="345">
        <f>IFERROR(BB21/BF21,"NM")</f>
        <v>0.23448030381151541</v>
      </c>
      <c r="BC37" s="345">
        <f>IFERROR(BC21/BF21,"NM")</f>
        <v>0.25884044922646887</v>
      </c>
      <c r="BD37" s="345">
        <f>IFERROR(BD21/BF21,"NM")</f>
        <v>0.26462459334326144</v>
      </c>
      <c r="BE37" s="345">
        <f>IFERROR(BE21/BF21,"NM")</f>
        <v>0.24205465361875428</v>
      </c>
      <c r="BF37" s="345">
        <f>SUM(BB37:BE37)</f>
        <v>1</v>
      </c>
      <c r="BG37" s="345">
        <f>IFERROR(BG21/BK21,"NM")</f>
        <v>0.23133825264327723</v>
      </c>
      <c r="BH37" s="345">
        <f>IFERROR(BH21/BK21,"NM")</f>
        <v>0.26032187370255511</v>
      </c>
      <c r="BI37" s="345">
        <f>IFERROR(BI21/BK21,"NM")</f>
        <v>0.26154170475656796</v>
      </c>
      <c r="BJ37" s="345">
        <f>IFERROR(BJ21/BK21,"NM")</f>
        <v>0.2467981688975997</v>
      </c>
      <c r="BK37" s="345">
        <f>SUM(BG37:BJ37)</f>
        <v>1</v>
      </c>
      <c r="BL37" s="345">
        <f>IFERROR(BL21/BP21,"NM")</f>
        <v>0.23080800902733001</v>
      </c>
      <c r="BM37" s="345">
        <f>IFERROR(BM21/BP21,"NM")</f>
        <v>0.2611743330371874</v>
      </c>
      <c r="BN37" s="345">
        <f>IFERROR(BN21/BP21,"NM")</f>
        <v>0.2626880744255301</v>
      </c>
      <c r="BO37" s="345">
        <f>IFERROR(BO21/BP21,"NM")</f>
        <v>0.24532958350995265</v>
      </c>
      <c r="BP37" s="345">
        <f>SUM(BL37:BO37)</f>
        <v>1.0000000000000002</v>
      </c>
      <c r="BQ37" s="345">
        <f>IFERROR(BQ21/BU21,"NM")</f>
        <v>0.22751940001375465</v>
      </c>
      <c r="BR37" s="345">
        <f>IFERROR(BR21/BU21,"NM")</f>
        <v>0.26309352526311275</v>
      </c>
      <c r="BS37" s="345">
        <f>IFERROR(BS21/BU21,"NM")</f>
        <v>0.26315585204168501</v>
      </c>
      <c r="BT37" s="345">
        <f>IFERROR(BT21/BU21,"NM")</f>
        <v>0.24623122268144762</v>
      </c>
      <c r="BU37" s="345">
        <f>SUM(BQ37:BT37)</f>
        <v>1</v>
      </c>
      <c r="BV37" s="345">
        <f>IFERROR(BV21/BZ21,"NM")</f>
        <v>0.22829321444834655</v>
      </c>
      <c r="BW37" s="345">
        <f>IFERROR(BW21/BZ21,"NM")</f>
        <v>0.25735343939721156</v>
      </c>
      <c r="BX37" s="345">
        <f>IFERROR(BX21/BZ21,"NM")</f>
        <v>0.26344082578541395</v>
      </c>
      <c r="BY37" s="345">
        <f>IFERROR(BY21/BZ21,"NM")</f>
        <v>0.250912520369028</v>
      </c>
      <c r="BZ37" s="346">
        <f>SUM(BV37:BY37)</f>
        <v>1</v>
      </c>
    </row>
    <row r="38" spans="1:79" s="269" customFormat="1" ht="14.1" customHeight="1" x14ac:dyDescent="0.2">
      <c r="A38"/>
      <c r="B38"/>
      <c r="C38" s="273" t="s">
        <v>258</v>
      </c>
      <c r="D38" s="289"/>
      <c r="E38" s="289"/>
      <c r="F38" s="289"/>
      <c r="G38" s="289"/>
      <c r="H38" s="289"/>
      <c r="I38" s="289"/>
      <c r="J38" s="289"/>
      <c r="K38" s="290"/>
      <c r="L38" s="290"/>
      <c r="M38" s="290"/>
      <c r="N38" s="291"/>
      <c r="O38" s="292"/>
      <c r="P38" s="233"/>
      <c r="Q38" s="233"/>
      <c r="R38" s="273" t="s">
        <v>258</v>
      </c>
      <c r="S38" s="385"/>
      <c r="T38" s="386"/>
      <c r="U38" s="386"/>
      <c r="V38" s="386"/>
      <c r="W38" s="387"/>
      <c r="X38" s="385"/>
      <c r="Y38" s="386"/>
      <c r="Z38" s="386"/>
      <c r="AA38" s="386"/>
      <c r="AB38" s="387"/>
      <c r="AC38" s="385"/>
      <c r="AD38" s="386"/>
      <c r="AE38" s="386"/>
      <c r="AF38" s="386"/>
      <c r="AG38" s="387"/>
      <c r="AH38" s="385"/>
      <c r="AI38" s="386"/>
      <c r="AJ38" s="386"/>
      <c r="AK38" s="386"/>
      <c r="AL38" s="387"/>
      <c r="AM38" s="385"/>
      <c r="AN38" s="386"/>
      <c r="AO38" s="386"/>
      <c r="AP38" s="386"/>
      <c r="AQ38" s="387"/>
      <c r="AR38" s="385"/>
      <c r="AS38" s="386"/>
      <c r="AT38" s="386"/>
      <c r="AU38" s="386"/>
      <c r="AV38" s="387"/>
      <c r="AW38" s="385"/>
      <c r="AX38" s="386"/>
      <c r="AY38" s="386"/>
      <c r="AZ38" s="386"/>
      <c r="BA38" s="387"/>
      <c r="BB38" s="385"/>
      <c r="BC38" s="386"/>
      <c r="BD38" s="386"/>
      <c r="BE38" s="386"/>
      <c r="BF38" s="387"/>
      <c r="BG38" s="385"/>
      <c r="BH38" s="386"/>
      <c r="BI38" s="386"/>
      <c r="BJ38" s="386"/>
      <c r="BK38" s="387"/>
      <c r="BL38" s="385"/>
      <c r="BM38" s="386"/>
      <c r="BN38" s="386"/>
      <c r="BO38" s="386"/>
      <c r="BP38" s="387"/>
      <c r="BQ38" s="385"/>
      <c r="BR38" s="386"/>
      <c r="BS38" s="386"/>
      <c r="BT38" s="386"/>
      <c r="BU38" s="387"/>
      <c r="BV38" s="385"/>
      <c r="BW38" s="386"/>
      <c r="BX38" s="386"/>
      <c r="BY38" s="386"/>
      <c r="BZ38" s="387"/>
    </row>
    <row r="39" spans="1:79" s="271" customFormat="1" ht="14.1" customHeight="1" x14ac:dyDescent="0.2">
      <c r="A39"/>
      <c r="B39"/>
      <c r="C39" s="274" t="str">
        <f>C19</f>
        <v>LTL Tonnage (In Millions)</v>
      </c>
      <c r="D39" s="269"/>
      <c r="E39" s="269">
        <f>AB39</f>
        <v>7.045707915273125E-2</v>
      </c>
      <c r="F39" s="269">
        <f>AG39</f>
        <v>3.9575088523224888E-3</v>
      </c>
      <c r="G39" s="269">
        <f>AL39</f>
        <v>4.5643153526968572E-3</v>
      </c>
      <c r="H39" s="269">
        <f>AQ39</f>
        <v>0.11544816191656349</v>
      </c>
      <c r="I39" s="269">
        <f>AV39</f>
        <v>1.3330864654693686E-2</v>
      </c>
      <c r="J39" s="269">
        <f>BA39</f>
        <v>1.2790060295998495E-2</v>
      </c>
      <c r="K39" s="269">
        <f>BF39</f>
        <v>2.3995567375886484E-2</v>
      </c>
      <c r="L39" s="269">
        <f>BK39</f>
        <v>4.8995596311248057E-2</v>
      </c>
      <c r="M39" s="269">
        <f>BP39</f>
        <v>6.2842849964753755E-2</v>
      </c>
      <c r="N39" s="269">
        <f>BU39</f>
        <v>2.4011326302419533E-2</v>
      </c>
      <c r="O39" s="293">
        <f>BZ39</f>
        <v>2.2201869704418842E-2</v>
      </c>
      <c r="P39" s="228"/>
      <c r="Q39" s="228"/>
      <c r="R39" s="274" t="str">
        <f>R19</f>
        <v>LTL Tonnage (In Millions)</v>
      </c>
      <c r="S39" s="384"/>
      <c r="T39" s="272"/>
      <c r="U39" s="272"/>
      <c r="V39" s="272"/>
      <c r="W39" s="294"/>
      <c r="X39" s="384">
        <f t="shared" ref="X39:BA39" si="25">IFERROR(X19/S19-1,"NM")</f>
        <v>0.35480225988700576</v>
      </c>
      <c r="Y39" s="272">
        <f t="shared" si="25"/>
        <v>0.29878048780487809</v>
      </c>
      <c r="Z39" s="272">
        <f t="shared" si="25"/>
        <v>0.29752953813104188</v>
      </c>
      <c r="AA39" s="272">
        <f t="shared" si="25"/>
        <v>-0.33768545994065324</v>
      </c>
      <c r="AB39" s="294">
        <f t="shared" si="25"/>
        <v>7.045707915273125E-2</v>
      </c>
      <c r="AC39" s="384">
        <f t="shared" si="25"/>
        <v>-5.004170141784825E-2</v>
      </c>
      <c r="AD39" s="272">
        <f t="shared" si="25"/>
        <v>-1.8779342723004744E-2</v>
      </c>
      <c r="AE39" s="272">
        <f t="shared" si="25"/>
        <v>4.5529801324503349E-2</v>
      </c>
      <c r="AF39" s="272">
        <f t="shared" si="25"/>
        <v>4.3010752688172893E-2</v>
      </c>
      <c r="AG39" s="294">
        <f t="shared" si="25"/>
        <v>3.9575088523224888E-3</v>
      </c>
      <c r="AH39" s="384">
        <f t="shared" si="25"/>
        <v>5.6189640035118504E-2</v>
      </c>
      <c r="AI39" s="272">
        <f t="shared" si="25"/>
        <v>-8.9314194577352568E-2</v>
      </c>
      <c r="AJ39" s="272">
        <f t="shared" si="25"/>
        <v>0</v>
      </c>
      <c r="AK39" s="272">
        <f t="shared" si="25"/>
        <v>6.0137457044672882E-2</v>
      </c>
      <c r="AL39" s="294">
        <f t="shared" si="25"/>
        <v>4.5643153526968572E-3</v>
      </c>
      <c r="AM39" s="384">
        <f t="shared" si="25"/>
        <v>3.657522859517881E-2</v>
      </c>
      <c r="AN39" s="272">
        <f t="shared" si="25"/>
        <v>0.23117338003502641</v>
      </c>
      <c r="AO39" s="272">
        <f t="shared" si="25"/>
        <v>0.11005542359461606</v>
      </c>
      <c r="AP39" s="272">
        <f t="shared" si="25"/>
        <v>9.0761750405186525E-2</v>
      </c>
      <c r="AQ39" s="294">
        <f t="shared" si="25"/>
        <v>0.11544816191656349</v>
      </c>
      <c r="AR39" s="384">
        <f t="shared" si="25"/>
        <v>0.11226944667201266</v>
      </c>
      <c r="AS39" s="272">
        <f t="shared" si="25"/>
        <v>2.8449502133712778E-2</v>
      </c>
      <c r="AT39" s="272">
        <f t="shared" si="25"/>
        <v>-3.566333808844413E-3</v>
      </c>
      <c r="AU39" s="272">
        <f t="shared" si="25"/>
        <v>-7.6523031203566627E-2</v>
      </c>
      <c r="AV39" s="294">
        <f t="shared" si="25"/>
        <v>1.3330864654693686E-2</v>
      </c>
      <c r="AW39" s="384">
        <f t="shared" si="25"/>
        <v>-5.4794520547945202E-2</v>
      </c>
      <c r="AX39" s="272">
        <f t="shared" si="25"/>
        <v>-1.7289073305670755E-2</v>
      </c>
      <c r="AY39" s="272">
        <f t="shared" si="25"/>
        <v>5.0107372942018724E-2</v>
      </c>
      <c r="AZ39" s="272">
        <f>IFERROR(AZ19/AU19-1,"NM")</f>
        <v>8.1255028157683817E-2</v>
      </c>
      <c r="BA39" s="294">
        <f t="shared" si="25"/>
        <v>1.2790060295998495E-2</v>
      </c>
      <c r="BB39" s="384">
        <f>BB52</f>
        <v>7.6329679252943761E-2</v>
      </c>
      <c r="BC39" s="272">
        <f t="shared" ref="BC39:BZ39" si="26">BC52</f>
        <v>7.9664570230607801E-2</v>
      </c>
      <c r="BD39" s="272">
        <f t="shared" si="26"/>
        <v>-8.8906068805566507E-3</v>
      </c>
      <c r="BE39" s="272">
        <f t="shared" si="26"/>
        <v>-4.1000000000000002E-2</v>
      </c>
      <c r="BF39" s="294">
        <f t="shared" si="26"/>
        <v>2.3995567375886484E-2</v>
      </c>
      <c r="BG39" s="384">
        <f t="shared" si="26"/>
        <v>4.4999999999999998E-2</v>
      </c>
      <c r="BH39" s="272">
        <f t="shared" si="26"/>
        <v>0.05</v>
      </c>
      <c r="BI39" s="272">
        <f t="shared" si="26"/>
        <v>4.4999999999999998E-2</v>
      </c>
      <c r="BJ39" s="272">
        <f t="shared" si="26"/>
        <v>5.5999999999999994E-2</v>
      </c>
      <c r="BK39" s="294">
        <f t="shared" si="26"/>
        <v>4.8995596311248057E-2</v>
      </c>
      <c r="BL39" s="384">
        <f t="shared" si="26"/>
        <v>5.91E-2</v>
      </c>
      <c r="BM39" s="272">
        <f t="shared" si="26"/>
        <v>5.8099999999999999E-2</v>
      </c>
      <c r="BN39" s="272">
        <f t="shared" si="26"/>
        <v>6.6100000000000006E-2</v>
      </c>
      <c r="BO39" s="272">
        <f t="shared" si="26"/>
        <v>6.8100000000000008E-2</v>
      </c>
      <c r="BP39" s="294">
        <f t="shared" si="26"/>
        <v>6.2842849964753755E-2</v>
      </c>
      <c r="BQ39" s="384">
        <f t="shared" si="26"/>
        <v>2.2800000000000001E-2</v>
      </c>
      <c r="BR39" s="272">
        <f t="shared" si="26"/>
        <v>2.3799999999999998E-2</v>
      </c>
      <c r="BS39" s="272">
        <f t="shared" si="26"/>
        <v>2.98E-2</v>
      </c>
      <c r="BT39" s="272">
        <f t="shared" si="26"/>
        <v>1.9799999999999998E-2</v>
      </c>
      <c r="BU39" s="294">
        <f t="shared" si="26"/>
        <v>2.4011326302419533E-2</v>
      </c>
      <c r="BV39" s="384">
        <f t="shared" si="26"/>
        <v>2.4199999999999999E-2</v>
      </c>
      <c r="BW39" s="272">
        <f t="shared" si="26"/>
        <v>2.7199999999999998E-2</v>
      </c>
      <c r="BX39" s="272">
        <f t="shared" si="26"/>
        <v>2.6599999999999999E-2</v>
      </c>
      <c r="BY39" s="272">
        <f t="shared" si="26"/>
        <v>1.0999999999999999E-2</v>
      </c>
      <c r="BZ39" s="294">
        <f t="shared" si="26"/>
        <v>2.2201869704418842E-2</v>
      </c>
    </row>
    <row r="40" spans="1:79" s="269" customFormat="1" ht="14.1" customHeight="1" x14ac:dyDescent="0.2">
      <c r="A40"/>
      <c r="B40"/>
      <c r="C40" s="276" t="str">
        <f>C21</f>
        <v>LTL Shipments (In Millions)</v>
      </c>
      <c r="D40" s="272"/>
      <c r="E40" s="272">
        <f>AB40</f>
        <v>4.8413284132841294E-2</v>
      </c>
      <c r="F40" s="272">
        <f>AG40</f>
        <v>4.3080388568210726E-2</v>
      </c>
      <c r="G40" s="272">
        <f>AL40</f>
        <v>-5.1288972870832117E-3</v>
      </c>
      <c r="H40" s="272">
        <f>AQ40</f>
        <v>4.8704382037715321E-2</v>
      </c>
      <c r="I40" s="272">
        <f>AV40</f>
        <v>-4.2690815006468652E-3</v>
      </c>
      <c r="J40" s="272">
        <f>BA40</f>
        <v>3.8976224503053158E-2</v>
      </c>
      <c r="K40" s="272">
        <f>BF40</f>
        <v>0.12418333345592836</v>
      </c>
      <c r="L40" s="272">
        <f>BK40</f>
        <v>4.134723231907067E-2</v>
      </c>
      <c r="M40" s="272">
        <f>BP40</f>
        <v>4.6073986707570791E-2</v>
      </c>
      <c r="N40" s="272">
        <f>BU40</f>
        <v>4.6087828625992477E-2</v>
      </c>
      <c r="O40" s="294">
        <f>BZ40</f>
        <v>3.9242140791314606E-2</v>
      </c>
      <c r="P40" s="228"/>
      <c r="Q40" s="228"/>
      <c r="R40" s="276" t="str">
        <f>R21</f>
        <v>LTL Shipments (In Millions)</v>
      </c>
      <c r="S40" s="388"/>
      <c r="W40" s="293"/>
      <c r="X40" s="388" cm="1">
        <f t="array" ref="X40">IFERROR(X21/S21-1,NM)</f>
        <v>0.10143123833229617</v>
      </c>
      <c r="Y40" s="269" cm="1">
        <f t="array" ref="Y40">IFERROR(Y21/T21-1,NM)</f>
        <v>6.0227272727272796E-2</v>
      </c>
      <c r="Z40" s="269" cm="1">
        <f t="array" ref="Z40">IFERROR(Z21/U21-1,NM)</f>
        <v>7.099879663056563E-2</v>
      </c>
      <c r="AA40" s="269" cm="1">
        <f t="array" ref="AA40">IFERROR(AA21/V21-1,NM)</f>
        <v>-3.3791523482245678E-2</v>
      </c>
      <c r="AB40" s="293" cm="1">
        <f t="array" ref="AB40">IFERROR(AB21/W21-1,NM)</f>
        <v>4.8413284132841294E-2</v>
      </c>
      <c r="AC40" s="388" cm="1">
        <f t="array" ref="AC40">IFERROR(AC21/X21-1,NM)</f>
        <v>-1.6384180790960379E-2</v>
      </c>
      <c r="AD40" s="269" cm="1">
        <f t="array" ref="AD40">IFERROR(AD21/Y21-1,NM)</f>
        <v>3.5905680600214263E-2</v>
      </c>
      <c r="AE40" s="269" cm="1">
        <f t="array" ref="AE40">IFERROR(AE21/Z21-1,NM)</f>
        <v>9.0449438202247157E-2</v>
      </c>
      <c r="AF40" s="269" cm="1">
        <f t="array" ref="AF40">IFERROR(AF21/AA21-1,NM)</f>
        <v>6.3426200355661155E-2</v>
      </c>
      <c r="AG40" s="293" cm="1">
        <f t="array" ref="AG40">IFERROR(AG21/AB21-1,NM)</f>
        <v>4.3080388568210726E-2</v>
      </c>
      <c r="AH40" s="388" cm="1">
        <f t="array" ref="AH40">IFERROR(AH21/AC21-1,NM)</f>
        <v>3.9058012636415729E-2</v>
      </c>
      <c r="AI40" s="269" cm="1">
        <f t="array" ref="AI40">IFERROR(AI21/AD21-1,NM)</f>
        <v>-9.7258147956544194E-2</v>
      </c>
      <c r="AJ40" s="269" cm="1">
        <f t="array" ref="AJ40">IFERROR(AJ21/AE21-1,NM)</f>
        <v>9.2735703245749868E-3</v>
      </c>
      <c r="AK40" s="269" cm="1">
        <f t="array" ref="AK40">IFERROR(AK21/AF21-1,NM)</f>
        <v>3.5674470457079721E-2</v>
      </c>
      <c r="AL40" s="293" cm="1">
        <f t="array" ref="AL40">IFERROR(AL21/AG21-1,NM)</f>
        <v>-5.1288972870832117E-3</v>
      </c>
      <c r="AM40" s="388" cm="1">
        <f t="array" ref="AM40">IFERROR(AM21/AH21-1,NM)</f>
        <v>9.3974571586512567E-3</v>
      </c>
      <c r="AN40" s="269" cm="1">
        <f t="array" ref="AN40">IFERROR(AN21/AI21-1,NM)</f>
        <v>0.15300859598853855</v>
      </c>
      <c r="AO40" s="269" cm="1">
        <f t="array" ref="AO40">IFERROR(AO21/AJ21-1,NM)</f>
        <v>2.297090352220521E-2</v>
      </c>
      <c r="AP40" s="269" cm="1">
        <f t="array" ref="AP40">IFERROR(AP21/AK21-1,NM)</f>
        <v>1.6146393972012563E-2</v>
      </c>
      <c r="AQ40" s="293" cm="1">
        <f t="array" ref="AQ40">IFERROR(AQ21/AL21-1,NM)</f>
        <v>4.8704382037715321E-2</v>
      </c>
      <c r="AR40" s="388" cm="1">
        <f t="array" ref="AR40">IFERROR(AR21/AM21-1,NM)</f>
        <v>7.4479737130339396E-2</v>
      </c>
      <c r="AS40" s="269" cm="1">
        <f t="array" ref="AS40">IFERROR(AS21/AN21-1,NM)</f>
        <v>1.7892644135188984E-2</v>
      </c>
      <c r="AT40" s="269" cm="1">
        <f t="array" ref="AT40">IFERROR(AT21/AO21-1,NM)</f>
        <v>-2.4950099800399195E-2</v>
      </c>
      <c r="AU40" s="269" cm="1">
        <f t="array" ref="AU40">IFERROR(AU21/AP21-1,NM)</f>
        <v>-8.2097457627118287E-2</v>
      </c>
      <c r="AV40" s="293" cm="1">
        <f t="array" ref="AV40">IFERROR(AV21/AQ21-1,NM)</f>
        <v>-4.2690815006468652E-3</v>
      </c>
      <c r="AW40" s="388" cm="1">
        <f t="array" ref="AW40">IFERROR(AW21/AR21-1,NM)</f>
        <v>-7.1355759429153842E-2</v>
      </c>
      <c r="AX40" s="269" cm="1">
        <f t="array" ref="AX40">IFERROR(AX21/AS21-1,NM)</f>
        <v>-3.80859375E-2</v>
      </c>
      <c r="AY40" s="269" cm="1">
        <f t="array" ref="AY40">IFERROR(AY21/AT21-1,NM)</f>
        <v>0.10440122824974418</v>
      </c>
      <c r="AZ40" s="269" cm="1">
        <f t="array" ref="AZ40">IFERROR(AZ21/AU21-1,NM)</f>
        <v>0.18118869013271777</v>
      </c>
      <c r="BA40" s="293" cm="1">
        <f t="array" ref="BA40">IFERROR(BA21/AV21-1,NM)</f>
        <v>3.8976224503053158E-2</v>
      </c>
      <c r="BB40" s="388" cm="1">
        <f t="array" ref="BB40">IFERROR(BB21/AW21-1,NM)</f>
        <v>0.1569703622392975</v>
      </c>
      <c r="BC40" s="269" cm="1">
        <f t="array" ref="BC40">IFERROR(BC21/AX21-1,NM)</f>
        <v>0.18121827411167502</v>
      </c>
      <c r="BD40" s="269" cm="1">
        <f t="array" ref="BD40">IFERROR(BD21/AY21-1,NM)</f>
        <v>0.10240963855421681</v>
      </c>
      <c r="BE40" s="269" cm="1">
        <f t="array" ref="BE40">IFERROR(BE21/AZ21-1,NM)</f>
        <v>6.3065030604327665E-2</v>
      </c>
      <c r="BF40" s="293" cm="1">
        <f t="array" ref="BF40">IFERROR(BF21/BA21-1,NM)</f>
        <v>0.12418333345592836</v>
      </c>
      <c r="BG40" s="388" cm="1">
        <f t="array" ref="BG40">IFERROR(BG21/BB21-1,NM)</f>
        <v>2.7393112358189642E-2</v>
      </c>
      <c r="BH40" s="269" cm="1">
        <f t="array" ref="BH40">IFERROR(BH21/BC21-1,NM)</f>
        <v>4.7307186733739348E-2</v>
      </c>
      <c r="BI40" s="269" cm="1">
        <f t="array" ref="BI40">IFERROR(BI21/BD21-1,NM)</f>
        <v>2.921548954814468E-2</v>
      </c>
      <c r="BJ40" s="269" cm="1">
        <f t="array" ref="BJ40">IFERROR(BJ21/BE21-1,NM)</f>
        <v>6.1754385964912339E-2</v>
      </c>
      <c r="BK40" s="293" cm="1">
        <f t="array" ref="BK40">IFERROR(BK21/BF21-1,NM)</f>
        <v>4.134723231907067E-2</v>
      </c>
      <c r="BL40" s="388" cm="1">
        <f t="array" ref="BL40">IFERROR(BL21/BG21-1,NM)</f>
        <v>4.3676311239193133E-2</v>
      </c>
      <c r="BM40" s="269" cm="1">
        <f t="array" ref="BM40">IFERROR(BM21/BH21-1,NM)</f>
        <v>4.9499498063961145E-2</v>
      </c>
      <c r="BN40" s="269" cm="1">
        <f t="array" ref="BN40">IFERROR(BN21/BI21-1,NM)</f>
        <v>5.0659058487874553E-2</v>
      </c>
      <c r="BO40" s="269" cm="1">
        <f t="array" ref="BO40">IFERROR(BO21/BJ21-1,NM)</f>
        <v>3.9849268841394725E-2</v>
      </c>
      <c r="BP40" s="293" cm="1">
        <f t="array" ref="BP40">IFERROR(BP21/BK21-1,NM)</f>
        <v>4.6073986707570791E-2</v>
      </c>
      <c r="BQ40" s="388" cm="1">
        <f t="array" ref="BQ40">IFERROR(BQ21/BL21-1,NM)</f>
        <v>3.1182913165266113E-2</v>
      </c>
      <c r="BR40" s="269" cm="1">
        <f t="array" ref="BR40">IFERROR(BR21/BM21-1,NM)</f>
        <v>5.3774815340909221E-2</v>
      </c>
      <c r="BS40" s="269" cm="1">
        <f t="array" ref="BS40">IFERROR(BS21/BN21-1,NM)</f>
        <v>4.7950632911392344E-2</v>
      </c>
      <c r="BT40" s="269" cm="1">
        <f t="array" ref="BT40">IFERROR(BT21/BO21-1,NM)</f>
        <v>4.9932427184466111E-2</v>
      </c>
      <c r="BU40" s="293" cm="1">
        <f t="array" ref="BU40">IFERROR(BU21/BP21-1,NM)</f>
        <v>4.6087828625992477E-2</v>
      </c>
      <c r="BV40" s="388" cm="1">
        <f t="array" ref="BV40">IFERROR(BV21/BQ21-1,NM)</f>
        <v>4.2776699029126064E-2</v>
      </c>
      <c r="BW40" s="269" cm="1">
        <f t="array" ref="BW40">IFERROR(BW21/BR21-1,NM)</f>
        <v>1.6568306010928957E-2</v>
      </c>
      <c r="BX40" s="269" cm="1">
        <f t="array" ref="BX40">IFERROR(BX21/BS21-1,NM)</f>
        <v>4.036754507628304E-2</v>
      </c>
      <c r="BY40" s="269" cm="1">
        <f t="array" ref="BY40">IFERROR(BY21/BT21-1,NM)</f>
        <v>5.8999999999999941E-2</v>
      </c>
      <c r="BZ40" s="293" cm="1">
        <f t="array" ref="BZ40">IFERROR(BZ21/BU21-1,NM)</f>
        <v>3.9242140791314606E-2</v>
      </c>
    </row>
    <row r="41" spans="1:79" s="271" customFormat="1" ht="14.1" customHeight="1" x14ac:dyDescent="0.2">
      <c r="A41"/>
      <c r="B41"/>
      <c r="C41" s="274" t="str">
        <f>C23</f>
        <v>LTL Revenue Per Hundredweight</v>
      </c>
      <c r="D41" s="269"/>
      <c r="E41" s="269">
        <f>AB41</f>
        <v>0.10236220472440949</v>
      </c>
      <c r="F41" s="269">
        <f>AG41</f>
        <v>7.4404761904761862E-2</v>
      </c>
      <c r="G41" s="269">
        <f>AL41</f>
        <v>1.5512465373961115E-2</v>
      </c>
      <c r="H41" s="269">
        <f>AQ41</f>
        <v>0.12820512820512819</v>
      </c>
      <c r="I41" s="269">
        <f>AV41</f>
        <v>0.19439071566731148</v>
      </c>
      <c r="J41" s="269">
        <f>BA41</f>
        <v>2.7530364372469585E-2</v>
      </c>
      <c r="K41" s="269">
        <f>BF41</f>
        <v>2.3995567375886484E-2</v>
      </c>
      <c r="L41" s="269">
        <f>BK41</f>
        <v>4.8995596311248057E-2</v>
      </c>
      <c r="M41" s="269">
        <f>BP41</f>
        <v>6.2842849964753755E-2</v>
      </c>
      <c r="N41" s="269">
        <f>BU41</f>
        <v>2.4011326302419533E-2</v>
      </c>
      <c r="O41" s="293">
        <f>BZ41</f>
        <v>2.2201869704418842E-2</v>
      </c>
      <c r="P41" s="228"/>
      <c r="Q41" s="228"/>
      <c r="R41" s="274" t="str">
        <f>R23</f>
        <v>LTL Revenue Per Hundredweight</v>
      </c>
      <c r="S41" s="384"/>
      <c r="T41" s="272"/>
      <c r="U41" s="272"/>
      <c r="V41" s="272"/>
      <c r="W41" s="294"/>
      <c r="X41" s="384">
        <f t="shared" ref="X41:BA41" si="27">IFERROR(X23/S23-1,"NM")</f>
        <v>-4.5563549160671402E-2</v>
      </c>
      <c r="Y41" s="272">
        <f t="shared" si="27"/>
        <v>-2.6642984014209503E-2</v>
      </c>
      <c r="Z41" s="272">
        <f t="shared" si="27"/>
        <v>-9.2165898617511122E-3</v>
      </c>
      <c r="AA41" s="272">
        <f t="shared" si="27"/>
        <v>0.75872382851445641</v>
      </c>
      <c r="AB41" s="294">
        <f t="shared" si="27"/>
        <v>0.10236220472440949</v>
      </c>
      <c r="AC41" s="384">
        <f t="shared" si="27"/>
        <v>0.10615577889447225</v>
      </c>
      <c r="AD41" s="272">
        <f t="shared" si="27"/>
        <v>9.7931873479318643E-2</v>
      </c>
      <c r="AE41" s="272">
        <f t="shared" si="27"/>
        <v>5.3488372093023262E-2</v>
      </c>
      <c r="AF41" s="272">
        <f t="shared" si="27"/>
        <v>4.4217687074830092E-2</v>
      </c>
      <c r="AG41" s="294">
        <f t="shared" si="27"/>
        <v>7.4404761904761862E-2</v>
      </c>
      <c r="AH41" s="384">
        <f t="shared" si="27"/>
        <v>3.123225440090871E-2</v>
      </c>
      <c r="AI41" s="272">
        <f t="shared" si="27"/>
        <v>-5.5401662049862077E-3</v>
      </c>
      <c r="AJ41" s="272">
        <f t="shared" si="27"/>
        <v>2.5938189845474469E-2</v>
      </c>
      <c r="AK41" s="272">
        <f t="shared" si="27"/>
        <v>1.0857763300759382E-2</v>
      </c>
      <c r="AL41" s="294">
        <f t="shared" si="27"/>
        <v>1.5512465373961115E-2</v>
      </c>
      <c r="AM41" s="384">
        <f t="shared" si="27"/>
        <v>5.6167400881057317E-2</v>
      </c>
      <c r="AN41" s="272">
        <f t="shared" si="27"/>
        <v>0.10529247910863515</v>
      </c>
      <c r="AO41" s="272">
        <f t="shared" si="27"/>
        <v>0.14900484131253355</v>
      </c>
      <c r="AP41" s="272">
        <f t="shared" si="27"/>
        <v>0.19978517722878708</v>
      </c>
      <c r="AQ41" s="294">
        <f t="shared" si="27"/>
        <v>0.12820512820512819</v>
      </c>
      <c r="AR41" s="384">
        <f t="shared" si="27"/>
        <v>0.21428571428571419</v>
      </c>
      <c r="AS41" s="272">
        <f t="shared" si="27"/>
        <v>0.26260080645161299</v>
      </c>
      <c r="AT41" s="272">
        <f t="shared" si="27"/>
        <v>0.17509363295880154</v>
      </c>
      <c r="AU41" s="272">
        <f t="shared" si="27"/>
        <v>0.13518352730528171</v>
      </c>
      <c r="AV41" s="294">
        <f t="shared" si="27"/>
        <v>0.19439071566731148</v>
      </c>
      <c r="AW41" s="384">
        <f t="shared" si="27"/>
        <v>5.7535422928295388E-2</v>
      </c>
      <c r="AX41" s="272">
        <f t="shared" si="27"/>
        <v>-4.7904191616766401E-2</v>
      </c>
      <c r="AY41" s="272">
        <f t="shared" si="27"/>
        <v>3.067729083665327E-2</v>
      </c>
      <c r="AZ41" s="272">
        <f t="shared" si="27"/>
        <v>7.1372239747633515E-2</v>
      </c>
      <c r="BA41" s="294">
        <f t="shared" si="27"/>
        <v>2.7530364372469585E-2</v>
      </c>
      <c r="BB41" s="384">
        <f>BB52</f>
        <v>7.6329679252943761E-2</v>
      </c>
      <c r="BC41" s="272">
        <f t="shared" ref="BC41:BZ41" si="28">BC52</f>
        <v>7.9664570230607801E-2</v>
      </c>
      <c r="BD41" s="272">
        <f t="shared" si="28"/>
        <v>-8.8906068805566507E-3</v>
      </c>
      <c r="BE41" s="272">
        <f t="shared" si="28"/>
        <v>-4.1000000000000002E-2</v>
      </c>
      <c r="BF41" s="294">
        <f t="shared" si="28"/>
        <v>2.3995567375886484E-2</v>
      </c>
      <c r="BG41" s="384">
        <f t="shared" si="28"/>
        <v>4.4999999999999998E-2</v>
      </c>
      <c r="BH41" s="272">
        <f t="shared" si="28"/>
        <v>0.05</v>
      </c>
      <c r="BI41" s="272">
        <f t="shared" si="28"/>
        <v>4.4999999999999998E-2</v>
      </c>
      <c r="BJ41" s="272">
        <f t="shared" si="28"/>
        <v>5.5999999999999994E-2</v>
      </c>
      <c r="BK41" s="294">
        <f t="shared" si="28"/>
        <v>4.8995596311248057E-2</v>
      </c>
      <c r="BL41" s="384">
        <f t="shared" si="28"/>
        <v>5.91E-2</v>
      </c>
      <c r="BM41" s="272">
        <f t="shared" si="28"/>
        <v>5.8099999999999999E-2</v>
      </c>
      <c r="BN41" s="272">
        <f t="shared" si="28"/>
        <v>6.6100000000000006E-2</v>
      </c>
      <c r="BO41" s="272">
        <f t="shared" si="28"/>
        <v>6.8100000000000008E-2</v>
      </c>
      <c r="BP41" s="294">
        <f t="shared" si="28"/>
        <v>6.2842849964753755E-2</v>
      </c>
      <c r="BQ41" s="384">
        <f t="shared" si="28"/>
        <v>2.2800000000000001E-2</v>
      </c>
      <c r="BR41" s="272">
        <f t="shared" si="28"/>
        <v>2.3799999999999998E-2</v>
      </c>
      <c r="BS41" s="272">
        <f t="shared" si="28"/>
        <v>2.98E-2</v>
      </c>
      <c r="BT41" s="272">
        <f t="shared" si="28"/>
        <v>1.9799999999999998E-2</v>
      </c>
      <c r="BU41" s="294">
        <f t="shared" si="28"/>
        <v>2.4011326302419533E-2</v>
      </c>
      <c r="BV41" s="384">
        <f t="shared" si="28"/>
        <v>2.4199999999999999E-2</v>
      </c>
      <c r="BW41" s="272">
        <f t="shared" si="28"/>
        <v>2.7199999999999998E-2</v>
      </c>
      <c r="BX41" s="272">
        <f t="shared" si="28"/>
        <v>2.6599999999999999E-2</v>
      </c>
      <c r="BY41" s="272">
        <f t="shared" si="28"/>
        <v>1.0999999999999999E-2</v>
      </c>
      <c r="BZ41" s="294">
        <f t="shared" si="28"/>
        <v>2.2201869704418842E-2</v>
      </c>
    </row>
    <row r="42" spans="1:79" s="269" customFormat="1" ht="14.1" customHeight="1" x14ac:dyDescent="0.2">
      <c r="A42"/>
      <c r="B42"/>
      <c r="C42" s="277" t="str">
        <f>C25</f>
        <v>Revenue Per Shipment</v>
      </c>
      <c r="D42" s="278"/>
      <c r="E42" s="278">
        <f>AB42</f>
        <v>0.12554032240604274</v>
      </c>
      <c r="F42" s="278">
        <f>AG42</f>
        <v>3.410699700873554E-2</v>
      </c>
      <c r="G42" s="278">
        <f>AL42</f>
        <v>2.5406790617075403E-2</v>
      </c>
      <c r="H42" s="278">
        <f>AQ42</f>
        <v>0.20000865646806498</v>
      </c>
      <c r="I42" s="278">
        <f>AV42</f>
        <v>0.21550205397531896</v>
      </c>
      <c r="J42" s="278">
        <f>BA42</f>
        <v>1.6326795028647201E-3</v>
      </c>
      <c r="K42" s="278">
        <f>BF42</f>
        <v>8.8894822298394294E-2</v>
      </c>
      <c r="L42" s="278">
        <f>BK42</f>
        <v>5.7133071250205614E-2</v>
      </c>
      <c r="M42" s="278">
        <f>BP42</f>
        <v>7.5797208060963239E-2</v>
      </c>
      <c r="N42" s="278">
        <f>BU42</f>
        <v>6.3076158309154806E-2</v>
      </c>
      <c r="O42" s="295">
        <f>BZ42</f>
        <v>5.606088082975802E-2</v>
      </c>
      <c r="P42" s="101"/>
      <c r="Q42" s="101"/>
      <c r="R42" s="277" t="str">
        <f>R25</f>
        <v>Revenue Per Shipment</v>
      </c>
      <c r="S42" s="389"/>
      <c r="T42" s="278"/>
      <c r="U42" s="278"/>
      <c r="V42" s="278"/>
      <c r="W42" s="295"/>
      <c r="X42" s="389">
        <f t="shared" ref="X42:BA42" si="29">IFERROR(X25/S25-1,"NM")</f>
        <v>0.17399308782410072</v>
      </c>
      <c r="Y42" s="278">
        <f t="shared" si="29"/>
        <v>0.19236425297608428</v>
      </c>
      <c r="Z42" s="278">
        <f t="shared" si="29"/>
        <v>0.20034751167701859</v>
      </c>
      <c r="AA42" s="278">
        <f t="shared" si="29"/>
        <v>0.20556628500304996</v>
      </c>
      <c r="AB42" s="295">
        <f t="shared" si="29"/>
        <v>0.12554032240604274</v>
      </c>
      <c r="AC42" s="389">
        <f t="shared" si="29"/>
        <v>6.8305166676146722E-2</v>
      </c>
      <c r="AD42" s="278">
        <f t="shared" si="29"/>
        <v>3.9972513633223405E-2</v>
      </c>
      <c r="AE42" s="278">
        <f t="shared" si="29"/>
        <v>1.0091297940404642E-2</v>
      </c>
      <c r="AF42" s="278">
        <f t="shared" si="29"/>
        <v>2.4171000678715471E-2</v>
      </c>
      <c r="AG42" s="295">
        <f t="shared" si="29"/>
        <v>3.410699700873554E-2</v>
      </c>
      <c r="AH42" s="389">
        <f t="shared" si="29"/>
        <v>4.8234853417584045E-2</v>
      </c>
      <c r="AI42" s="278">
        <f t="shared" si="29"/>
        <v>3.2108876419842947E-3</v>
      </c>
      <c r="AJ42" s="278">
        <f t="shared" si="29"/>
        <v>1.6511498974000061E-2</v>
      </c>
      <c r="AK42" s="278">
        <f t="shared" si="29"/>
        <v>3.473457074458608E-2</v>
      </c>
      <c r="AL42" s="295">
        <f t="shared" si="29"/>
        <v>2.5406790617075403E-2</v>
      </c>
      <c r="AM42" s="389">
        <f t="shared" si="29"/>
        <v>8.4604441232492666E-2</v>
      </c>
      <c r="AN42" s="278">
        <f t="shared" si="29"/>
        <v>0.18022249111228583</v>
      </c>
      <c r="AO42" s="278">
        <f t="shared" si="29"/>
        <v>0.24681850817447359</v>
      </c>
      <c r="AP42" s="278">
        <f t="shared" si="29"/>
        <v>0.28788508012981562</v>
      </c>
      <c r="AQ42" s="295">
        <f t="shared" si="29"/>
        <v>0.20000865646806498</v>
      </c>
      <c r="AR42" s="389">
        <f t="shared" si="29"/>
        <v>0.25699243350781309</v>
      </c>
      <c r="AS42" s="278">
        <f t="shared" si="29"/>
        <v>0.27569560333351362</v>
      </c>
      <c r="AT42" s="278">
        <f t="shared" si="29"/>
        <v>0.20086454710402957</v>
      </c>
      <c r="AU42" s="278">
        <f t="shared" si="29"/>
        <v>0.14207750216434745</v>
      </c>
      <c r="AV42" s="295">
        <f t="shared" si="29"/>
        <v>0.21550205397531896</v>
      </c>
      <c r="AW42" s="389">
        <f t="shared" si="29"/>
        <v>7.6395279048966147E-2</v>
      </c>
      <c r="AX42" s="278">
        <f t="shared" si="29"/>
        <v>-2.731960095647934E-2</v>
      </c>
      <c r="AY42" s="278">
        <f t="shared" si="29"/>
        <v>-1.9992196181509714E-2</v>
      </c>
      <c r="AZ42" s="278">
        <f t="shared" si="29"/>
        <v>-1.9270476484558818E-2</v>
      </c>
      <c r="BA42" s="295">
        <f t="shared" si="29"/>
        <v>1.6326795028647201E-3</v>
      </c>
      <c r="BB42" s="389">
        <f>BB59</f>
        <v>6.1784897025171537E-2</v>
      </c>
      <c r="BC42" s="278">
        <f t="shared" ref="BC42:BZ42" si="30">BC59</f>
        <v>9.7114707952146384E-2</v>
      </c>
      <c r="BD42" s="278">
        <f t="shared" si="30"/>
        <v>9.4069529652351713E-2</v>
      </c>
      <c r="BE42" s="278">
        <f t="shared" si="30"/>
        <v>0.10100000000000001</v>
      </c>
      <c r="BF42" s="295">
        <f t="shared" si="30"/>
        <v>8.8894822298394294E-2</v>
      </c>
      <c r="BG42" s="389">
        <f t="shared" si="30"/>
        <v>5.2999999999999999E-2</v>
      </c>
      <c r="BH42" s="278">
        <f t="shared" si="30"/>
        <v>6.3E-2</v>
      </c>
      <c r="BI42" s="278">
        <f t="shared" si="30"/>
        <v>4.4999999999999998E-2</v>
      </c>
      <c r="BJ42" s="278">
        <f t="shared" si="30"/>
        <v>6.8000000000000005E-2</v>
      </c>
      <c r="BK42" s="295">
        <f t="shared" si="30"/>
        <v>5.7133071250205614E-2</v>
      </c>
      <c r="BL42" s="389">
        <f t="shared" si="30"/>
        <v>7.0200000000000012E-2</v>
      </c>
      <c r="BM42" s="278">
        <f t="shared" si="30"/>
        <v>7.6200000000000004E-2</v>
      </c>
      <c r="BN42" s="278">
        <f t="shared" si="30"/>
        <v>7.5200000000000003E-2</v>
      </c>
      <c r="BO42" s="278">
        <f t="shared" si="30"/>
        <v>8.1200000000000008E-2</v>
      </c>
      <c r="BP42" s="295">
        <f t="shared" si="30"/>
        <v>7.5797208060963239E-2</v>
      </c>
      <c r="BQ42" s="389">
        <f t="shared" si="30"/>
        <v>6.0899999999999996E-2</v>
      </c>
      <c r="BR42" s="278">
        <f t="shared" si="30"/>
        <v>6.3899999999999998E-2</v>
      </c>
      <c r="BS42" s="278">
        <f t="shared" si="30"/>
        <v>6.2899999999999998E-2</v>
      </c>
      <c r="BT42" s="278">
        <f t="shared" si="30"/>
        <v>6.4399999999999999E-2</v>
      </c>
      <c r="BU42" s="295">
        <f t="shared" si="30"/>
        <v>6.3076158309154806E-2</v>
      </c>
      <c r="BV42" s="389">
        <f t="shared" si="30"/>
        <v>5.2999999999999999E-2</v>
      </c>
      <c r="BW42" s="278">
        <f t="shared" si="30"/>
        <v>5.7000000000000002E-2</v>
      </c>
      <c r="BX42" s="278">
        <f t="shared" si="30"/>
        <v>5.5E-2</v>
      </c>
      <c r="BY42" s="278">
        <f t="shared" si="30"/>
        <v>5.9000000000000004E-2</v>
      </c>
      <c r="BZ42" s="295">
        <f t="shared" si="30"/>
        <v>5.606088082975802E-2</v>
      </c>
    </row>
    <row r="43" spans="1:79" s="234" customFormat="1" ht="2.1" customHeight="1" x14ac:dyDescent="0.2">
      <c r="A43"/>
      <c r="B43"/>
      <c r="C43" s="111"/>
      <c r="D43" s="101"/>
      <c r="E43" s="101"/>
      <c r="F43" s="101"/>
      <c r="G43" s="101"/>
      <c r="H43" s="101"/>
      <c r="I43" s="101"/>
      <c r="J43" s="101"/>
      <c r="K43" s="101"/>
      <c r="L43" s="101"/>
      <c r="M43" s="101"/>
      <c r="N43" s="101"/>
      <c r="O43" s="101"/>
      <c r="P43" s="101"/>
      <c r="Q43" s="101"/>
      <c r="T43" s="230"/>
      <c r="U43" s="230"/>
      <c r="V43" s="230"/>
      <c r="W43" s="235"/>
      <c r="X43" s="230"/>
      <c r="Y43" s="230"/>
      <c r="Z43" s="230"/>
      <c r="AA43" s="230"/>
      <c r="AB43" s="235"/>
      <c r="AC43" s="230"/>
      <c r="AD43" s="230"/>
      <c r="AE43" s="230"/>
      <c r="AF43" s="230"/>
      <c r="AG43" s="235"/>
      <c r="AH43" s="230"/>
      <c r="AI43" s="230"/>
      <c r="AJ43" s="230"/>
      <c r="AK43" s="230"/>
      <c r="AL43" s="235"/>
      <c r="AM43" s="230"/>
      <c r="AN43" s="230"/>
      <c r="AO43" s="230"/>
      <c r="AP43" s="230"/>
      <c r="AQ43" s="235"/>
      <c r="AR43" s="230"/>
      <c r="AS43" s="230"/>
      <c r="AT43" s="230"/>
      <c r="AU43" s="230"/>
      <c r="AV43" s="235"/>
      <c r="AW43" s="230"/>
      <c r="AX43" s="230"/>
      <c r="AY43" s="230"/>
      <c r="AZ43" s="230"/>
      <c r="BA43" s="235"/>
      <c r="BB43" s="230"/>
      <c r="BC43" s="230"/>
      <c r="BD43" s="230"/>
      <c r="BE43" s="230"/>
      <c r="BF43" s="235"/>
      <c r="BG43" s="230"/>
      <c r="BH43" s="230"/>
      <c r="BI43" s="230"/>
      <c r="BJ43" s="230"/>
      <c r="BK43" s="235"/>
      <c r="BL43" s="230"/>
      <c r="BM43" s="230"/>
      <c r="BN43" s="230"/>
      <c r="BO43" s="230"/>
      <c r="BP43" s="235"/>
      <c r="BQ43" s="230"/>
      <c r="BR43" s="230"/>
      <c r="BS43" s="230"/>
      <c r="BT43" s="230"/>
      <c r="BU43" s="235"/>
      <c r="BV43" s="230"/>
      <c r="BW43" s="230"/>
      <c r="BX43" s="230"/>
      <c r="BY43" s="230"/>
      <c r="BZ43" s="235"/>
      <c r="CA43" s="230"/>
    </row>
    <row r="44" spans="1:79" s="229" customFormat="1" ht="14.1" customHeight="1" x14ac:dyDescent="0.2">
      <c r="A44"/>
      <c r="B44"/>
      <c r="C44" s="296" t="str">
        <f>R44</f>
        <v>Tonnage to Shipment Ratio</v>
      </c>
      <c r="D44" s="305">
        <f>W44</f>
        <v>0.66199261992619929</v>
      </c>
      <c r="E44" s="305">
        <f>AB44</f>
        <v>0.67591158665352669</v>
      </c>
      <c r="F44" s="305">
        <f>AG44</f>
        <v>0.65056012957214204</v>
      </c>
      <c r="G44" s="305">
        <f>AL44</f>
        <v>0.65689865689865679</v>
      </c>
      <c r="H44" s="305">
        <f>AQ44</f>
        <v>0.69870633893919787</v>
      </c>
      <c r="I44" s="305">
        <f>AV44</f>
        <v>0.71105625568403275</v>
      </c>
      <c r="J44" s="305">
        <f>BA44</f>
        <v>0.69313492559709899</v>
      </c>
      <c r="K44" s="305">
        <f>BF44</f>
        <v>0.67137717592435064</v>
      </c>
      <c r="L44" s="305">
        <f>BK44</f>
        <v>0.68155461879091472</v>
      </c>
      <c r="M44" s="305">
        <f>BP44</f>
        <v>0.70092036065637264</v>
      </c>
      <c r="N44" s="305">
        <f>BU44</f>
        <v>0.71230321575001387</v>
      </c>
      <c r="O44" s="413">
        <f>BZ44</f>
        <v>0.72383088783336946</v>
      </c>
      <c r="P44" s="228"/>
      <c r="Q44" s="228"/>
      <c r="R44" s="284" t="str">
        <f>"Tonnage to Shipment Ratio"</f>
        <v>Tonnage to Shipment Ratio</v>
      </c>
      <c r="S44" s="390">
        <f t="shared" ref="S44:BD44" si="31">S19/S21</f>
        <v>0.55071561916614808</v>
      </c>
      <c r="T44" s="337">
        <f t="shared" si="31"/>
        <v>0.55909090909090908</v>
      </c>
      <c r="U44" s="337">
        <f t="shared" si="31"/>
        <v>0.5601684717208183</v>
      </c>
      <c r="V44" s="337">
        <f t="shared" si="31"/>
        <v>0.96506300114547539</v>
      </c>
      <c r="W44" s="426">
        <f t="shared" si="31"/>
        <v>0.66199261992619929</v>
      </c>
      <c r="X44" s="390">
        <f t="shared" si="31"/>
        <v>0.67740112994350288</v>
      </c>
      <c r="Y44" s="337">
        <f t="shared" si="31"/>
        <v>0.68488745980707388</v>
      </c>
      <c r="Z44" s="337">
        <f t="shared" si="31"/>
        <v>0.67865168539325837</v>
      </c>
      <c r="AA44" s="337">
        <f t="shared" si="31"/>
        <v>0.66152934202726743</v>
      </c>
      <c r="AB44" s="426">
        <f t="shared" si="31"/>
        <v>0.67591158665352669</v>
      </c>
      <c r="AC44" s="390">
        <f t="shared" si="31"/>
        <v>0.65422171165996545</v>
      </c>
      <c r="AD44" s="337">
        <f t="shared" si="31"/>
        <v>0.64873254009311954</v>
      </c>
      <c r="AE44" s="337">
        <f t="shared" si="31"/>
        <v>0.65069551777434309</v>
      </c>
      <c r="AF44" s="337">
        <f t="shared" si="31"/>
        <v>0.64882943143812755</v>
      </c>
      <c r="AG44" s="426">
        <f t="shared" si="31"/>
        <v>0.65056012957214204</v>
      </c>
      <c r="AH44" s="390">
        <f t="shared" si="31"/>
        <v>0.6650082918739636</v>
      </c>
      <c r="AI44" s="337">
        <f t="shared" si="31"/>
        <v>0.65444126074498554</v>
      </c>
      <c r="AJ44" s="337">
        <f t="shared" si="31"/>
        <v>0.64471669218989269</v>
      </c>
      <c r="AK44" s="337">
        <f t="shared" si="31"/>
        <v>0.66415500538213113</v>
      </c>
      <c r="AL44" s="426">
        <f t="shared" si="31"/>
        <v>0.65689865689865679</v>
      </c>
      <c r="AM44" s="390">
        <f t="shared" si="31"/>
        <v>0.68291347207009856</v>
      </c>
      <c r="AN44" s="337">
        <f t="shared" si="31"/>
        <v>0.69880715705765406</v>
      </c>
      <c r="AO44" s="337">
        <f t="shared" si="31"/>
        <v>0.69960079840319356</v>
      </c>
      <c r="AP44" s="337">
        <f t="shared" si="31"/>
        <v>0.71292372881355937</v>
      </c>
      <c r="AQ44" s="426">
        <f t="shared" si="31"/>
        <v>0.69870633893919787</v>
      </c>
      <c r="AR44" s="390">
        <f t="shared" si="31"/>
        <v>0.70693170234454639</v>
      </c>
      <c r="AS44" s="337">
        <f t="shared" si="31"/>
        <v>0.7060546875</v>
      </c>
      <c r="AT44" s="337">
        <f t="shared" si="31"/>
        <v>0.71494370522006145</v>
      </c>
      <c r="AU44" s="337">
        <f t="shared" si="31"/>
        <v>0.71725331794575831</v>
      </c>
      <c r="AV44" s="426">
        <f t="shared" si="31"/>
        <v>0.71105625568403275</v>
      </c>
      <c r="AW44" s="390">
        <f t="shared" si="31"/>
        <v>0.71953896816684959</v>
      </c>
      <c r="AX44" s="337">
        <f t="shared" si="31"/>
        <v>0.7213197969543147</v>
      </c>
      <c r="AY44" s="337">
        <f t="shared" si="31"/>
        <v>0.67979610750695096</v>
      </c>
      <c r="AZ44" s="337">
        <f t="shared" si="31"/>
        <v>0.65657059110893989</v>
      </c>
      <c r="BA44" s="426">
        <f>BA19/BA21</f>
        <v>0.69313492559709899</v>
      </c>
      <c r="BB44" s="390">
        <f t="shared" si="31"/>
        <v>0.66034155597722954</v>
      </c>
      <c r="BC44" s="337">
        <f t="shared" si="31"/>
        <v>0.66996132359260852</v>
      </c>
      <c r="BD44" s="337">
        <f t="shared" si="31"/>
        <v>0.67465321563682223</v>
      </c>
      <c r="BE44" s="337">
        <f>INDEX($BE$46:$BZ$49,MATCH($O$3,$C$46:$C$49,0),MATCH(BE34,$BE$34:$BZ$34,0))</f>
        <v>0.68</v>
      </c>
      <c r="BF44" s="426">
        <f>BF58/BF45</f>
        <v>0.67137717592435064</v>
      </c>
      <c r="BG44" s="390">
        <f>INDEX($BE$46:$BZ$49,MATCH($O$3,$C$46:$C$49,0),MATCH(BG34,$BE$34:$BZ$34,0))</f>
        <v>0.67679999999999996</v>
      </c>
      <c r="BH44" s="337">
        <f>INDEX($BE$46:$BZ$49,MATCH($O$3,$C$46:$C$49,0),MATCH(BH34,$BE$34:$BZ$34,0))</f>
        <v>0.68</v>
      </c>
      <c r="BI44" s="337">
        <f>INDEX($BE$46:$BZ$49,MATCH($O$3,$C$46:$C$49,0),MATCH(BI34,$BE$34:$BZ$34,0))</f>
        <v>0.68500000000000005</v>
      </c>
      <c r="BJ44" s="337">
        <f>INDEX($BE$46:$BZ$49,MATCH($O$3,$C$46:$C$49,0),MATCH(BJ34,$BE$34:$BZ$34,0))</f>
        <v>0.68400000000000005</v>
      </c>
      <c r="BK44" s="426">
        <f>BK58/BK45</f>
        <v>0.68155461879091472</v>
      </c>
      <c r="BL44" s="390">
        <f>INDEX($BE$46:$BZ$49,MATCH($O$3,$C$46:$C$49,0),MATCH(BL34,$BE$34:$BZ$34,0))</f>
        <v>0.69399999999999995</v>
      </c>
      <c r="BM44" s="337">
        <f>INDEX($BE$46:$BZ$49,MATCH($O$3,$C$46:$C$49,0),MATCH(BM34,$BE$34:$BZ$34,0))</f>
        <v>0.69730000000000003</v>
      </c>
      <c r="BN44" s="337">
        <f>INDEX($BE$46:$BZ$49,MATCH($O$3,$C$46:$C$49,0),MATCH(BN34,$BE$34:$BZ$34,0))</f>
        <v>0.70099999999999996</v>
      </c>
      <c r="BO44" s="337">
        <f>INDEX($BE$46:$BZ$49,MATCH($O$3,$C$46:$C$49,0),MATCH(BO34,$BE$34:$BZ$34,0))</f>
        <v>0.71120000000000005</v>
      </c>
      <c r="BP44" s="426">
        <f>BP58/BP45</f>
        <v>0.70092036065637264</v>
      </c>
      <c r="BQ44" s="390">
        <f>INDEX($BE$46:$BZ$49,MATCH($O$3,$C$46:$C$49,0),MATCH(BQ34,$BE$34:$BZ$34,0))</f>
        <v>0.71399999999999997</v>
      </c>
      <c r="BR44" s="337">
        <f>INDEX($BE$46:$BZ$49,MATCH($O$3,$C$46:$C$49,0),MATCH(BR34,$BE$34:$BZ$34,0))</f>
        <v>0.70399999999999996</v>
      </c>
      <c r="BS44" s="337">
        <f>INDEX($BE$46:$BZ$49,MATCH($O$3,$C$46:$C$49,0),MATCH(BS34,$BE$34:$BZ$34,0))</f>
        <v>0.71099999999999997</v>
      </c>
      <c r="BT44" s="337">
        <f>INDEX($BE$46:$BZ$49,MATCH($O$3,$C$46:$C$49,0),MATCH(BT34,$BE$34:$BZ$34,0))</f>
        <v>0.72099999999999997</v>
      </c>
      <c r="BU44" s="426">
        <f>BU58/BU45</f>
        <v>0.71230321575001387</v>
      </c>
      <c r="BV44" s="390">
        <f>INDEX($BE$46:$BZ$49,MATCH($O$3,$C$46:$C$49,0),MATCH(BV34,$BE$34:$BZ$34,0))</f>
        <v>0.72099999999999997</v>
      </c>
      <c r="BW44" s="337">
        <f>INDEX($BE$46:$BZ$49,MATCH($O$3,$C$46:$C$49,0),MATCH(BW34,$BE$34:$BZ$34,0))</f>
        <v>0.73199999999999998</v>
      </c>
      <c r="BX44" s="337">
        <f>INDEX($BE$46:$BZ$49,MATCH($O$3,$C$46:$C$49,0),MATCH(BX34,$BE$34:$BZ$34,0))</f>
        <v>0.72099999999999997</v>
      </c>
      <c r="BY44" s="337">
        <f>INDEX($BE$46:$BZ$49,MATCH($O$3,$C$46:$C$49,0),MATCH(BY34,$BE$34:$BZ$34,0))</f>
        <v>0.72099999999999997</v>
      </c>
      <c r="BZ44" s="426">
        <f>BZ58/BZ45</f>
        <v>0.72383088783336946</v>
      </c>
    </row>
    <row r="45" spans="1:79" s="229" customFormat="1" ht="14.1" customHeight="1" x14ac:dyDescent="0.2">
      <c r="A45"/>
      <c r="B45"/>
      <c r="C45" s="338" t="str">
        <f>R45</f>
        <v>Shipments #</v>
      </c>
      <c r="D45" s="246"/>
      <c r="E45" s="246">
        <f>AB45</f>
        <v>7.1029999999999998</v>
      </c>
      <c r="F45" s="246">
        <f>AG45</f>
        <v>7.4089999999999998</v>
      </c>
      <c r="G45" s="246">
        <f>AL45</f>
        <v>7.3710000000000004</v>
      </c>
      <c r="H45" s="246">
        <f>AQ45</f>
        <v>7.73</v>
      </c>
      <c r="I45" s="246">
        <f>AV45</f>
        <v>7.6970000000000001</v>
      </c>
      <c r="J45" s="246">
        <f>BA45</f>
        <v>7.996999999999999</v>
      </c>
      <c r="K45" s="246">
        <f>BF45</f>
        <v>8.9900941176470592</v>
      </c>
      <c r="L45" s="246">
        <f>BK45</f>
        <v>9.3618096276997225</v>
      </c>
      <c r="M45" s="246">
        <f>BP45</f>
        <v>9.7931455200451687</v>
      </c>
      <c r="N45" s="246">
        <f>BU45</f>
        <v>10.244490332482416</v>
      </c>
      <c r="O45" s="356">
        <f>BZ45</f>
        <v>10.646506064444953</v>
      </c>
      <c r="P45" s="228"/>
      <c r="Q45" s="228"/>
      <c r="R45" s="284" t="s">
        <v>318</v>
      </c>
      <c r="S45" s="391">
        <f t="shared" ref="S45:AQ45" si="32">S58/S44</f>
        <v>1.607</v>
      </c>
      <c r="T45" s="339">
        <f t="shared" si="32"/>
        <v>1.76</v>
      </c>
      <c r="U45" s="339">
        <f t="shared" si="32"/>
        <v>1.6620000000000001</v>
      </c>
      <c r="V45" s="339">
        <f t="shared" si="32"/>
        <v>1.7460000000000004</v>
      </c>
      <c r="W45" s="335">
        <f t="shared" si="32"/>
        <v>6.7750000000000004</v>
      </c>
      <c r="X45" s="391">
        <f t="shared" si="32"/>
        <v>1.77</v>
      </c>
      <c r="Y45" s="339">
        <f t="shared" si="32"/>
        <v>1.8660000000000003</v>
      </c>
      <c r="Z45" s="339">
        <f t="shared" si="32"/>
        <v>1.78</v>
      </c>
      <c r="AA45" s="339">
        <f t="shared" si="32"/>
        <v>1.6869999999999992</v>
      </c>
      <c r="AB45" s="335">
        <f t="shared" si="32"/>
        <v>7.1029999999999998</v>
      </c>
      <c r="AC45" s="391">
        <f t="shared" si="32"/>
        <v>1.7410000000000003</v>
      </c>
      <c r="AD45" s="339">
        <f t="shared" si="32"/>
        <v>1.9329999999999998</v>
      </c>
      <c r="AE45" s="339">
        <f t="shared" si="32"/>
        <v>1.9409999999999998</v>
      </c>
      <c r="AF45" s="339">
        <f t="shared" si="32"/>
        <v>1.7939999999999996</v>
      </c>
      <c r="AG45" s="335">
        <f t="shared" si="32"/>
        <v>7.4089999999999998</v>
      </c>
      <c r="AH45" s="391">
        <f t="shared" si="32"/>
        <v>1.8089999999999999</v>
      </c>
      <c r="AI45" s="339">
        <f t="shared" si="32"/>
        <v>1.7450000000000001</v>
      </c>
      <c r="AJ45" s="339">
        <f t="shared" si="32"/>
        <v>1.9590000000000001</v>
      </c>
      <c r="AK45" s="339">
        <f t="shared" si="32"/>
        <v>1.8580000000000005</v>
      </c>
      <c r="AL45" s="335">
        <f t="shared" si="32"/>
        <v>7.3710000000000004</v>
      </c>
      <c r="AM45" s="391">
        <f t="shared" si="32"/>
        <v>1.8260000000000003</v>
      </c>
      <c r="AN45" s="339">
        <f t="shared" si="32"/>
        <v>2.012</v>
      </c>
      <c r="AO45" s="339">
        <f t="shared" si="32"/>
        <v>2.004</v>
      </c>
      <c r="AP45" s="339">
        <f t="shared" si="32"/>
        <v>1.8879999999999999</v>
      </c>
      <c r="AQ45" s="335">
        <f t="shared" si="32"/>
        <v>7.73</v>
      </c>
      <c r="AR45" s="391">
        <f t="shared" ref="AR45:BC45" si="33">AR58/AR44</f>
        <v>1.962</v>
      </c>
      <c r="AS45" s="339">
        <f t="shared" si="33"/>
        <v>2.048</v>
      </c>
      <c r="AT45" s="339">
        <f t="shared" si="33"/>
        <v>1.954</v>
      </c>
      <c r="AU45" s="339">
        <f t="shared" si="33"/>
        <v>1.7330000000000003</v>
      </c>
      <c r="AV45" s="335">
        <f t="shared" si="33"/>
        <v>7.6970000000000001</v>
      </c>
      <c r="AW45" s="391">
        <f t="shared" si="33"/>
        <v>1.8220000000000001</v>
      </c>
      <c r="AX45" s="339">
        <f t="shared" si="33"/>
        <v>1.9700000000000002</v>
      </c>
      <c r="AY45" s="339">
        <f t="shared" si="33"/>
        <v>2.1579999999999999</v>
      </c>
      <c r="AZ45" s="339">
        <f t="shared" si="33"/>
        <v>2.0470000000000006</v>
      </c>
      <c r="BA45" s="335">
        <f>BA58/BA44</f>
        <v>7.996999999999999</v>
      </c>
      <c r="BB45" s="391">
        <f t="shared" si="33"/>
        <v>2.1080000000000001</v>
      </c>
      <c r="BC45" s="339">
        <f t="shared" si="33"/>
        <v>2.327</v>
      </c>
      <c r="BD45" s="339">
        <f>BD58/BD44</f>
        <v>2.379</v>
      </c>
      <c r="BE45" s="339">
        <f>BE58/BE44</f>
        <v>2.1760941176470592</v>
      </c>
      <c r="BF45" s="335">
        <f>SUM(BB45:BE45)</f>
        <v>8.9900941176470592</v>
      </c>
      <c r="BG45" s="391">
        <f>BG58/BG44</f>
        <v>2.1657446808510636</v>
      </c>
      <c r="BH45" s="339">
        <f>BH58/BH44</f>
        <v>2.4370838235294117</v>
      </c>
      <c r="BI45" s="339">
        <f>BI58/BI44</f>
        <v>2.4485036496350361</v>
      </c>
      <c r="BJ45" s="339">
        <f>BJ58/BJ44</f>
        <v>2.3104774736842111</v>
      </c>
      <c r="BK45" s="335">
        <f>SUM(BG45:BJ45)</f>
        <v>9.3618096276997225</v>
      </c>
      <c r="BL45" s="391">
        <f>BL58/BL44</f>
        <v>2.2603364195965416</v>
      </c>
      <c r="BM45" s="339">
        <f>BM58/BM44</f>
        <v>2.5577182495339166</v>
      </c>
      <c r="BN45" s="339">
        <f>BN58/BN44</f>
        <v>2.5725425392296719</v>
      </c>
      <c r="BO45" s="339">
        <f>BO58/BO44</f>
        <v>2.4025483116850399</v>
      </c>
      <c r="BP45" s="335">
        <f>SUM(BL45:BO45)</f>
        <v>9.7931455200451687</v>
      </c>
      <c r="BQ45" s="391">
        <f>BQ58/BQ44</f>
        <v>2.3308202938931091</v>
      </c>
      <c r="BR45" s="339">
        <f>BR58/BR44</f>
        <v>2.6952590760966766</v>
      </c>
      <c r="BS45" s="339">
        <f>BS58/BS44</f>
        <v>2.6958975821772149</v>
      </c>
      <c r="BT45" s="339">
        <f>BT58/BT44</f>
        <v>2.5225133803154152</v>
      </c>
      <c r="BU45" s="335">
        <f>SUM(BQ45:BT45)</f>
        <v>10.244490332482416</v>
      </c>
      <c r="BV45" s="391">
        <f>BV58/BV44</f>
        <v>2.4305250920959538</v>
      </c>
      <c r="BW45" s="339">
        <f>BW58/BW44</f>
        <v>2.7399149532481797</v>
      </c>
      <c r="BX45" s="339">
        <f>BX58/BX44</f>
        <v>2.8047243493467962</v>
      </c>
      <c r="BY45" s="339">
        <f>BY58/BY44</f>
        <v>2.6713416697540247</v>
      </c>
      <c r="BZ45" s="335">
        <f>SUM(BV45:BY45)</f>
        <v>10.646506064444953</v>
      </c>
    </row>
    <row r="46" spans="1:79" s="332" customFormat="1" ht="14.1" customHeight="1" x14ac:dyDescent="0.2">
      <c r="A46"/>
      <c r="B46"/>
      <c r="C46" s="279" t="s">
        <v>241</v>
      </c>
      <c r="D46" s="416"/>
      <c r="E46" s="416"/>
      <c r="F46" s="416"/>
      <c r="G46" s="416"/>
      <c r="H46" s="416"/>
      <c r="I46" s="416"/>
      <c r="J46" s="416"/>
      <c r="K46" s="416"/>
      <c r="L46" s="416"/>
      <c r="M46" s="416"/>
      <c r="N46" s="416"/>
      <c r="O46" s="417"/>
      <c r="P46" s="101"/>
      <c r="Q46" s="101"/>
      <c r="R46" s="372" t="str">
        <f>C46</f>
        <v>Reversed</v>
      </c>
      <c r="S46" s="392"/>
      <c r="T46" s="314"/>
      <c r="U46" s="314"/>
      <c r="V46" s="314"/>
      <c r="W46" s="336"/>
      <c r="X46" s="392"/>
      <c r="Y46" s="314"/>
      <c r="Z46" s="314"/>
      <c r="AA46" s="314"/>
      <c r="AB46" s="336"/>
      <c r="AC46" s="392"/>
      <c r="AD46" s="314"/>
      <c r="AE46" s="314"/>
      <c r="AF46" s="314"/>
      <c r="AG46" s="336"/>
      <c r="AH46" s="392"/>
      <c r="AI46" s="314"/>
      <c r="AJ46" s="314"/>
      <c r="AK46" s="314"/>
      <c r="AL46" s="336"/>
      <c r="AM46" s="392"/>
      <c r="AN46" s="314"/>
      <c r="AO46" s="314"/>
      <c r="AP46" s="314"/>
      <c r="AQ46" s="336"/>
      <c r="AR46" s="392"/>
      <c r="AS46" s="314"/>
      <c r="AT46" s="314"/>
      <c r="AU46" s="314"/>
      <c r="AV46" s="336"/>
      <c r="AW46" s="392"/>
      <c r="AX46" s="314"/>
      <c r="AY46" s="314"/>
      <c r="AZ46" s="314"/>
      <c r="BA46" s="336"/>
      <c r="BB46" s="392"/>
      <c r="BC46" s="314"/>
      <c r="BD46" s="314"/>
      <c r="BE46" s="1184">
        <v>0.68</v>
      </c>
      <c r="BF46" s="1185"/>
      <c r="BG46" s="1186">
        <v>0.67679999999999996</v>
      </c>
      <c r="BH46" s="1184">
        <v>0.68</v>
      </c>
      <c r="BI46" s="1184">
        <v>0.68500000000000005</v>
      </c>
      <c r="BJ46" s="1184">
        <v>0.68400000000000005</v>
      </c>
      <c r="BK46" s="1185"/>
      <c r="BL46" s="1186">
        <v>0.69399999999999995</v>
      </c>
      <c r="BM46" s="1184">
        <v>0.69730000000000003</v>
      </c>
      <c r="BN46" s="1184">
        <v>0.70099999999999996</v>
      </c>
      <c r="BO46" s="1184">
        <v>0.71120000000000005</v>
      </c>
      <c r="BP46" s="1185"/>
      <c r="BQ46" s="1186">
        <v>0.71399999999999997</v>
      </c>
      <c r="BR46" s="1184">
        <v>0.70399999999999996</v>
      </c>
      <c r="BS46" s="1184">
        <v>0.71099999999999997</v>
      </c>
      <c r="BT46" s="1184">
        <v>0.72099999999999997</v>
      </c>
      <c r="BU46" s="1185"/>
      <c r="BV46" s="1186">
        <v>0.72099999999999997</v>
      </c>
      <c r="BW46" s="1184">
        <v>0.73199999999999998</v>
      </c>
      <c r="BX46" s="1184">
        <v>0.72099999999999997</v>
      </c>
      <c r="BY46" s="1184">
        <f>BT46</f>
        <v>0.72099999999999997</v>
      </c>
      <c r="BZ46" s="336"/>
    </row>
    <row r="47" spans="1:79" s="332" customFormat="1" ht="14.1" customHeight="1" x14ac:dyDescent="0.2">
      <c r="A47"/>
      <c r="B47"/>
      <c r="C47" s="279" t="s">
        <v>242</v>
      </c>
      <c r="D47" s="418"/>
      <c r="E47" s="418"/>
      <c r="F47" s="418"/>
      <c r="G47" s="418"/>
      <c r="H47" s="418"/>
      <c r="I47" s="418"/>
      <c r="J47" s="418"/>
      <c r="K47" s="418"/>
      <c r="L47" s="418"/>
      <c r="M47" s="418"/>
      <c r="N47" s="418"/>
      <c r="O47" s="419"/>
      <c r="P47" s="101"/>
      <c r="Q47" s="101"/>
      <c r="R47" s="373" t="str">
        <f>C47</f>
        <v>Base</v>
      </c>
      <c r="S47" s="392"/>
      <c r="T47" s="314"/>
      <c r="U47" s="314"/>
      <c r="V47" s="314"/>
      <c r="W47" s="316"/>
      <c r="X47" s="392"/>
      <c r="Y47" s="314"/>
      <c r="Z47" s="314"/>
      <c r="AA47" s="314"/>
      <c r="AB47" s="316"/>
      <c r="AC47" s="392"/>
      <c r="AD47" s="314"/>
      <c r="AE47" s="314"/>
      <c r="AF47" s="314"/>
      <c r="AG47" s="316"/>
      <c r="AH47" s="392"/>
      <c r="AI47" s="314"/>
      <c r="AJ47" s="314"/>
      <c r="AK47" s="314"/>
      <c r="AL47" s="316"/>
      <c r="AM47" s="392"/>
      <c r="AN47" s="314"/>
      <c r="AO47" s="314"/>
      <c r="AP47" s="314"/>
      <c r="AQ47" s="316"/>
      <c r="AR47" s="392"/>
      <c r="AS47" s="314"/>
      <c r="AT47" s="314"/>
      <c r="AU47" s="314"/>
      <c r="AV47" s="316"/>
      <c r="AW47" s="392"/>
      <c r="AX47" s="314"/>
      <c r="AY47" s="314"/>
      <c r="AZ47" s="314"/>
      <c r="BA47" s="316"/>
      <c r="BB47" s="392"/>
      <c r="BC47" s="314"/>
      <c r="BD47" s="314"/>
      <c r="BE47" s="1184">
        <f>BE46</f>
        <v>0.68</v>
      </c>
      <c r="BF47" s="1187"/>
      <c r="BG47" s="1186">
        <f>BG46</f>
        <v>0.67679999999999996</v>
      </c>
      <c r="BH47" s="1184">
        <f>BH46</f>
        <v>0.68</v>
      </c>
      <c r="BI47" s="1184">
        <f>BI46</f>
        <v>0.68500000000000005</v>
      </c>
      <c r="BJ47" s="1184">
        <f>BJ46</f>
        <v>0.68400000000000005</v>
      </c>
      <c r="BK47" s="1187"/>
      <c r="BL47" s="1186">
        <f>BL46</f>
        <v>0.69399999999999995</v>
      </c>
      <c r="BM47" s="1184">
        <f>BM46</f>
        <v>0.69730000000000003</v>
      </c>
      <c r="BN47" s="1184">
        <f>BN46</f>
        <v>0.70099999999999996</v>
      </c>
      <c r="BO47" s="1184">
        <f>BO46</f>
        <v>0.71120000000000005</v>
      </c>
      <c r="BP47" s="1187"/>
      <c r="BQ47" s="1186">
        <f>BQ46</f>
        <v>0.71399999999999997</v>
      </c>
      <c r="BR47" s="1184">
        <f>BR46</f>
        <v>0.70399999999999996</v>
      </c>
      <c r="BS47" s="1184">
        <f>BS46</f>
        <v>0.71099999999999997</v>
      </c>
      <c r="BT47" s="1184">
        <f>BT46</f>
        <v>0.72099999999999997</v>
      </c>
      <c r="BU47" s="1187"/>
      <c r="BV47" s="1186">
        <f>BV46</f>
        <v>0.72099999999999997</v>
      </c>
      <c r="BW47" s="1184">
        <f>BW46</f>
        <v>0.73199999999999998</v>
      </c>
      <c r="BX47" s="1184">
        <f>BX46</f>
        <v>0.72099999999999997</v>
      </c>
      <c r="BY47" s="1184">
        <f>BY46</f>
        <v>0.72099999999999997</v>
      </c>
      <c r="BZ47" s="316"/>
    </row>
    <row r="48" spans="1:79" s="332" customFormat="1" ht="14.1" customHeight="1" x14ac:dyDescent="0.2">
      <c r="A48"/>
      <c r="B48"/>
      <c r="C48" s="279" t="s">
        <v>579</v>
      </c>
      <c r="D48" s="416"/>
      <c r="E48" s="416"/>
      <c r="F48" s="416"/>
      <c r="G48" s="416"/>
      <c r="H48" s="416"/>
      <c r="I48" s="416"/>
      <c r="J48" s="416"/>
      <c r="K48" s="416"/>
      <c r="L48" s="416"/>
      <c r="M48" s="416"/>
      <c r="N48" s="416"/>
      <c r="O48" s="417"/>
      <c r="P48" s="101"/>
      <c r="Q48" s="101"/>
      <c r="R48" s="373" t="str">
        <f>C48</f>
        <v>Bull</v>
      </c>
      <c r="S48" s="392"/>
      <c r="T48" s="314"/>
      <c r="U48" s="314"/>
      <c r="V48" s="314"/>
      <c r="W48" s="316"/>
      <c r="X48" s="392"/>
      <c r="Y48" s="314"/>
      <c r="Z48" s="314"/>
      <c r="AA48" s="314"/>
      <c r="AB48" s="316"/>
      <c r="AC48" s="392"/>
      <c r="AD48" s="314"/>
      <c r="AE48" s="314"/>
      <c r="AF48" s="314"/>
      <c r="AG48" s="316"/>
      <c r="AH48" s="392"/>
      <c r="AI48" s="314"/>
      <c r="AJ48" s="314"/>
      <c r="AK48" s="314"/>
      <c r="AL48" s="316"/>
      <c r="AM48" s="392"/>
      <c r="AN48" s="314"/>
      <c r="AO48" s="314"/>
      <c r="AP48" s="314"/>
      <c r="AQ48" s="316"/>
      <c r="AR48" s="392"/>
      <c r="AS48" s="314"/>
      <c r="AT48" s="314"/>
      <c r="AU48" s="314"/>
      <c r="AV48" s="316"/>
      <c r="AW48" s="392"/>
      <c r="AX48" s="314"/>
      <c r="AY48" s="314"/>
      <c r="AZ48" s="314"/>
      <c r="BA48" s="316"/>
      <c r="BB48" s="392"/>
      <c r="BC48" s="314"/>
      <c r="BD48" s="314"/>
      <c r="BE48" s="1188">
        <f>BE47</f>
        <v>0.68</v>
      </c>
      <c r="BF48" s="1187"/>
      <c r="BG48" s="1188">
        <v>0.68179999999999996</v>
      </c>
      <c r="BH48" s="1188">
        <v>0.68500000000000005</v>
      </c>
      <c r="BI48" s="1188">
        <v>0.69000000000000006</v>
      </c>
      <c r="BJ48" s="1188">
        <v>0.68900000000000006</v>
      </c>
      <c r="BK48" s="1187"/>
      <c r="BL48" s="1188">
        <v>0.69499999999999995</v>
      </c>
      <c r="BM48" s="1188">
        <v>0.69830000000000003</v>
      </c>
      <c r="BN48" s="1188">
        <v>0.70199999999999996</v>
      </c>
      <c r="BO48" s="1188">
        <v>0.71220000000000006</v>
      </c>
      <c r="BP48" s="1187"/>
      <c r="BQ48" s="1188">
        <v>0.71499999999999997</v>
      </c>
      <c r="BR48" s="1188">
        <v>0.70499999999999996</v>
      </c>
      <c r="BS48" s="1188">
        <v>0.71199999999999997</v>
      </c>
      <c r="BT48" s="1188">
        <v>0.72199999999999998</v>
      </c>
      <c r="BU48" s="1187"/>
      <c r="BV48" s="1188">
        <v>0.72199999999999998</v>
      </c>
      <c r="BW48" s="1188">
        <v>0.73299999999999998</v>
      </c>
      <c r="BX48" s="1188">
        <v>0.72199999999999998</v>
      </c>
      <c r="BY48" s="1188">
        <v>0.72199999999999998</v>
      </c>
      <c r="BZ48" s="316"/>
    </row>
    <row r="49" spans="1:78" s="332" customFormat="1" ht="14.1" customHeight="1" x14ac:dyDescent="0.2">
      <c r="A49"/>
      <c r="B49"/>
      <c r="C49" s="281" t="s">
        <v>243</v>
      </c>
      <c r="D49" s="420"/>
      <c r="E49" s="420"/>
      <c r="F49" s="420"/>
      <c r="G49" s="420"/>
      <c r="H49" s="420"/>
      <c r="I49" s="420"/>
      <c r="J49" s="420"/>
      <c r="K49" s="420"/>
      <c r="L49" s="420"/>
      <c r="M49" s="420"/>
      <c r="N49" s="420"/>
      <c r="O49" s="421"/>
      <c r="P49" s="101"/>
      <c r="Q49" s="101"/>
      <c r="R49" s="374" t="str">
        <f>C49</f>
        <v>Bear</v>
      </c>
      <c r="S49" s="393"/>
      <c r="T49" s="326"/>
      <c r="U49" s="326"/>
      <c r="V49" s="326"/>
      <c r="W49" s="327"/>
      <c r="X49" s="393"/>
      <c r="Y49" s="326"/>
      <c r="Z49" s="326"/>
      <c r="AA49" s="326"/>
      <c r="AB49" s="327"/>
      <c r="AC49" s="393"/>
      <c r="AD49" s="326"/>
      <c r="AE49" s="326"/>
      <c r="AF49" s="326"/>
      <c r="AG49" s="327"/>
      <c r="AH49" s="393"/>
      <c r="AI49" s="326"/>
      <c r="AJ49" s="326"/>
      <c r="AK49" s="326"/>
      <c r="AL49" s="327"/>
      <c r="AM49" s="393"/>
      <c r="AN49" s="326"/>
      <c r="AO49" s="326"/>
      <c r="AP49" s="326"/>
      <c r="AQ49" s="327"/>
      <c r="AR49" s="393"/>
      <c r="AS49" s="326"/>
      <c r="AT49" s="326"/>
      <c r="AU49" s="326"/>
      <c r="AV49" s="327"/>
      <c r="AW49" s="393"/>
      <c r="AX49" s="326"/>
      <c r="AY49" s="326"/>
      <c r="AZ49" s="326"/>
      <c r="BA49" s="327"/>
      <c r="BB49" s="393"/>
      <c r="BC49" s="326"/>
      <c r="BD49" s="326"/>
      <c r="BE49" s="1189">
        <f>BE48</f>
        <v>0.68</v>
      </c>
      <c r="BF49" s="1190"/>
      <c r="BG49" s="1191">
        <v>0.68009999999999993</v>
      </c>
      <c r="BH49" s="1189">
        <v>0.68330000000000002</v>
      </c>
      <c r="BI49" s="1189">
        <v>0.68830000000000002</v>
      </c>
      <c r="BJ49" s="1189">
        <v>0.68730000000000002</v>
      </c>
      <c r="BK49" s="1190"/>
      <c r="BL49" s="1191">
        <v>0.69379999999999997</v>
      </c>
      <c r="BM49" s="1189">
        <v>0.69668000000000008</v>
      </c>
      <c r="BN49" s="1189">
        <v>0.70019999999999993</v>
      </c>
      <c r="BO49" s="1189">
        <v>0.71020000000000005</v>
      </c>
      <c r="BP49" s="1190"/>
      <c r="BQ49" s="1191">
        <v>0.71379999999999999</v>
      </c>
      <c r="BR49" s="1189">
        <v>0.70338000000000001</v>
      </c>
      <c r="BS49" s="1189">
        <v>0.71019999999999994</v>
      </c>
      <c r="BT49" s="1189">
        <v>0.72</v>
      </c>
      <c r="BU49" s="1190"/>
      <c r="BV49" s="1191">
        <v>0.7208</v>
      </c>
      <c r="BW49" s="1189">
        <v>0.73138000000000003</v>
      </c>
      <c r="BX49" s="1189">
        <v>0.72019999999999995</v>
      </c>
      <c r="BY49" s="1189">
        <v>0.72</v>
      </c>
      <c r="BZ49" s="327"/>
    </row>
    <row r="50" spans="1:78" s="101" customFormat="1" ht="2.1" customHeight="1" x14ac:dyDescent="0.2">
      <c r="A50"/>
      <c r="B50"/>
      <c r="C50" s="50"/>
    </row>
    <row r="51" spans="1:78" s="328" customFormat="1" ht="14.1" customHeight="1" x14ac:dyDescent="0.2">
      <c r="A51"/>
      <c r="B51"/>
      <c r="C51" s="296" t="str">
        <f>R51</f>
        <v xml:space="preserve">LTL Revenue Per Hundredweight </v>
      </c>
      <c r="D51" s="307">
        <f>W51</f>
        <v>15.24</v>
      </c>
      <c r="E51" s="307">
        <f>AB51</f>
        <v>16.8</v>
      </c>
      <c r="F51" s="307">
        <f>AG51</f>
        <v>18.05</v>
      </c>
      <c r="G51" s="307">
        <f>AL51</f>
        <v>18.329999999999998</v>
      </c>
      <c r="H51" s="307">
        <f>AQ51</f>
        <v>20.68</v>
      </c>
      <c r="I51" s="307">
        <f>AV51</f>
        <v>24.7</v>
      </c>
      <c r="J51" s="307">
        <f>BA51</f>
        <v>25.38</v>
      </c>
      <c r="K51" s="307">
        <f>BF51</f>
        <v>25.9890075</v>
      </c>
      <c r="L51" s="307">
        <f>BK51</f>
        <v>27.262354419999998</v>
      </c>
      <c r="M51" s="307">
        <f>BP51</f>
        <v>28.975598468501996</v>
      </c>
      <c r="N51" s="307">
        <f>BU51</f>
        <v>29.671341018137088</v>
      </c>
      <c r="O51" s="415">
        <f>BZ51</f>
        <v>30.330100265377144</v>
      </c>
      <c r="P51" s="228"/>
      <c r="Q51" s="228"/>
      <c r="R51" s="788" t="s">
        <v>259</v>
      </c>
      <c r="S51" s="788">
        <f t="shared" ref="S51:BD51" si="34">S23</f>
        <v>16.68</v>
      </c>
      <c r="T51" s="789">
        <f t="shared" si="34"/>
        <v>16.89</v>
      </c>
      <c r="U51" s="789">
        <f t="shared" si="34"/>
        <v>17.36</v>
      </c>
      <c r="V51" s="789">
        <f t="shared" si="34"/>
        <v>10.030000000000001</v>
      </c>
      <c r="W51" s="402">
        <f t="shared" si="34"/>
        <v>15.24</v>
      </c>
      <c r="X51" s="788">
        <f t="shared" si="34"/>
        <v>15.92</v>
      </c>
      <c r="Y51" s="789">
        <f t="shared" si="34"/>
        <v>16.440000000000001</v>
      </c>
      <c r="Z51" s="789">
        <f t="shared" si="34"/>
        <v>17.2</v>
      </c>
      <c r="AA51" s="789">
        <f t="shared" si="34"/>
        <v>17.64</v>
      </c>
      <c r="AB51" s="402">
        <f t="shared" si="34"/>
        <v>16.8</v>
      </c>
      <c r="AC51" s="788">
        <f t="shared" si="34"/>
        <v>17.61</v>
      </c>
      <c r="AD51" s="789">
        <f t="shared" si="34"/>
        <v>18.05</v>
      </c>
      <c r="AE51" s="789">
        <f t="shared" si="34"/>
        <v>18.12</v>
      </c>
      <c r="AF51" s="789">
        <f t="shared" si="34"/>
        <v>18.420000000000002</v>
      </c>
      <c r="AG51" s="402">
        <f t="shared" si="34"/>
        <v>18.05</v>
      </c>
      <c r="AH51" s="788">
        <f t="shared" si="34"/>
        <v>18.16</v>
      </c>
      <c r="AI51" s="789">
        <f t="shared" si="34"/>
        <v>17.95</v>
      </c>
      <c r="AJ51" s="789">
        <f t="shared" si="34"/>
        <v>18.59</v>
      </c>
      <c r="AK51" s="789">
        <f t="shared" si="34"/>
        <v>18.61999999999999</v>
      </c>
      <c r="AL51" s="402">
        <f t="shared" si="34"/>
        <v>18.329999999999998</v>
      </c>
      <c r="AM51" s="788">
        <f t="shared" si="34"/>
        <v>19.18</v>
      </c>
      <c r="AN51" s="789">
        <f t="shared" si="34"/>
        <v>19.84</v>
      </c>
      <c r="AO51" s="789">
        <f t="shared" si="34"/>
        <v>21.36</v>
      </c>
      <c r="AP51" s="789">
        <f t="shared" si="34"/>
        <v>22.340000000000003</v>
      </c>
      <c r="AQ51" s="402">
        <f t="shared" si="34"/>
        <v>20.68</v>
      </c>
      <c r="AR51" s="788">
        <f t="shared" si="34"/>
        <v>23.29</v>
      </c>
      <c r="AS51" s="789">
        <f t="shared" si="34"/>
        <v>25.05</v>
      </c>
      <c r="AT51" s="789">
        <f t="shared" si="34"/>
        <v>25.1</v>
      </c>
      <c r="AU51" s="789">
        <f t="shared" si="34"/>
        <v>25.36</v>
      </c>
      <c r="AV51" s="402">
        <f t="shared" si="34"/>
        <v>24.7</v>
      </c>
      <c r="AW51" s="788">
        <f t="shared" si="34"/>
        <v>24.63</v>
      </c>
      <c r="AX51" s="789">
        <f t="shared" si="34"/>
        <v>23.85</v>
      </c>
      <c r="AY51" s="789">
        <f t="shared" si="34"/>
        <v>25.87</v>
      </c>
      <c r="AZ51" s="789">
        <f t="shared" si="34"/>
        <v>27.169999999999987</v>
      </c>
      <c r="BA51" s="402">
        <f t="shared" si="34"/>
        <v>25.38</v>
      </c>
      <c r="BB51" s="788">
        <f t="shared" si="34"/>
        <v>26.51</v>
      </c>
      <c r="BC51" s="789">
        <f t="shared" si="34"/>
        <v>25.75</v>
      </c>
      <c r="BD51" s="789">
        <f t="shared" si="34"/>
        <v>25.64</v>
      </c>
      <c r="BE51" s="789">
        <f>AZ51*(1+BE53)</f>
        <v>26.056029999999986</v>
      </c>
      <c r="BF51" s="402">
        <f>AVERAGE(BB51:BE51)</f>
        <v>25.9890075</v>
      </c>
      <c r="BG51" s="788">
        <f>BB51*(1+BG52)</f>
        <v>27.702950000000001</v>
      </c>
      <c r="BH51" s="789">
        <f>BC51*(1+BH52)</f>
        <v>27.037500000000001</v>
      </c>
      <c r="BI51" s="789">
        <f>BD51*(1+BI52)</f>
        <v>26.793799999999997</v>
      </c>
      <c r="BJ51" s="789">
        <f>BE51*(1+BJ52)</f>
        <v>27.515167679999987</v>
      </c>
      <c r="BK51" s="402">
        <f>AVERAGE(BG51:BJ51)</f>
        <v>27.262354419999998</v>
      </c>
      <c r="BL51" s="788">
        <f>BG51*(1+BL52)</f>
        <v>29.340194345</v>
      </c>
      <c r="BM51" s="789">
        <f>BH51*(1+BM52)</f>
        <v>28.608378750000004</v>
      </c>
      <c r="BN51" s="789">
        <f>BI51*(1+BN52)</f>
        <v>28.56487018</v>
      </c>
      <c r="BO51" s="789">
        <f>BJ51*(1+BO52)</f>
        <v>29.388950599007988</v>
      </c>
      <c r="BP51" s="402">
        <f>AVERAGE(BL51:BO51)</f>
        <v>28.975598468501996</v>
      </c>
      <c r="BQ51" s="788">
        <f>BL51*(1+BQ52)</f>
        <v>30.009150776065997</v>
      </c>
      <c r="BR51" s="789">
        <f>BM51*(1+BR52)</f>
        <v>29.289258164250004</v>
      </c>
      <c r="BS51" s="789">
        <f>BN51*(1+BS52)</f>
        <v>29.416103311364001</v>
      </c>
      <c r="BT51" s="789">
        <f>BO51*(1+BT52)</f>
        <v>29.970851820868347</v>
      </c>
      <c r="BU51" s="402">
        <f>AVERAGE(BQ51:BT51)</f>
        <v>29.671341018137088</v>
      </c>
      <c r="BV51" s="788">
        <f>BQ51*(1+BV52)</f>
        <v>30.735372224846795</v>
      </c>
      <c r="BW51" s="789">
        <f>BR51*(1+BW52)</f>
        <v>30.085925986317601</v>
      </c>
      <c r="BX51" s="789">
        <f>BS51*(1+BX52)</f>
        <v>30.198571659446284</v>
      </c>
      <c r="BY51" s="789">
        <f>BT51*(1+BY52)</f>
        <v>30.300531190897896</v>
      </c>
      <c r="BZ51" s="402">
        <f>AVERAGE(BV51:BY51)</f>
        <v>30.330100265377144</v>
      </c>
    </row>
    <row r="52" spans="1:78" s="101" customFormat="1" ht="14.1" customHeight="1" x14ac:dyDescent="0.2">
      <c r="A52"/>
      <c r="B52"/>
      <c r="C52" s="285" t="s">
        <v>319</v>
      </c>
      <c r="D52" s="286"/>
      <c r="E52" s="311">
        <f>IFERROR(E51/D51-1,"NM")</f>
        <v>0.10236220472440949</v>
      </c>
      <c r="F52" s="311">
        <f t="shared" ref="F52:O52" si="35">IFERROR(F51/E51-1,"NM")</f>
        <v>7.4404761904761862E-2</v>
      </c>
      <c r="G52" s="311">
        <f t="shared" si="35"/>
        <v>1.5512465373961115E-2</v>
      </c>
      <c r="H52" s="311">
        <f t="shared" si="35"/>
        <v>0.12820512820512819</v>
      </c>
      <c r="I52" s="311">
        <f t="shared" si="35"/>
        <v>0.19439071566731148</v>
      </c>
      <c r="J52" s="311">
        <f t="shared" si="35"/>
        <v>2.7530364372469585E-2</v>
      </c>
      <c r="K52" s="311">
        <f t="shared" si="35"/>
        <v>2.3995567375886484E-2</v>
      </c>
      <c r="L52" s="311">
        <f t="shared" si="35"/>
        <v>4.8995596311248057E-2</v>
      </c>
      <c r="M52" s="311">
        <f t="shared" si="35"/>
        <v>6.2842849964753755E-2</v>
      </c>
      <c r="N52" s="311">
        <f t="shared" si="35"/>
        <v>2.4011326302419533E-2</v>
      </c>
      <c r="O52" s="422">
        <f t="shared" si="35"/>
        <v>2.2201869704418842E-2</v>
      </c>
      <c r="R52" s="285" t="s">
        <v>311</v>
      </c>
      <c r="S52" s="394"/>
      <c r="T52" s="319"/>
      <c r="U52" s="319"/>
      <c r="V52" s="319"/>
      <c r="W52" s="404"/>
      <c r="X52" s="394"/>
      <c r="Y52" s="319">
        <f>IFERROR(Y51/X51-1,"NM")</f>
        <v>3.2663316582914659E-2</v>
      </c>
      <c r="Z52" s="319">
        <f>IFERROR(Z51/Y51-1,"NM")</f>
        <v>4.6228710462286937E-2</v>
      </c>
      <c r="AA52" s="319">
        <f>IFERROR(AA51/Z51-1,"NM")</f>
        <v>2.5581395348837299E-2</v>
      </c>
      <c r="AB52" s="404">
        <f>IFERROR((AB51/W51)-1,"NM")</f>
        <v>0.10236220472440949</v>
      </c>
      <c r="AC52" s="394">
        <f>IFERROR(AC51/AA51-1,"NM")</f>
        <v>-1.7006802721089009E-3</v>
      </c>
      <c r="AD52" s="319">
        <f>IFERROR(AD51/AC51-1,"NM")</f>
        <v>2.4985803520726879E-2</v>
      </c>
      <c r="AE52" s="319">
        <f>IFERROR(AE51/AD51-1,"NM")</f>
        <v>3.8781163434902233E-3</v>
      </c>
      <c r="AF52" s="319">
        <f>IFERROR(AF51/AE51-1,"NM")</f>
        <v>1.655629139072845E-2</v>
      </c>
      <c r="AG52" s="404">
        <f>IFERROR((AG51/AB51)-1,"NM")</f>
        <v>7.4404761904761862E-2</v>
      </c>
      <c r="AH52" s="394">
        <f>IFERROR(AH51/AF51-1,"NM")</f>
        <v>-1.4115092290988174E-2</v>
      </c>
      <c r="AI52" s="319">
        <f>IFERROR(AI51/AH51-1,"NM")</f>
        <v>-1.1563876651982441E-2</v>
      </c>
      <c r="AJ52" s="319">
        <f>IFERROR(AJ51/AI51-1,"NM")</f>
        <v>3.5654596100278546E-2</v>
      </c>
      <c r="AK52" s="319">
        <f>IFERROR(AK51/AJ51-1,"NM")</f>
        <v>1.6137708445396193E-3</v>
      </c>
      <c r="AL52" s="404">
        <f>IFERROR((AL51/AG51)-1,"NM")</f>
        <v>1.5512465373961115E-2</v>
      </c>
      <c r="AM52" s="394">
        <f>IFERROR(AM51/AK51-1,"NM")</f>
        <v>3.0075187969925254E-2</v>
      </c>
      <c r="AN52" s="319">
        <f>IFERROR(AN51/AM51-1,"NM")</f>
        <v>3.4410844629822801E-2</v>
      </c>
      <c r="AO52" s="319">
        <f>IFERROR(AO51/AN51-1,"NM")</f>
        <v>7.6612903225806495E-2</v>
      </c>
      <c r="AP52" s="319">
        <f>IFERROR(AP51/AO51-1,"NM")</f>
        <v>4.5880149812734361E-2</v>
      </c>
      <c r="AQ52" s="404">
        <f>IFERROR((AQ51/AL51)-1,"NM")</f>
        <v>0.12820512820512819</v>
      </c>
      <c r="AR52" s="394">
        <f>IFERROR(AR51/AP51-1,"NM")</f>
        <v>4.2524619516562057E-2</v>
      </c>
      <c r="AS52" s="319">
        <f>IFERROR(AS51/AR51-1,"NM")</f>
        <v>7.5568913696865581E-2</v>
      </c>
      <c r="AT52" s="319">
        <f>IFERROR(AT51/AS51-1,"NM")</f>
        <v>1.9960079840319889E-3</v>
      </c>
      <c r="AU52" s="319">
        <f>IFERROR(AU51/AT51-1,"NM")</f>
        <v>1.0358565737051739E-2</v>
      </c>
      <c r="AV52" s="404">
        <f>IFERROR((AV51/AQ51)-1,"NM")</f>
        <v>0.19439071566731148</v>
      </c>
      <c r="AW52" s="394">
        <f>IFERROR(AW51/AU51-1,"NM")</f>
        <v>-2.8785488958990579E-2</v>
      </c>
      <c r="AX52" s="319">
        <f>IFERROR(AX51/AW51-1,"NM")</f>
        <v>-3.1668696711327549E-2</v>
      </c>
      <c r="AY52" s="319">
        <f>IFERROR(AY51/AX51-1,"NM")</f>
        <v>8.4696016771488525E-2</v>
      </c>
      <c r="AZ52" s="319">
        <f>IFERROR(AZ51/AY51-1,"NM")</f>
        <v>5.0251256281406587E-2</v>
      </c>
      <c r="BA52" s="404">
        <f>IFERROR((BA51/AV51)-1,"NM")</f>
        <v>2.7530364372469585E-2</v>
      </c>
      <c r="BB52" s="394">
        <f>IFERROR((BB51/AW51)-1,"NM")</f>
        <v>7.6329679252943761E-2</v>
      </c>
      <c r="BC52" s="319">
        <f>IFERROR((BC51/AX51)-1,"NM")</f>
        <v>7.9664570230607801E-2</v>
      </c>
      <c r="BD52" s="319">
        <f>IFERROR((BD51/AY51)-1,"NM")</f>
        <v>-8.8906068805566507E-3</v>
      </c>
      <c r="BE52" s="319">
        <f>INDEX($BE$53:$BZ$56,MATCH($O$3,$C$46:$C$49,0),MATCH(BE34,$BE$34:$BZ$34,0))</f>
        <v>-4.1000000000000002E-2</v>
      </c>
      <c r="BF52" s="404">
        <f>BF51/BA51-1</f>
        <v>2.3995567375886484E-2</v>
      </c>
      <c r="BG52" s="394">
        <f>INDEX($BE$53:$BZ$56,MATCH($O$3,$C$46:$C$49,0),MATCH(BG34,$BE$34:$BZ$34,0))</f>
        <v>4.4999999999999998E-2</v>
      </c>
      <c r="BH52" s="319">
        <f>INDEX($BE$53:$BZ$56,MATCH($O$3,$C$46:$C$49,0),MATCH(BH34,$BE$34:$BZ$34,0))</f>
        <v>0.05</v>
      </c>
      <c r="BI52" s="319">
        <f>INDEX($BE$53:$BZ$56,MATCH($O$3,$C$46:$C$49,0),MATCH(BI34,$BE$34:$BZ$34,0))</f>
        <v>4.4999999999999998E-2</v>
      </c>
      <c r="BJ52" s="319">
        <f>INDEX($BE$53:$BZ$56,MATCH($O$3,$C$46:$C$49,0),MATCH(BJ34,$BE$34:$BZ$34,0))</f>
        <v>5.5999999999999994E-2</v>
      </c>
      <c r="BK52" s="404">
        <f>BK51/BF51-1</f>
        <v>4.8995596311248057E-2</v>
      </c>
      <c r="BL52" s="394">
        <f>INDEX($BE$53:$BZ$56,MATCH($O$3,$C$46:$C$49,0),MATCH(BL34,$BE$34:$BZ$34,0))</f>
        <v>5.91E-2</v>
      </c>
      <c r="BM52" s="319">
        <f>INDEX($BE$53:$BZ$56,MATCH($O$3,$C$46:$C$49,0),MATCH(BM34,$BE$34:$BZ$34,0))</f>
        <v>5.8099999999999999E-2</v>
      </c>
      <c r="BN52" s="319">
        <f>INDEX($BE$53:$BZ$56,MATCH($O$3,$C$46:$C$49,0),MATCH(BN34,$BE$34:$BZ$34,0))</f>
        <v>6.6100000000000006E-2</v>
      </c>
      <c r="BO52" s="319">
        <f>INDEX($BE$53:$BZ$56,MATCH($O$3,$C$46:$C$49,0),MATCH(BO34,$BE$34:$BZ$34,0))</f>
        <v>6.8100000000000008E-2</v>
      </c>
      <c r="BP52" s="404">
        <f>BP51/BK51-1</f>
        <v>6.2842849964753755E-2</v>
      </c>
      <c r="BQ52" s="394">
        <f>INDEX($BE$53:$BZ$56,MATCH($O$3,$C$46:$C$49,0),MATCH(BQ34,$BE$34:$BZ$34,0))</f>
        <v>2.2800000000000001E-2</v>
      </c>
      <c r="BR52" s="319">
        <f>INDEX($BE$53:$BZ$56,MATCH($O$3,$C$46:$C$49,0),MATCH(BR34,$BE$34:$BZ$34,0))</f>
        <v>2.3799999999999998E-2</v>
      </c>
      <c r="BS52" s="319">
        <f>INDEX($BE$53:$BZ$56,MATCH($O$3,$C$46:$C$49,0),MATCH(BS34,$BE$34:$BZ$34,0))</f>
        <v>2.98E-2</v>
      </c>
      <c r="BT52" s="319">
        <f>INDEX($BE$53:$BZ$56,MATCH($O$3,$C$46:$C$49,0),MATCH(BT34,$BE$34:$BZ$34,0))</f>
        <v>1.9799999999999998E-2</v>
      </c>
      <c r="BU52" s="404">
        <f>BU51/BP51-1</f>
        <v>2.4011326302419533E-2</v>
      </c>
      <c r="BV52" s="394">
        <f>INDEX($BE$53:$BZ$56,MATCH($O$3,$C$46:$C$49,0),MATCH(BV34,$BE$34:$BZ$34,0))</f>
        <v>2.4199999999999999E-2</v>
      </c>
      <c r="BW52" s="319">
        <f>INDEX($BE$53:$BZ$56,MATCH($O$3,$C$46:$C$49,0),MATCH(BW34,$BE$34:$BZ$34,0))</f>
        <v>2.7199999999999998E-2</v>
      </c>
      <c r="BX52" s="319">
        <f>INDEX($BE$53:$BZ$56,MATCH($O$3,$C$46:$C$49,0),MATCH(BX34,$BE$34:$BZ$34,0))</f>
        <v>2.6599999999999999E-2</v>
      </c>
      <c r="BY52" s="319">
        <f>INDEX($BE$53:$BZ$56,MATCH($O$3,$C$46:$C$49,0),MATCH(BY34,$BE$34:$BZ$34,0))</f>
        <v>1.0999999999999999E-2</v>
      </c>
      <c r="BZ52" s="404">
        <f>BZ51/BU51-1</f>
        <v>2.2201869704418842E-2</v>
      </c>
    </row>
    <row r="53" spans="1:78" s="324" customFormat="1" ht="14.1" customHeight="1" x14ac:dyDescent="0.2">
      <c r="A53"/>
      <c r="B53"/>
      <c r="C53" s="279" t="str">
        <f>R53</f>
        <v>Reversed: Growth (Inflation &amp; Rate)</v>
      </c>
      <c r="D53" s="416"/>
      <c r="E53" s="416"/>
      <c r="F53" s="416"/>
      <c r="G53" s="416"/>
      <c r="H53" s="416"/>
      <c r="I53" s="416"/>
      <c r="J53" s="416"/>
      <c r="K53" s="416"/>
      <c r="L53" s="416"/>
      <c r="M53" s="416"/>
      <c r="N53" s="416"/>
      <c r="O53" s="417"/>
      <c r="P53" s="228"/>
      <c r="Q53" s="329"/>
      <c r="R53" s="279" t="s">
        <v>313</v>
      </c>
      <c r="S53" s="395"/>
      <c r="W53" s="325"/>
      <c r="X53" s="395"/>
      <c r="AB53" s="325"/>
      <c r="AC53" s="395"/>
      <c r="AG53" s="325"/>
      <c r="AH53" s="395"/>
      <c r="AL53" s="325"/>
      <c r="AM53" s="395"/>
      <c r="AQ53" s="325"/>
      <c r="AR53" s="395"/>
      <c r="AV53" s="325"/>
      <c r="AW53" s="395"/>
      <c r="BA53" s="325"/>
      <c r="BB53" s="395"/>
      <c r="BE53" s="1192">
        <v>-4.1000000000000002E-2</v>
      </c>
      <c r="BF53" s="1193"/>
      <c r="BG53" s="1194">
        <v>4.1000000000000002E-2</v>
      </c>
      <c r="BH53" s="1192">
        <v>4.5999999999999999E-2</v>
      </c>
      <c r="BI53" s="1192">
        <v>4.1000000000000002E-2</v>
      </c>
      <c r="BJ53" s="1192">
        <v>5.1999999999999998E-2</v>
      </c>
      <c r="BK53" s="1193"/>
      <c r="BL53" s="1194">
        <v>5.7000000000000002E-2</v>
      </c>
      <c r="BM53" s="1192">
        <v>5.6000000000000001E-2</v>
      </c>
      <c r="BN53" s="1192">
        <v>6.4000000000000001E-2</v>
      </c>
      <c r="BO53" s="1192">
        <v>6.6000000000000003E-2</v>
      </c>
      <c r="BP53" s="1193"/>
      <c r="BQ53" s="1194">
        <v>2.1000000000000001E-2</v>
      </c>
      <c r="BR53" s="1192">
        <v>2.1999999999999999E-2</v>
      </c>
      <c r="BS53" s="1192">
        <v>2.8000000000000001E-2</v>
      </c>
      <c r="BT53" s="1192">
        <v>1.7999999999999999E-2</v>
      </c>
      <c r="BU53" s="1193"/>
      <c r="BV53" s="1194">
        <v>2.3E-2</v>
      </c>
      <c r="BW53" s="1192">
        <v>2.5999999999999999E-2</v>
      </c>
      <c r="BX53" s="1192">
        <v>2.5399999999999999E-2</v>
      </c>
      <c r="BY53" s="1192">
        <v>9.7999999999999997E-3</v>
      </c>
      <c r="BZ53" s="1193"/>
    </row>
    <row r="54" spans="1:78" s="315" customFormat="1" ht="14.1" customHeight="1" x14ac:dyDescent="0.2">
      <c r="A54"/>
      <c r="B54"/>
      <c r="C54" s="279" t="str">
        <f>R54</f>
        <v>Base: Growth (Inflation &amp; Rate)</v>
      </c>
      <c r="D54" s="418"/>
      <c r="E54" s="418"/>
      <c r="F54" s="418"/>
      <c r="G54" s="418"/>
      <c r="H54" s="418"/>
      <c r="I54" s="418"/>
      <c r="J54" s="418"/>
      <c r="K54" s="418"/>
      <c r="L54" s="418"/>
      <c r="M54" s="418"/>
      <c r="N54" s="418"/>
      <c r="O54" s="419"/>
      <c r="P54" s="101"/>
      <c r="Q54" s="329"/>
      <c r="R54" s="279" t="s">
        <v>314</v>
      </c>
      <c r="S54" s="392"/>
      <c r="T54" s="314"/>
      <c r="U54" s="314"/>
      <c r="V54" s="314"/>
      <c r="W54" s="316"/>
      <c r="X54" s="392"/>
      <c r="Y54" s="314"/>
      <c r="Z54" s="314"/>
      <c r="AA54" s="314"/>
      <c r="AB54" s="316"/>
      <c r="AC54" s="392"/>
      <c r="AD54" s="314"/>
      <c r="AE54" s="314"/>
      <c r="AF54" s="314"/>
      <c r="AG54" s="316"/>
      <c r="AH54" s="392"/>
      <c r="AI54" s="314"/>
      <c r="AJ54" s="314"/>
      <c r="AK54" s="314"/>
      <c r="AL54" s="316"/>
      <c r="AM54" s="392"/>
      <c r="AN54" s="314"/>
      <c r="AO54" s="314"/>
      <c r="AP54" s="314"/>
      <c r="AQ54" s="316"/>
      <c r="AR54" s="392"/>
      <c r="AS54" s="314"/>
      <c r="AT54" s="314"/>
      <c r="AU54" s="314"/>
      <c r="AV54" s="316"/>
      <c r="AW54" s="392"/>
      <c r="AX54" s="314"/>
      <c r="AY54" s="314"/>
      <c r="AZ54" s="314"/>
      <c r="BA54" s="316"/>
      <c r="BB54" s="392"/>
      <c r="BC54" s="314"/>
      <c r="BD54" s="314"/>
      <c r="BE54" s="1184">
        <v>-4.1000000000000002E-2</v>
      </c>
      <c r="BF54" s="1187"/>
      <c r="BG54" s="1186">
        <v>4.4999999999999998E-2</v>
      </c>
      <c r="BH54" s="1184">
        <v>0.05</v>
      </c>
      <c r="BI54" s="1184">
        <v>4.4999999999999998E-2</v>
      </c>
      <c r="BJ54" s="1184">
        <v>5.5999999999999994E-2</v>
      </c>
      <c r="BK54" s="1187"/>
      <c r="BL54" s="1186">
        <v>5.91E-2</v>
      </c>
      <c r="BM54" s="1184">
        <v>5.8099999999999999E-2</v>
      </c>
      <c r="BN54" s="1184">
        <v>6.6100000000000006E-2</v>
      </c>
      <c r="BO54" s="1184">
        <v>6.8100000000000008E-2</v>
      </c>
      <c r="BP54" s="1187"/>
      <c r="BQ54" s="1186">
        <v>2.2800000000000001E-2</v>
      </c>
      <c r="BR54" s="1184">
        <v>2.3799999999999998E-2</v>
      </c>
      <c r="BS54" s="1184">
        <v>2.98E-2</v>
      </c>
      <c r="BT54" s="1184">
        <v>1.9799999999999998E-2</v>
      </c>
      <c r="BU54" s="1187"/>
      <c r="BV54" s="1186">
        <v>2.4199999999999999E-2</v>
      </c>
      <c r="BW54" s="1184">
        <v>2.7199999999999998E-2</v>
      </c>
      <c r="BX54" s="1184">
        <v>2.6599999999999999E-2</v>
      </c>
      <c r="BY54" s="1184">
        <v>1.0999999999999999E-2</v>
      </c>
      <c r="BZ54" s="1187"/>
    </row>
    <row r="55" spans="1:78" s="324" customFormat="1" ht="14.1" customHeight="1" x14ac:dyDescent="0.2">
      <c r="A55"/>
      <c r="B55"/>
      <c r="C55" s="279" t="str">
        <f>R55</f>
        <v>Bull: Growth (Inflation &amp; Rate)</v>
      </c>
      <c r="D55" s="416"/>
      <c r="E55" s="416"/>
      <c r="F55" s="416"/>
      <c r="G55" s="416"/>
      <c r="H55" s="416"/>
      <c r="I55" s="416"/>
      <c r="J55" s="416"/>
      <c r="K55" s="416"/>
      <c r="L55" s="416"/>
      <c r="M55" s="416"/>
      <c r="N55" s="416"/>
      <c r="O55" s="417"/>
      <c r="P55" s="228"/>
      <c r="Q55" s="329"/>
      <c r="R55" s="279" t="s">
        <v>315</v>
      </c>
      <c r="S55" s="395"/>
      <c r="W55" s="325"/>
      <c r="X55" s="395"/>
      <c r="AB55" s="325"/>
      <c r="AC55" s="395"/>
      <c r="AG55" s="325"/>
      <c r="AH55" s="395"/>
      <c r="AL55" s="325"/>
      <c r="AM55" s="395"/>
      <c r="AQ55" s="325"/>
      <c r="AR55" s="395"/>
      <c r="AV55" s="325"/>
      <c r="AW55" s="395"/>
      <c r="BA55" s="325"/>
      <c r="BB55" s="395"/>
      <c r="BE55" s="1192">
        <f>BE54</f>
        <v>-4.1000000000000002E-2</v>
      </c>
      <c r="BF55" s="1193"/>
      <c r="BG55" s="1194">
        <f>BG54</f>
        <v>4.4999999999999998E-2</v>
      </c>
      <c r="BH55" s="1192">
        <f>BH54</f>
        <v>0.05</v>
      </c>
      <c r="BI55" s="1192">
        <f>BI54</f>
        <v>4.4999999999999998E-2</v>
      </c>
      <c r="BJ55" s="1192">
        <f>BJ54</f>
        <v>5.5999999999999994E-2</v>
      </c>
      <c r="BK55" s="1193"/>
      <c r="BL55" s="1194">
        <f>BL54</f>
        <v>5.91E-2</v>
      </c>
      <c r="BM55" s="1192">
        <f>BM54</f>
        <v>5.8099999999999999E-2</v>
      </c>
      <c r="BN55" s="1192">
        <f>BN54</f>
        <v>6.6100000000000006E-2</v>
      </c>
      <c r="BO55" s="1192">
        <f>BO54</f>
        <v>6.8100000000000008E-2</v>
      </c>
      <c r="BP55" s="1193"/>
      <c r="BQ55" s="1194">
        <f>BQ54</f>
        <v>2.2800000000000001E-2</v>
      </c>
      <c r="BR55" s="1192">
        <f>BR54</f>
        <v>2.3799999999999998E-2</v>
      </c>
      <c r="BS55" s="1192">
        <f>BS54</f>
        <v>2.98E-2</v>
      </c>
      <c r="BT55" s="1192">
        <f>BT54</f>
        <v>1.9799999999999998E-2</v>
      </c>
      <c r="BU55" s="1193"/>
      <c r="BV55" s="1194">
        <f>BV54</f>
        <v>2.4199999999999999E-2</v>
      </c>
      <c r="BW55" s="1192">
        <f>BW54</f>
        <v>2.7199999999999998E-2</v>
      </c>
      <c r="BX55" s="1192">
        <f>BX54</f>
        <v>2.6599999999999999E-2</v>
      </c>
      <c r="BY55" s="1192">
        <f>BY54</f>
        <v>1.0999999999999999E-2</v>
      </c>
      <c r="BZ55" s="1193"/>
    </row>
    <row r="56" spans="1:78" s="315" customFormat="1" ht="14.1" customHeight="1" x14ac:dyDescent="0.2">
      <c r="A56"/>
      <c r="B56"/>
      <c r="C56" s="281" t="str">
        <f>R56</f>
        <v>Bear: Growth (Inflation &amp; Rate)</v>
      </c>
      <c r="D56" s="420"/>
      <c r="E56" s="420"/>
      <c r="F56" s="420"/>
      <c r="G56" s="420"/>
      <c r="H56" s="420"/>
      <c r="I56" s="420"/>
      <c r="J56" s="420"/>
      <c r="K56" s="420"/>
      <c r="L56" s="420"/>
      <c r="M56" s="420"/>
      <c r="N56" s="420"/>
      <c r="O56" s="421"/>
      <c r="P56" s="101"/>
      <c r="Q56" s="329"/>
      <c r="R56" s="281" t="s">
        <v>316</v>
      </c>
      <c r="S56" s="393"/>
      <c r="T56" s="326"/>
      <c r="U56" s="326"/>
      <c r="V56" s="326"/>
      <c r="W56" s="327"/>
      <c r="X56" s="393"/>
      <c r="Y56" s="326"/>
      <c r="Z56" s="326"/>
      <c r="AA56" s="326"/>
      <c r="AB56" s="327"/>
      <c r="AC56" s="393"/>
      <c r="AD56" s="326"/>
      <c r="AE56" s="326"/>
      <c r="AF56" s="326"/>
      <c r="AG56" s="327"/>
      <c r="AH56" s="393"/>
      <c r="AI56" s="326"/>
      <c r="AJ56" s="326"/>
      <c r="AK56" s="326"/>
      <c r="AL56" s="327"/>
      <c r="AM56" s="393"/>
      <c r="AN56" s="326"/>
      <c r="AO56" s="326"/>
      <c r="AP56" s="326"/>
      <c r="AQ56" s="327"/>
      <c r="AR56" s="393"/>
      <c r="AS56" s="326"/>
      <c r="AT56" s="326"/>
      <c r="AU56" s="326"/>
      <c r="AV56" s="327"/>
      <c r="AW56" s="393"/>
      <c r="AX56" s="326"/>
      <c r="AY56" s="326"/>
      <c r="AZ56" s="326"/>
      <c r="BA56" s="327"/>
      <c r="BB56" s="393"/>
      <c r="BC56" s="326"/>
      <c r="BD56" s="326"/>
      <c r="BE56" s="1189">
        <f>BE55</f>
        <v>-4.1000000000000002E-2</v>
      </c>
      <c r="BF56" s="1190"/>
      <c r="BG56" s="1191">
        <f>BG54-0.12%</f>
        <v>4.3799999999999999E-2</v>
      </c>
      <c r="BH56" s="1189">
        <f>BH54-0.11%</f>
        <v>4.8900000000000006E-2</v>
      </c>
      <c r="BI56" s="1189">
        <f>BI54-0.16%</f>
        <v>4.3400000000000001E-2</v>
      </c>
      <c r="BJ56" s="1189">
        <f>BJ54-0.19%</f>
        <v>5.4099999999999995E-2</v>
      </c>
      <c r="BK56" s="1190"/>
      <c r="BL56" s="1191">
        <f>BL54-0.12%</f>
        <v>5.79E-2</v>
      </c>
      <c r="BM56" s="1189">
        <f>BM54-0.11%</f>
        <v>5.7000000000000002E-2</v>
      </c>
      <c r="BN56" s="1189">
        <f>BN54-0.16%</f>
        <v>6.4500000000000002E-2</v>
      </c>
      <c r="BO56" s="1189">
        <f>BO54-0.19%</f>
        <v>6.6200000000000009E-2</v>
      </c>
      <c r="BP56" s="1190"/>
      <c r="BQ56" s="1191">
        <f>BQ54-0.12%</f>
        <v>2.1600000000000001E-2</v>
      </c>
      <c r="BR56" s="1189">
        <f>BR54-0.11%</f>
        <v>2.2699999999999998E-2</v>
      </c>
      <c r="BS56" s="1189">
        <f>BS54-0.16%</f>
        <v>2.8199999999999999E-2</v>
      </c>
      <c r="BT56" s="1189">
        <f>BT54-0.19%</f>
        <v>1.7899999999999999E-2</v>
      </c>
      <c r="BU56" s="1190"/>
      <c r="BV56" s="1191">
        <f>BV54-0.12%</f>
        <v>2.3E-2</v>
      </c>
      <c r="BW56" s="1189">
        <f>BW54-0.11%</f>
        <v>2.6099999999999998E-2</v>
      </c>
      <c r="BX56" s="1189">
        <f>BX54-0.16%</f>
        <v>2.4999999999999998E-2</v>
      </c>
      <c r="BY56" s="1189">
        <f>BY54-0.19%</f>
        <v>9.0999999999999987E-3</v>
      </c>
      <c r="BZ56" s="1190"/>
    </row>
    <row r="57" spans="1:78" s="228" customFormat="1" ht="2.1" customHeight="1" x14ac:dyDescent="0.2">
      <c r="A57"/>
      <c r="B57"/>
      <c r="C57" s="101"/>
    </row>
    <row r="58" spans="1:78" s="101" customFormat="1" ht="14.1" customHeight="1" x14ac:dyDescent="0.2">
      <c r="A58"/>
      <c r="B58"/>
      <c r="C58" s="297" t="str">
        <f>R58</f>
        <v>LTL Tonnage (In Millions)</v>
      </c>
      <c r="D58" s="306">
        <f>W58</f>
        <v>4.4850000000000003</v>
      </c>
      <c r="E58" s="306">
        <f>AB58</f>
        <v>4.8010000000000002</v>
      </c>
      <c r="F58" s="306">
        <f>AG58</f>
        <v>4.82</v>
      </c>
      <c r="G58" s="306">
        <f>AL58</f>
        <v>4.8419999999999996</v>
      </c>
      <c r="H58" s="306">
        <f>AQ58</f>
        <v>5.4009999999999998</v>
      </c>
      <c r="I58" s="306">
        <f>AV58</f>
        <v>5.4729999999999999</v>
      </c>
      <c r="J58" s="306">
        <f>BA58</f>
        <v>5.5430000000000001</v>
      </c>
      <c r="K58" s="306">
        <f>BF58</f>
        <v>6.0357439999999993</v>
      </c>
      <c r="L58" s="306">
        <f>BK58</f>
        <v>6.3805845919999999</v>
      </c>
      <c r="M58" s="306">
        <f>BP58</f>
        <v>6.8642150898703997</v>
      </c>
      <c r="N58" s="306">
        <f>BU58</f>
        <v>7.2971834075471538</v>
      </c>
      <c r="O58" s="423">
        <f>BZ58</f>
        <v>7.7062699369505427</v>
      </c>
      <c r="R58" s="284" t="str">
        <f t="shared" ref="R58:BD58" si="36">R19</f>
        <v>LTL Tonnage (In Millions)</v>
      </c>
      <c r="S58" s="396">
        <f t="shared" si="36"/>
        <v>0.88500000000000001</v>
      </c>
      <c r="T58" s="334">
        <f t="shared" si="36"/>
        <v>0.98399999999999999</v>
      </c>
      <c r="U58" s="334">
        <f t="shared" si="36"/>
        <v>0.93100000000000005</v>
      </c>
      <c r="V58" s="334">
        <f t="shared" si="36"/>
        <v>1.6850000000000005</v>
      </c>
      <c r="W58" s="402">
        <f t="shared" si="36"/>
        <v>4.4850000000000003</v>
      </c>
      <c r="X58" s="396">
        <f t="shared" si="36"/>
        <v>1.1990000000000001</v>
      </c>
      <c r="Y58" s="334">
        <f t="shared" si="36"/>
        <v>1.278</v>
      </c>
      <c r="Z58" s="334">
        <f t="shared" si="36"/>
        <v>1.208</v>
      </c>
      <c r="AA58" s="334">
        <f t="shared" si="36"/>
        <v>1.1159999999999997</v>
      </c>
      <c r="AB58" s="402">
        <f t="shared" si="36"/>
        <v>4.8010000000000002</v>
      </c>
      <c r="AC58" s="396">
        <f t="shared" si="36"/>
        <v>1.139</v>
      </c>
      <c r="AD58" s="334">
        <f t="shared" si="36"/>
        <v>1.254</v>
      </c>
      <c r="AE58" s="334">
        <f t="shared" si="36"/>
        <v>1.2629999999999999</v>
      </c>
      <c r="AF58" s="334">
        <f t="shared" si="36"/>
        <v>1.1640000000000006</v>
      </c>
      <c r="AG58" s="402">
        <f t="shared" si="36"/>
        <v>4.82</v>
      </c>
      <c r="AH58" s="396">
        <f t="shared" si="36"/>
        <v>1.2030000000000001</v>
      </c>
      <c r="AI58" s="334">
        <f t="shared" si="36"/>
        <v>1.1419999999999999</v>
      </c>
      <c r="AJ58" s="334">
        <f t="shared" si="36"/>
        <v>1.2629999999999999</v>
      </c>
      <c r="AK58" s="334">
        <f t="shared" si="36"/>
        <v>1.234</v>
      </c>
      <c r="AL58" s="402">
        <f t="shared" si="36"/>
        <v>4.8419999999999996</v>
      </c>
      <c r="AM58" s="396">
        <f t="shared" si="36"/>
        <v>1.2470000000000001</v>
      </c>
      <c r="AN58" s="334">
        <f t="shared" si="36"/>
        <v>1.4059999999999999</v>
      </c>
      <c r="AO58" s="334">
        <f t="shared" si="36"/>
        <v>1.4019999999999999</v>
      </c>
      <c r="AP58" s="334">
        <f t="shared" si="36"/>
        <v>1.3460000000000001</v>
      </c>
      <c r="AQ58" s="402">
        <f t="shared" si="36"/>
        <v>5.4009999999999998</v>
      </c>
      <c r="AR58" s="396">
        <f t="shared" si="36"/>
        <v>1.387</v>
      </c>
      <c r="AS58" s="334">
        <f t="shared" si="36"/>
        <v>1.446</v>
      </c>
      <c r="AT58" s="334">
        <f t="shared" si="36"/>
        <v>1.397</v>
      </c>
      <c r="AU58" s="334">
        <f t="shared" si="36"/>
        <v>1.2429999999999994</v>
      </c>
      <c r="AV58" s="790">
        <f t="shared" si="36"/>
        <v>5.4729999999999999</v>
      </c>
      <c r="AW58" s="396">
        <f t="shared" si="36"/>
        <v>1.3109999999999999</v>
      </c>
      <c r="AX58" s="334">
        <f t="shared" si="36"/>
        <v>1.421</v>
      </c>
      <c r="AY58" s="334">
        <f t="shared" si="36"/>
        <v>1.4670000000000001</v>
      </c>
      <c r="AZ58" s="334">
        <f t="shared" si="36"/>
        <v>1.3440000000000003</v>
      </c>
      <c r="BA58" s="790">
        <f t="shared" si="36"/>
        <v>5.5430000000000001</v>
      </c>
      <c r="BB58" s="396">
        <f t="shared" si="36"/>
        <v>1.3919999999999999</v>
      </c>
      <c r="BC58" s="334">
        <f t="shared" si="36"/>
        <v>1.5589999999999999</v>
      </c>
      <c r="BD58" s="334">
        <f t="shared" si="36"/>
        <v>1.605</v>
      </c>
      <c r="BE58" s="334">
        <f>AZ58*(1+BE59)</f>
        <v>1.4797440000000004</v>
      </c>
      <c r="BF58" s="790">
        <f>SUM(BB58:BE58)</f>
        <v>6.0357439999999993</v>
      </c>
      <c r="BG58" s="396">
        <f>BB58*(1+BG59)</f>
        <v>1.4657759999999997</v>
      </c>
      <c r="BH58" s="334">
        <f>BC58*(1+BH59)</f>
        <v>1.6572169999999999</v>
      </c>
      <c r="BI58" s="334">
        <f>BD58*(1+BI59)</f>
        <v>1.677225</v>
      </c>
      <c r="BJ58" s="334">
        <f>BE58*(1+BJ59)</f>
        <v>1.5803665920000005</v>
      </c>
      <c r="BK58" s="790">
        <f>SUM(BG58:BJ58)</f>
        <v>6.3805845919999999</v>
      </c>
      <c r="BL58" s="396">
        <f>BG58*(1+BL59)</f>
        <v>1.5686734751999998</v>
      </c>
      <c r="BM58" s="334">
        <f>BH58*(1+BM59)</f>
        <v>1.7834969354000001</v>
      </c>
      <c r="BN58" s="334">
        <f>BI58*(1+BN59)</f>
        <v>1.8033523199999999</v>
      </c>
      <c r="BO58" s="334">
        <f>BJ58*(1+BO59)</f>
        <v>1.7086923592704004</v>
      </c>
      <c r="BP58" s="790">
        <f>SUM(BL58:BO58)</f>
        <v>6.8642150898703997</v>
      </c>
      <c r="BQ58" s="396">
        <f>BL58*(1+BQ59)</f>
        <v>1.6642056898396798</v>
      </c>
      <c r="BR58" s="334">
        <f>BM58*(1+BR59)</f>
        <v>1.8974623895720601</v>
      </c>
      <c r="BS58" s="334">
        <f>BN58*(1+BS59)</f>
        <v>1.9167831809279998</v>
      </c>
      <c r="BT58" s="334">
        <f>BO58*(1+BT59)</f>
        <v>1.8187321472074143</v>
      </c>
      <c r="BU58" s="790">
        <f>SUM(BQ58:BT58)</f>
        <v>7.2971834075471538</v>
      </c>
      <c r="BV58" s="396">
        <f>BQ58*(1+BV59)</f>
        <v>1.7524085914011827</v>
      </c>
      <c r="BW58" s="334">
        <f>BR58*(1+BW59)</f>
        <v>2.0056177457776676</v>
      </c>
      <c r="BX58" s="334">
        <f>BS58*(1+BX59)</f>
        <v>2.0222062558790399</v>
      </c>
      <c r="BY58" s="334">
        <f>BT58*(1+BY59)</f>
        <v>1.9260373438926517</v>
      </c>
      <c r="BZ58" s="790">
        <f>SUM(BV58:BY58)</f>
        <v>7.7062699369505427</v>
      </c>
    </row>
    <row r="59" spans="1:78" s="228" customFormat="1" ht="14.1" customHeight="1" x14ac:dyDescent="0.2">
      <c r="A59"/>
      <c r="B59"/>
      <c r="C59" s="285" t="str">
        <f>R59</f>
        <v>Growth %</v>
      </c>
      <c r="D59" s="288"/>
      <c r="E59" s="424">
        <f>IFERROR(E58/D58-1,"NM")</f>
        <v>7.045707915273125E-2</v>
      </c>
      <c r="F59" s="424">
        <f t="shared" ref="F59:O59" si="37">IFERROR(F58/E58-1,"NM")</f>
        <v>3.9575088523224888E-3</v>
      </c>
      <c r="G59" s="424">
        <f t="shared" si="37"/>
        <v>4.5643153526968572E-3</v>
      </c>
      <c r="H59" s="424">
        <f t="shared" si="37"/>
        <v>0.11544816191656349</v>
      </c>
      <c r="I59" s="424">
        <f t="shared" si="37"/>
        <v>1.3330864654693686E-2</v>
      </c>
      <c r="J59" s="424">
        <f t="shared" si="37"/>
        <v>1.2790060295998495E-2</v>
      </c>
      <c r="K59" s="424">
        <f t="shared" si="37"/>
        <v>8.8894822298394294E-2</v>
      </c>
      <c r="L59" s="424">
        <f t="shared" si="37"/>
        <v>5.7133071250205614E-2</v>
      </c>
      <c r="M59" s="424">
        <f t="shared" si="37"/>
        <v>7.5797208060963239E-2</v>
      </c>
      <c r="N59" s="424">
        <f t="shared" si="37"/>
        <v>6.3076158309154806E-2</v>
      </c>
      <c r="O59" s="425">
        <f t="shared" si="37"/>
        <v>5.606088082975802E-2</v>
      </c>
      <c r="R59" s="287" t="s">
        <v>257</v>
      </c>
      <c r="S59" s="394"/>
      <c r="T59" s="319"/>
      <c r="U59" s="319"/>
      <c r="V59" s="319"/>
      <c r="W59" s="404"/>
      <c r="X59" s="394">
        <f>IFERROR(X58/V58-1,"NM")</f>
        <v>-0.28842729970326431</v>
      </c>
      <c r="Y59" s="319">
        <f>IFERROR(Y58/X58-1,"NM")</f>
        <v>6.5888240200166814E-2</v>
      </c>
      <c r="Z59" s="319">
        <f>IFERROR(Z58/Y58-1,"NM")</f>
        <v>-5.477308294209704E-2</v>
      </c>
      <c r="AA59" s="319">
        <f>IFERROR(AA58/Z58-1,"NM")</f>
        <v>-7.6158940397351271E-2</v>
      </c>
      <c r="AB59" s="404">
        <f>IFERROR((AB58/W58)-1,"NM")</f>
        <v>7.045707915273125E-2</v>
      </c>
      <c r="AC59" s="394">
        <f>IFERROR(AC58/AA58-1,"NM")</f>
        <v>2.0609318996416048E-2</v>
      </c>
      <c r="AD59" s="319">
        <f>IFERROR(AD58/AC58-1,"NM")</f>
        <v>0.10096575943810349</v>
      </c>
      <c r="AE59" s="319">
        <f>IFERROR(AE58/AD58-1,"NM")</f>
        <v>7.1770334928229484E-3</v>
      </c>
      <c r="AF59" s="319">
        <f>IFERROR(AF58/AE58-1,"NM")</f>
        <v>-7.8384798099761954E-2</v>
      </c>
      <c r="AG59" s="404">
        <f>IFERROR((AG58/AB58)-1,"NM")</f>
        <v>3.9575088523224888E-3</v>
      </c>
      <c r="AH59" s="394">
        <f>IFERROR(AH58/AF58-1,"NM")</f>
        <v>3.3505154639174695E-2</v>
      </c>
      <c r="AI59" s="319">
        <f>IFERROR(AI58/AH58-1,"NM")</f>
        <v>-5.0706566916043361E-2</v>
      </c>
      <c r="AJ59" s="319">
        <f>IFERROR(AJ58/AI58-1,"NM")</f>
        <v>0.10595446584938695</v>
      </c>
      <c r="AK59" s="319">
        <f>IFERROR(AK58/AJ58-1,"NM")</f>
        <v>-2.2961203483768733E-2</v>
      </c>
      <c r="AL59" s="404">
        <f>IFERROR((AL58/AG58)-1,"NM")</f>
        <v>4.5643153526968572E-3</v>
      </c>
      <c r="AM59" s="394">
        <f>IFERROR(AM58/AK58-1,"NM")</f>
        <v>1.0534846029173428E-2</v>
      </c>
      <c r="AN59" s="319">
        <f>IFERROR(AN58/AM58-1,"NM")</f>
        <v>0.12750601443464293</v>
      </c>
      <c r="AO59" s="319">
        <f>IFERROR(AO58/AN58-1,"NM")</f>
        <v>-2.8449502133712778E-3</v>
      </c>
      <c r="AP59" s="319">
        <f>IFERROR(AP58/AO58-1,"NM")</f>
        <v>-3.9942938659058402E-2</v>
      </c>
      <c r="AQ59" s="404">
        <f>IFERROR((AQ58/AL58)-1,"NM")</f>
        <v>0.11544816191656349</v>
      </c>
      <c r="AR59" s="394">
        <f>IFERROR(AR58/AP58-1,"NM")</f>
        <v>3.0460624071322329E-2</v>
      </c>
      <c r="AS59" s="319">
        <f>IFERROR(AS58/AR58-1,"NM")</f>
        <v>4.2537851478010147E-2</v>
      </c>
      <c r="AT59" s="319">
        <f>IFERROR(AT58/AS58-1,"NM")</f>
        <v>-3.388658367911479E-2</v>
      </c>
      <c r="AU59" s="319">
        <f>IFERROR(AU58/AT58-1,"NM")</f>
        <v>-0.1102362204724413</v>
      </c>
      <c r="AV59" s="404">
        <f>IFERROR((AV58/AQ58)-1,"NM")</f>
        <v>1.3330864654693686E-2</v>
      </c>
      <c r="AW59" s="394">
        <f>IFERROR(AW58/AU58-1,"NM")</f>
        <v>5.4706355591311873E-2</v>
      </c>
      <c r="AX59" s="319">
        <f>IFERROR(AX58/AW58-1,"NM")</f>
        <v>8.3905415713196208E-2</v>
      </c>
      <c r="AY59" s="319">
        <f>IFERROR(AY58/AX58-1,"NM")</f>
        <v>3.2371569317382054E-2</v>
      </c>
      <c r="AZ59" s="319">
        <f>IFERROR(AZ58/AY58-1,"NM")</f>
        <v>-8.3844580777096001E-2</v>
      </c>
      <c r="BA59" s="404">
        <f>IFERROR((BA58/AV58)-1,"NM")</f>
        <v>1.2790060295998495E-2</v>
      </c>
      <c r="BB59" s="394">
        <f>IFERROR((BB58/AW58)-1,"NM")</f>
        <v>6.1784897025171537E-2</v>
      </c>
      <c r="BC59" s="319">
        <f>IFERROR((BC58/AX58)-1,"NM")</f>
        <v>9.7114707952146384E-2</v>
      </c>
      <c r="BD59" s="319">
        <f>IFERROR((BD58/AY58)-1,"NM")</f>
        <v>9.4069529652351713E-2</v>
      </c>
      <c r="BE59" s="319">
        <f>INDEX($BE$60:$BZ$63,MATCH($O$3,$C$46:$C$49,0),MATCH(BE$34,$BE$34:$BZ$34,0))</f>
        <v>0.10100000000000001</v>
      </c>
      <c r="BF59" s="404">
        <f>BF58/BA58-1</f>
        <v>8.8894822298394294E-2</v>
      </c>
      <c r="BG59" s="394">
        <f>INDEX($BE$60:$BZ$63,MATCH($O$3,$C$46:$C$49,0),MATCH(BG$34,$BE$34:$BZ$34,0))</f>
        <v>5.2999999999999999E-2</v>
      </c>
      <c r="BH59" s="319">
        <f>INDEX($BE$60:$BZ$63,MATCH($O$3,$C$46:$C$49,0),MATCH(BH$34,$BE$34:$BZ$34,0))</f>
        <v>6.3E-2</v>
      </c>
      <c r="BI59" s="319">
        <f>INDEX($BE$60:$BZ$63,MATCH($O$3,$C$46:$C$49,0),MATCH(BI$34,$BE$34:$BZ$34,0))</f>
        <v>4.4999999999999998E-2</v>
      </c>
      <c r="BJ59" s="319">
        <f>INDEX($BE$60:$BZ$63,MATCH($O$3,$C$46:$C$49,0),MATCH(BJ$34,$BE$34:$BZ$34,0))</f>
        <v>6.8000000000000005E-2</v>
      </c>
      <c r="BK59" s="404">
        <f>BK58/BF58-1</f>
        <v>5.7133071250205614E-2</v>
      </c>
      <c r="BL59" s="394">
        <f>INDEX($BE$60:$BZ$63,MATCH($O$3,$C$46:$C$49,0),MATCH(BL$34,$BE$34:$BZ$34,0))</f>
        <v>7.0200000000000012E-2</v>
      </c>
      <c r="BM59" s="319">
        <f>INDEX($BE$60:$BZ$63,MATCH($O$3,$C$46:$C$49,0),MATCH(BM$34,$BE$34:$BZ$34,0))</f>
        <v>7.6200000000000004E-2</v>
      </c>
      <c r="BN59" s="319">
        <f>INDEX($BE$60:$BZ$63,MATCH($O$3,$C$46:$C$49,0),MATCH(BN$34,$BE$34:$BZ$34,0))</f>
        <v>7.5200000000000003E-2</v>
      </c>
      <c r="BO59" s="319">
        <f>INDEX($BE$60:$BZ$63,MATCH($O$3,$C$46:$C$49,0),MATCH(BO$34,$BE$34:$BZ$34,0))</f>
        <v>8.1200000000000008E-2</v>
      </c>
      <c r="BP59" s="404">
        <f>BP58/BK58-1</f>
        <v>7.5797208060963239E-2</v>
      </c>
      <c r="BQ59" s="394">
        <f>INDEX($BE$60:$BZ$63,MATCH($O$3,$C$46:$C$49,0),MATCH(BQ$34,$BE$34:$BZ$34,0))</f>
        <v>6.0899999999999996E-2</v>
      </c>
      <c r="BR59" s="319">
        <f>INDEX($BE$60:$BZ$63,MATCH($O$3,$C$46:$C$49,0),MATCH(BR$34,$BE$34:$BZ$34,0))</f>
        <v>6.3899999999999998E-2</v>
      </c>
      <c r="BS59" s="319">
        <f>INDEX($BE$60:$BZ$63,MATCH($O$3,$C$46:$C$49,0),MATCH(BS$34,$BE$34:$BZ$34,0))</f>
        <v>6.2899999999999998E-2</v>
      </c>
      <c r="BT59" s="319">
        <f>INDEX($BE$60:$BZ$63,MATCH($O$3,$C$46:$C$49,0),MATCH(BT$34,$BE$34:$BZ$34,0))</f>
        <v>6.4399999999999999E-2</v>
      </c>
      <c r="BU59" s="404">
        <f>BU58/BP58-1</f>
        <v>6.3076158309154806E-2</v>
      </c>
      <c r="BV59" s="394">
        <f>INDEX($BE$60:$BZ$63,MATCH($O$3,$C$46:$C$49,0),MATCH(BV$34,$BE$34:$BZ$34,0))</f>
        <v>5.2999999999999999E-2</v>
      </c>
      <c r="BW59" s="319">
        <f>INDEX($BE$60:$BZ$63,MATCH($O$3,$C$46:$C$49,0),MATCH(BW$34,$BE$34:$BZ$34,0))</f>
        <v>5.7000000000000002E-2</v>
      </c>
      <c r="BX59" s="319">
        <f>INDEX($BE$60:$BZ$63,MATCH($O$3,$C$46:$C$49,0),MATCH(BX$34,$BE$34:$BZ$34,0))</f>
        <v>5.5E-2</v>
      </c>
      <c r="BY59" s="319">
        <f>INDEX($BE$60:$BZ$63,MATCH($O$3,$C$46:$C$49,0),MATCH(BY$34,$BE$34:$BZ$34,0))</f>
        <v>5.9000000000000004E-2</v>
      </c>
      <c r="BZ59" s="404">
        <f>BZ58/BU58-1</f>
        <v>5.606088082975802E-2</v>
      </c>
    </row>
    <row r="60" spans="1:78" s="228" customFormat="1" ht="14.1" customHeight="1" x14ac:dyDescent="0.2">
      <c r="A60"/>
      <c r="B60"/>
      <c r="C60" s="279" t="str">
        <f>C46</f>
        <v>Reversed</v>
      </c>
      <c r="D60" s="416"/>
      <c r="E60" s="416"/>
      <c r="F60" s="416"/>
      <c r="G60" s="416"/>
      <c r="H60" s="416"/>
      <c r="I60" s="416"/>
      <c r="J60" s="416"/>
      <c r="K60" s="416"/>
      <c r="L60" s="416"/>
      <c r="M60" s="416"/>
      <c r="N60" s="416"/>
      <c r="O60" s="417"/>
      <c r="R60" s="280" t="str">
        <f>R46</f>
        <v>Reversed</v>
      </c>
      <c r="S60" s="395"/>
      <c r="T60" s="324"/>
      <c r="U60" s="324"/>
      <c r="V60" s="324"/>
      <c r="W60" s="336"/>
      <c r="X60" s="395"/>
      <c r="Y60" s="324"/>
      <c r="Z60" s="324"/>
      <c r="AA60" s="324"/>
      <c r="AB60" s="336"/>
      <c r="AC60" s="395"/>
      <c r="AD60" s="324"/>
      <c r="AE60" s="324"/>
      <c r="AF60" s="324"/>
      <c r="AG60" s="336"/>
      <c r="AH60" s="395"/>
      <c r="AI60" s="324"/>
      <c r="AJ60" s="324"/>
      <c r="AK60" s="324"/>
      <c r="AL60" s="336"/>
      <c r="AM60" s="395"/>
      <c r="AN60" s="324"/>
      <c r="AO60" s="324"/>
      <c r="AP60" s="324"/>
      <c r="AQ60" s="336"/>
      <c r="AR60" s="395"/>
      <c r="AS60" s="324"/>
      <c r="AT60" s="324"/>
      <c r="AU60" s="324"/>
      <c r="AV60" s="336"/>
      <c r="AW60" s="395"/>
      <c r="AX60" s="324"/>
      <c r="AY60" s="324"/>
      <c r="AZ60" s="324"/>
      <c r="BA60" s="336"/>
      <c r="BB60" s="395"/>
      <c r="BC60" s="324"/>
      <c r="BD60" s="324"/>
      <c r="BE60" s="1192">
        <v>0.10100000000000001</v>
      </c>
      <c r="BF60" s="1185"/>
      <c r="BG60" s="1194">
        <v>5.0999999999999997E-2</v>
      </c>
      <c r="BH60" s="1192">
        <v>6.0999999999999999E-2</v>
      </c>
      <c r="BI60" s="1192">
        <v>4.2999999999999997E-2</v>
      </c>
      <c r="BJ60" s="1192">
        <v>6.6000000000000003E-2</v>
      </c>
      <c r="BK60" s="1185"/>
      <c r="BL60" s="1194">
        <v>6.9000000000000006E-2</v>
      </c>
      <c r="BM60" s="1192">
        <v>7.4999999999999997E-2</v>
      </c>
      <c r="BN60" s="1192">
        <v>7.3999999999999996E-2</v>
      </c>
      <c r="BO60" s="1192">
        <v>0.08</v>
      </c>
      <c r="BP60" s="1185"/>
      <c r="BQ60" s="1194">
        <v>5.8999999999999997E-2</v>
      </c>
      <c r="BR60" s="1192">
        <v>6.2E-2</v>
      </c>
      <c r="BS60" s="1192">
        <v>6.0999999999999999E-2</v>
      </c>
      <c r="BT60" s="1192">
        <v>6.25E-2</v>
      </c>
      <c r="BU60" s="1185"/>
      <c r="BV60" s="1194">
        <v>5.0999999999999997E-2</v>
      </c>
      <c r="BW60" s="1192">
        <v>5.5E-2</v>
      </c>
      <c r="BX60" s="1192">
        <v>5.2999999999999999E-2</v>
      </c>
      <c r="BY60" s="1192">
        <v>5.7000000000000002E-2</v>
      </c>
      <c r="BZ60" s="336"/>
    </row>
    <row r="61" spans="1:78" s="131" customFormat="1" ht="14.1" customHeight="1" x14ac:dyDescent="0.2">
      <c r="A61"/>
      <c r="B61"/>
      <c r="C61" s="279" t="str">
        <f>C47</f>
        <v>Base</v>
      </c>
      <c r="D61" s="418"/>
      <c r="E61" s="418"/>
      <c r="F61" s="418"/>
      <c r="G61" s="418"/>
      <c r="H61" s="418"/>
      <c r="I61" s="418"/>
      <c r="J61" s="418"/>
      <c r="K61" s="418"/>
      <c r="L61" s="418"/>
      <c r="M61" s="418"/>
      <c r="N61" s="418"/>
      <c r="O61" s="419"/>
      <c r="P61" s="101"/>
      <c r="Q61" s="101"/>
      <c r="R61" s="280" t="str">
        <f>R47</f>
        <v>Base</v>
      </c>
      <c r="S61" s="397"/>
      <c r="T61" s="383"/>
      <c r="U61" s="383"/>
      <c r="V61" s="383"/>
      <c r="W61" s="333"/>
      <c r="X61" s="397"/>
      <c r="Y61" s="383"/>
      <c r="Z61" s="383"/>
      <c r="AA61" s="383"/>
      <c r="AB61" s="333"/>
      <c r="AC61" s="397"/>
      <c r="AD61" s="383"/>
      <c r="AE61" s="383"/>
      <c r="AF61" s="383"/>
      <c r="AG61" s="333"/>
      <c r="AH61" s="397"/>
      <c r="AI61" s="383"/>
      <c r="AJ61" s="383"/>
      <c r="AK61" s="383"/>
      <c r="AL61" s="333"/>
      <c r="AM61" s="397"/>
      <c r="AN61" s="383"/>
      <c r="AO61" s="383"/>
      <c r="AP61" s="383"/>
      <c r="AQ61" s="333"/>
      <c r="AR61" s="397"/>
      <c r="AS61" s="383"/>
      <c r="AT61" s="383"/>
      <c r="AU61" s="383"/>
      <c r="AV61" s="333"/>
      <c r="AW61" s="397"/>
      <c r="AX61" s="383"/>
      <c r="AY61" s="383"/>
      <c r="AZ61" s="383"/>
      <c r="BA61" s="333"/>
      <c r="BB61" s="397"/>
      <c r="BC61" s="383"/>
      <c r="BD61" s="383"/>
      <c r="BE61" s="1195">
        <f>BE60</f>
        <v>0.10100000000000001</v>
      </c>
      <c r="BF61" s="1196"/>
      <c r="BG61" s="1197">
        <v>5.2999999999999999E-2</v>
      </c>
      <c r="BH61" s="1195">
        <v>6.3E-2</v>
      </c>
      <c r="BI61" s="1195">
        <v>4.4999999999999998E-2</v>
      </c>
      <c r="BJ61" s="1195">
        <v>6.8000000000000005E-2</v>
      </c>
      <c r="BK61" s="1196"/>
      <c r="BL61" s="1197">
        <v>7.0200000000000012E-2</v>
      </c>
      <c r="BM61" s="1195">
        <v>7.6200000000000004E-2</v>
      </c>
      <c r="BN61" s="1195">
        <v>7.5200000000000003E-2</v>
      </c>
      <c r="BO61" s="1195">
        <v>8.1200000000000008E-2</v>
      </c>
      <c r="BP61" s="1196"/>
      <c r="BQ61" s="1197">
        <v>6.0899999999999996E-2</v>
      </c>
      <c r="BR61" s="1195">
        <v>6.3899999999999998E-2</v>
      </c>
      <c r="BS61" s="1195">
        <v>6.2899999999999998E-2</v>
      </c>
      <c r="BT61" s="1195">
        <v>6.4399999999999999E-2</v>
      </c>
      <c r="BU61" s="1196"/>
      <c r="BV61" s="1197">
        <v>5.2999999999999999E-2</v>
      </c>
      <c r="BW61" s="1195">
        <v>5.7000000000000002E-2</v>
      </c>
      <c r="BX61" s="1195">
        <v>5.5E-2</v>
      </c>
      <c r="BY61" s="1195">
        <v>5.9000000000000004E-2</v>
      </c>
      <c r="BZ61" s="333"/>
    </row>
    <row r="62" spans="1:78" s="234" customFormat="1" ht="14.1" customHeight="1" x14ac:dyDescent="0.2">
      <c r="A62"/>
      <c r="B62"/>
      <c r="C62" s="279" t="str">
        <f>C48</f>
        <v>Bull</v>
      </c>
      <c r="D62" s="416"/>
      <c r="E62" s="416"/>
      <c r="F62" s="416"/>
      <c r="G62" s="416"/>
      <c r="H62" s="416"/>
      <c r="I62" s="416"/>
      <c r="J62" s="416"/>
      <c r="K62" s="416"/>
      <c r="L62" s="416"/>
      <c r="M62" s="416"/>
      <c r="N62" s="416"/>
      <c r="O62" s="417"/>
      <c r="P62" s="228"/>
      <c r="Q62" s="228"/>
      <c r="R62" s="280" t="str">
        <f>R48</f>
        <v>Bull</v>
      </c>
      <c r="S62" s="398"/>
      <c r="T62" s="263"/>
      <c r="U62" s="263"/>
      <c r="V62" s="263"/>
      <c r="W62" s="264"/>
      <c r="X62" s="398"/>
      <c r="Y62" s="263"/>
      <c r="Z62" s="263"/>
      <c r="AA62" s="263"/>
      <c r="AB62" s="264"/>
      <c r="AC62" s="398"/>
      <c r="AD62" s="263"/>
      <c r="AE62" s="263"/>
      <c r="AF62" s="263"/>
      <c r="AG62" s="264"/>
      <c r="AH62" s="398"/>
      <c r="AI62" s="263"/>
      <c r="AJ62" s="263"/>
      <c r="AK62" s="263"/>
      <c r="AL62" s="264"/>
      <c r="AM62" s="398"/>
      <c r="AN62" s="263"/>
      <c r="AO62" s="263"/>
      <c r="AP62" s="263"/>
      <c r="AQ62" s="264"/>
      <c r="AR62" s="398"/>
      <c r="AS62" s="263"/>
      <c r="AT62" s="263"/>
      <c r="AU62" s="263"/>
      <c r="AV62" s="264"/>
      <c r="AW62" s="398"/>
      <c r="AX62" s="263"/>
      <c r="AY62" s="263"/>
      <c r="AZ62" s="263"/>
      <c r="BA62" s="264"/>
      <c r="BB62" s="398"/>
      <c r="BC62" s="263"/>
      <c r="BD62" s="263"/>
      <c r="BE62" s="1198">
        <f>BE61</f>
        <v>0.10100000000000001</v>
      </c>
      <c r="BF62" s="1199"/>
      <c r="BG62" s="1200">
        <v>6.4000000000000001E-2</v>
      </c>
      <c r="BH62" s="1198">
        <v>7.5999999999999998E-2</v>
      </c>
      <c r="BI62" s="1198">
        <v>5.7000000000000002E-2</v>
      </c>
      <c r="BJ62" s="1198">
        <v>7.8E-2</v>
      </c>
      <c r="BK62" s="1199"/>
      <c r="BL62" s="1200">
        <v>0.08</v>
      </c>
      <c r="BM62" s="1198">
        <v>8.5999999999999993E-2</v>
      </c>
      <c r="BN62" s="1198">
        <v>8.5000000000000006E-2</v>
      </c>
      <c r="BO62" s="1198">
        <v>9.0999999999999998E-2</v>
      </c>
      <c r="BP62" s="1199"/>
      <c r="BQ62" s="1200">
        <v>7.3999999999999996E-2</v>
      </c>
      <c r="BR62" s="1198">
        <v>7.4999999999999997E-2</v>
      </c>
      <c r="BS62" s="1198">
        <v>7.3999999999999996E-2</v>
      </c>
      <c r="BT62" s="1198">
        <v>7.2999999999999995E-2</v>
      </c>
      <c r="BU62" s="1199"/>
      <c r="BV62" s="1200">
        <v>6.3E-2</v>
      </c>
      <c r="BW62" s="1198">
        <v>6.7000000000000004E-2</v>
      </c>
      <c r="BX62" s="1198">
        <v>6.0999999999999999E-2</v>
      </c>
      <c r="BY62" s="1198">
        <v>6.7000000000000004E-2</v>
      </c>
      <c r="BZ62" s="264"/>
    </row>
    <row r="63" spans="1:78" s="234" customFormat="1" ht="14.1" customHeight="1" x14ac:dyDescent="0.2">
      <c r="A63"/>
      <c r="B63"/>
      <c r="C63" s="281" t="str">
        <f>C49</f>
        <v>Bear</v>
      </c>
      <c r="D63" s="420"/>
      <c r="E63" s="420"/>
      <c r="F63" s="420"/>
      <c r="G63" s="420"/>
      <c r="H63" s="420"/>
      <c r="I63" s="420"/>
      <c r="J63" s="420"/>
      <c r="K63" s="420"/>
      <c r="L63" s="420"/>
      <c r="M63" s="420"/>
      <c r="N63" s="420"/>
      <c r="O63" s="421"/>
      <c r="P63" s="228"/>
      <c r="Q63" s="228"/>
      <c r="R63" s="283" t="str">
        <f>R49</f>
        <v>Bear</v>
      </c>
      <c r="S63" s="399"/>
      <c r="T63" s="267"/>
      <c r="U63" s="267"/>
      <c r="V63" s="267"/>
      <c r="W63" s="268"/>
      <c r="X63" s="399"/>
      <c r="Y63" s="267"/>
      <c r="Z63" s="267"/>
      <c r="AA63" s="267"/>
      <c r="AB63" s="268"/>
      <c r="AC63" s="399"/>
      <c r="AD63" s="267"/>
      <c r="AE63" s="267"/>
      <c r="AF63" s="267"/>
      <c r="AG63" s="268"/>
      <c r="AH63" s="399"/>
      <c r="AI63" s="267"/>
      <c r="AJ63" s="267"/>
      <c r="AK63" s="267"/>
      <c r="AL63" s="268"/>
      <c r="AM63" s="399"/>
      <c r="AN63" s="267"/>
      <c r="AO63" s="267"/>
      <c r="AP63" s="267"/>
      <c r="AQ63" s="268"/>
      <c r="AR63" s="399"/>
      <c r="AS63" s="267"/>
      <c r="AT63" s="267"/>
      <c r="AU63" s="267"/>
      <c r="AV63" s="268"/>
      <c r="AW63" s="399"/>
      <c r="AX63" s="267"/>
      <c r="AY63" s="267"/>
      <c r="AZ63" s="267"/>
      <c r="BA63" s="268"/>
      <c r="BB63" s="399"/>
      <c r="BC63" s="267"/>
      <c r="BD63" s="267"/>
      <c r="BE63" s="1201">
        <f>BE62</f>
        <v>0.10100000000000001</v>
      </c>
      <c r="BF63" s="1202"/>
      <c r="BG63" s="1203">
        <f>BG61-0.09%</f>
        <v>5.21E-2</v>
      </c>
      <c r="BH63" s="1201">
        <f>BH61-0.18%</f>
        <v>6.1199999999999997E-2</v>
      </c>
      <c r="BI63" s="1201">
        <f>BI61-0.13%</f>
        <v>4.3699999999999996E-2</v>
      </c>
      <c r="BJ63" s="1201">
        <f>BJ61-0.26%</f>
        <v>6.54E-2</v>
      </c>
      <c r="BK63" s="1202"/>
      <c r="BL63" s="1203">
        <f>BL61-0.09%</f>
        <v>6.9300000000000014E-2</v>
      </c>
      <c r="BM63" s="1201">
        <f>BM61-0.18%</f>
        <v>7.4400000000000008E-2</v>
      </c>
      <c r="BN63" s="1201">
        <f>BN61-0.23%</f>
        <v>7.2900000000000006E-2</v>
      </c>
      <c r="BO63" s="1201">
        <f>BO61-0.26%</f>
        <v>7.8600000000000003E-2</v>
      </c>
      <c r="BP63" s="1202"/>
      <c r="BQ63" s="1203">
        <f>BQ61-0.09%</f>
        <v>0.06</v>
      </c>
      <c r="BR63" s="1201">
        <f>BR61-0.08%</f>
        <v>6.3100000000000003E-2</v>
      </c>
      <c r="BS63" s="1201">
        <f>BS61-0.13%</f>
        <v>6.1599999999999995E-2</v>
      </c>
      <c r="BT63" s="1201">
        <f>BT61-0.16%</f>
        <v>6.2799999999999995E-2</v>
      </c>
      <c r="BU63" s="1202"/>
      <c r="BV63" s="1203">
        <f>BV61-0.09%</f>
        <v>5.21E-2</v>
      </c>
      <c r="BW63" s="1201">
        <f>BW61-0.11%</f>
        <v>5.5900000000000005E-2</v>
      </c>
      <c r="BX63" s="1201">
        <f>BX61-0.13%</f>
        <v>5.3699999999999998E-2</v>
      </c>
      <c r="BY63" s="1201">
        <f>BY61-0.6%</f>
        <v>5.3000000000000005E-2</v>
      </c>
      <c r="BZ63" s="268"/>
    </row>
    <row r="64" spans="1:78" s="234" customFormat="1" ht="14.1" customHeight="1" x14ac:dyDescent="0.2">
      <c r="A64"/>
      <c r="B64"/>
      <c r="C64" s="237"/>
      <c r="D64" s="112"/>
      <c r="E64" s="112"/>
      <c r="F64" s="112"/>
      <c r="G64" s="112"/>
      <c r="H64" s="112"/>
      <c r="I64" s="112"/>
      <c r="J64" s="112"/>
      <c r="K64" s="112"/>
      <c r="L64" s="112"/>
      <c r="M64" s="112"/>
      <c r="N64" s="112"/>
      <c r="O64" s="112"/>
      <c r="P64" s="228"/>
      <c r="Q64" s="228"/>
      <c r="R64" s="791"/>
      <c r="S64" s="263"/>
      <c r="T64" s="263"/>
      <c r="U64" s="263"/>
      <c r="V64" s="263"/>
      <c r="W64" s="263"/>
      <c r="X64" s="263"/>
      <c r="Y64" s="263"/>
      <c r="Z64" s="263"/>
      <c r="AA64" s="263"/>
      <c r="AB64" s="263"/>
      <c r="AC64" s="263"/>
      <c r="AD64" s="263"/>
      <c r="AE64" s="263"/>
      <c r="AF64" s="263"/>
      <c r="AG64" s="263"/>
      <c r="AH64" s="263"/>
      <c r="AI64" s="263"/>
      <c r="AJ64" s="263"/>
      <c r="AK64" s="263"/>
      <c r="AL64" s="263"/>
      <c r="AM64" s="263"/>
      <c r="AN64" s="263"/>
      <c r="AO64" s="263"/>
      <c r="AP64" s="263"/>
      <c r="AQ64" s="263"/>
      <c r="AR64" s="263"/>
      <c r="AS64" s="263"/>
      <c r="AT64" s="263"/>
      <c r="AU64" s="263"/>
      <c r="AV64" s="263"/>
      <c r="AW64" s="263"/>
      <c r="AX64" s="263"/>
      <c r="AY64" s="263"/>
      <c r="AZ64" s="263"/>
      <c r="BA64" s="263"/>
      <c r="BB64" s="263"/>
      <c r="BC64" s="263"/>
      <c r="BD64" s="263"/>
      <c r="BE64" s="263"/>
      <c r="BF64" s="263"/>
      <c r="BG64" s="263"/>
      <c r="BH64" s="263"/>
      <c r="BI64" s="263"/>
      <c r="BJ64" s="263"/>
      <c r="BK64" s="263"/>
      <c r="BL64" s="263"/>
      <c r="BM64" s="263"/>
      <c r="BN64" s="263"/>
      <c r="BO64" s="263"/>
      <c r="BP64" s="263"/>
      <c r="BQ64" s="263"/>
      <c r="BR64" s="263"/>
      <c r="BS64" s="263"/>
      <c r="BT64" s="263"/>
      <c r="BU64" s="263"/>
      <c r="BV64" s="263"/>
      <c r="BW64" s="263"/>
      <c r="BX64" s="263"/>
      <c r="BY64" s="263"/>
      <c r="BZ64" s="263"/>
    </row>
    <row r="65" spans="1:78" s="234" customFormat="1" ht="14.1" customHeight="1" x14ac:dyDescent="0.2">
      <c r="A65"/>
      <c r="B65"/>
      <c r="C65" s="379"/>
      <c r="D65" s="380"/>
      <c r="E65" s="380"/>
      <c r="F65" s="380"/>
      <c r="G65" s="299" t="s">
        <v>262</v>
      </c>
      <c r="H65" s="299" t="s">
        <v>263</v>
      </c>
      <c r="I65" s="299" t="s">
        <v>264</v>
      </c>
      <c r="J65" s="299" t="s">
        <v>265</v>
      </c>
      <c r="K65" s="300" t="s">
        <v>266</v>
      </c>
      <c r="L65" s="228"/>
      <c r="M65" s="228"/>
      <c r="N65" s="228"/>
      <c r="O65" s="228"/>
      <c r="P65" s="228"/>
      <c r="Q65" s="228"/>
      <c r="AG65" s="270">
        <f>(BA58/AG58)^(1/5)-1</f>
        <v>2.8346722100213606E-2</v>
      </c>
    </row>
    <row r="66" spans="1:78" ht="14.1" customHeight="1" x14ac:dyDescent="0.2">
      <c r="C66" s="301" t="s">
        <v>260</v>
      </c>
      <c r="D66" s="114"/>
      <c r="E66" s="114"/>
      <c r="F66" s="114"/>
      <c r="G66" s="330">
        <f t="shared" ref="G66:J67" si="38">AVERAGE(S36,X36,AC36,AH36,AM36,AR36,AW36)</f>
        <v>0.23609225158995814</v>
      </c>
      <c r="H66" s="330">
        <f t="shared" si="38"/>
        <v>0.2517855859961366</v>
      </c>
      <c r="I66" s="330">
        <f t="shared" si="38"/>
        <v>0.25165194869364305</v>
      </c>
      <c r="J66" s="330">
        <f t="shared" si="38"/>
        <v>0.26047021372026219</v>
      </c>
      <c r="K66" s="302">
        <f>SUM(G66:J66)</f>
        <v>1</v>
      </c>
    </row>
    <row r="67" spans="1:78" ht="14.1" customHeight="1" x14ac:dyDescent="0.2">
      <c r="C67" s="303" t="s">
        <v>261</v>
      </c>
      <c r="D67" s="378"/>
      <c r="E67" s="378"/>
      <c r="F67" s="378"/>
      <c r="G67" s="331">
        <f t="shared" si="38"/>
        <v>0.24082203355006546</v>
      </c>
      <c r="H67" s="331">
        <f t="shared" si="38"/>
        <v>0.2561180928488096</v>
      </c>
      <c r="I67" s="331">
        <f t="shared" si="38"/>
        <v>0.25808970646695056</v>
      </c>
      <c r="J67" s="331">
        <f t="shared" si="38"/>
        <v>0.24497016713417441</v>
      </c>
      <c r="K67" s="304">
        <f>SUM(G67:J67)</f>
        <v>1</v>
      </c>
    </row>
    <row r="68" spans="1:78" ht="14.1" customHeight="1" x14ac:dyDescent="0.2">
      <c r="C68" s="99"/>
    </row>
    <row r="69" spans="1:78" ht="14.1" customHeight="1" x14ac:dyDescent="0.2">
      <c r="C69" s="99"/>
      <c r="R69" s="99"/>
    </row>
    <row r="70" spans="1:78" ht="8.1" customHeight="1" x14ac:dyDescent="0.2">
      <c r="C70" s="99"/>
      <c r="R70" s="99"/>
    </row>
    <row r="71" spans="1:78" ht="18.75" x14ac:dyDescent="0.25">
      <c r="C71" s="136" t="str">
        <f>C3</f>
        <v>SAIA, Inc.</v>
      </c>
      <c r="D71" s="148"/>
      <c r="E71" s="148"/>
      <c r="F71" s="148"/>
      <c r="G71" s="148"/>
      <c r="H71" s="148"/>
      <c r="I71" s="148"/>
      <c r="J71" s="148"/>
      <c r="K71" s="148"/>
      <c r="L71" s="148"/>
      <c r="M71" s="148"/>
      <c r="N71" s="1150" t="str">
        <f t="shared" ref="N71:O73" si="39">N3</f>
        <v>Model Case:</v>
      </c>
      <c r="O71" s="144" t="str">
        <f t="shared" si="39"/>
        <v>Base</v>
      </c>
      <c r="R71" s="1376" t="str">
        <f>C71</f>
        <v>SAIA, Inc.</v>
      </c>
      <c r="S71" s="1374"/>
      <c r="T71" s="1374"/>
      <c r="U71" s="1374"/>
      <c r="V71" s="1374"/>
      <c r="W71" s="1374"/>
      <c r="X71" s="1374"/>
      <c r="Y71" s="1374"/>
      <c r="Z71" s="1374"/>
      <c r="AA71" s="1374"/>
      <c r="AB71" s="1374"/>
      <c r="AC71" s="1374"/>
      <c r="AD71" s="1374"/>
      <c r="AE71" s="1374"/>
      <c r="AF71" s="1374"/>
      <c r="AG71" s="1374"/>
      <c r="AH71" s="1374"/>
      <c r="AI71" s="1374"/>
      <c r="AJ71" s="1374"/>
      <c r="AK71" s="1374"/>
      <c r="AL71" s="1374"/>
      <c r="AM71" s="1374"/>
      <c r="AN71" s="1374"/>
      <c r="AO71" s="1374"/>
      <c r="AP71" s="1374"/>
      <c r="AQ71" s="1374"/>
      <c r="AR71" s="1374"/>
      <c r="AS71" s="1374"/>
      <c r="AT71" s="1374"/>
      <c r="AU71" s="1374"/>
      <c r="AV71" s="1374"/>
      <c r="AW71" s="1374"/>
      <c r="AX71" s="1374"/>
      <c r="AY71" s="1374"/>
      <c r="AZ71" s="1374"/>
      <c r="BA71" s="47"/>
      <c r="BB71" s="47"/>
      <c r="BC71" s="47"/>
      <c r="BD71" s="47"/>
      <c r="BE71" s="47"/>
      <c r="BF71" s="47"/>
      <c r="BG71" s="47"/>
      <c r="BH71" s="47"/>
      <c r="BI71" s="47"/>
      <c r="BJ71" s="47"/>
      <c r="BK71" s="47"/>
      <c r="BL71" s="47"/>
      <c r="BM71" s="47"/>
      <c r="BN71" s="47"/>
      <c r="BO71" s="47"/>
      <c r="BP71" s="47"/>
      <c r="BQ71" s="47"/>
      <c r="BR71" s="47"/>
      <c r="BS71" s="377"/>
      <c r="BT71" s="377"/>
      <c r="BU71" s="47"/>
      <c r="BV71" s="47"/>
      <c r="BW71" s="47"/>
      <c r="BX71" s="67" t="str">
        <f t="shared" ref="BX71:BY73" si="40">N71</f>
        <v>Model Case:</v>
      </c>
      <c r="BY71" s="48" t="str">
        <f t="shared" si="40"/>
        <v>Base</v>
      </c>
      <c r="BZ71" s="47"/>
    </row>
    <row r="72" spans="1:78" ht="14.1" customHeight="1" x14ac:dyDescent="0.2">
      <c r="C72" s="133" t="str">
        <f>C4&amp;" % Changes"</f>
        <v>Revenue and Operating Margins Drivers % Changes</v>
      </c>
      <c r="D72" s="148"/>
      <c r="E72" s="148"/>
      <c r="F72" s="148"/>
      <c r="G72" s="148"/>
      <c r="H72" s="148"/>
      <c r="I72" s="148"/>
      <c r="J72" s="148"/>
      <c r="K72" s="148"/>
      <c r="L72" s="148"/>
      <c r="M72" s="148"/>
      <c r="N72" s="134" t="str">
        <f t="shared" si="39"/>
        <v>DCF Share Value as of 12/31/2024:</v>
      </c>
      <c r="O72" s="1042">
        <f t="shared" si="39"/>
        <v>520.1066763818468</v>
      </c>
      <c r="R72" s="1387" t="str">
        <f>C72</f>
        <v>Revenue and Operating Margins Drivers % Changes</v>
      </c>
      <c r="S72" s="1375"/>
      <c r="T72" s="1375"/>
      <c r="U72" s="1375"/>
      <c r="V72" s="1375"/>
      <c r="W72" s="1375"/>
      <c r="X72" s="1375"/>
      <c r="Y72" s="1375"/>
      <c r="Z72" s="1375"/>
      <c r="AA72" s="1375"/>
      <c r="AB72" s="1375"/>
      <c r="AC72" s="1375"/>
      <c r="AD72" s="1375"/>
      <c r="AE72" s="1375"/>
      <c r="AF72" s="1375"/>
      <c r="AG72" s="1375"/>
      <c r="AH72" s="1375"/>
      <c r="AI72" s="1375"/>
      <c r="AJ72" s="1375"/>
      <c r="AK72" s="1375"/>
      <c r="AL72" s="1375"/>
      <c r="AM72" s="1375"/>
      <c r="AN72" s="1375"/>
      <c r="AO72" s="1375"/>
      <c r="AP72" s="1375"/>
      <c r="AQ72" s="1375"/>
      <c r="AR72" s="1375"/>
      <c r="AS72" s="1375"/>
      <c r="AT72" s="1375"/>
      <c r="AU72" s="1375"/>
      <c r="AV72" s="1375"/>
      <c r="AW72" s="1375"/>
      <c r="AX72" s="1375"/>
      <c r="AY72" s="1375"/>
      <c r="AZ72" s="1375"/>
      <c r="BA72" s="1375"/>
      <c r="BB72" s="48"/>
      <c r="BC72" s="48"/>
      <c r="BD72" s="48"/>
      <c r="BE72" s="48"/>
      <c r="BF72" s="48"/>
      <c r="BG72" s="48"/>
      <c r="BH72" s="48"/>
      <c r="BI72" s="48"/>
      <c r="BJ72" s="48"/>
      <c r="BK72" s="48"/>
      <c r="BL72" s="48"/>
      <c r="BM72" s="48"/>
      <c r="BN72" s="48"/>
      <c r="BO72" s="48"/>
      <c r="BP72" s="48"/>
      <c r="BQ72" s="48"/>
      <c r="BR72" s="48"/>
      <c r="BS72" s="48"/>
      <c r="BT72" s="48"/>
      <c r="BU72" s="48"/>
      <c r="BV72" s="48"/>
      <c r="BW72" s="48"/>
      <c r="BX72" s="67" t="str">
        <f t="shared" si="40"/>
        <v>DCF Share Value as of 12/31/2024:</v>
      </c>
      <c r="BY72" s="65">
        <f t="shared" si="40"/>
        <v>520.1066763818468</v>
      </c>
      <c r="BZ72" s="48"/>
    </row>
    <row r="73" spans="1:78" ht="14.1" customHeight="1" x14ac:dyDescent="0.2">
      <c r="C73" s="147" t="str">
        <f>C5</f>
        <v>($ in millions, fiscal year ending December,31)</v>
      </c>
      <c r="D73" s="148"/>
      <c r="E73" s="148"/>
      <c r="F73" s="148"/>
      <c r="G73" s="148"/>
      <c r="H73" s="148"/>
      <c r="I73" s="148"/>
      <c r="J73" s="148"/>
      <c r="K73" s="148"/>
      <c r="L73" s="148"/>
      <c r="M73" s="148"/>
      <c r="N73" s="134" t="str">
        <f t="shared" si="39"/>
        <v>Market Share Price as of 12/31/2024:</v>
      </c>
      <c r="O73" s="1042">
        <f t="shared" si="39"/>
        <v>455.73</v>
      </c>
      <c r="R73" s="154" t="str">
        <f>C76&amp;" (Quarter X to Quarter X+1)"</f>
        <v>Operating Ratio %  (Quarter X to Quarter X+1)</v>
      </c>
      <c r="S73" s="152"/>
      <c r="T73" s="152"/>
      <c r="U73" s="152"/>
      <c r="V73" s="152"/>
      <c r="W73" s="152"/>
      <c r="X73" s="152"/>
      <c r="Y73" s="152"/>
      <c r="Z73" s="152"/>
      <c r="AA73" s="152"/>
      <c r="AB73" s="152"/>
      <c r="AC73" s="152"/>
      <c r="AD73" s="152"/>
      <c r="AE73" s="152"/>
      <c r="AF73" s="152"/>
      <c r="AG73" s="152"/>
      <c r="AH73" s="152"/>
      <c r="AI73" s="152"/>
      <c r="AJ73" s="152"/>
      <c r="AK73" s="152"/>
      <c r="AL73" s="152"/>
      <c r="AM73" s="152"/>
      <c r="AN73" s="152"/>
      <c r="AO73" s="152"/>
      <c r="AP73" s="152"/>
      <c r="AQ73" s="152"/>
      <c r="AR73" s="152"/>
      <c r="AS73" s="152"/>
      <c r="AT73" s="152"/>
      <c r="AU73" s="152"/>
      <c r="AV73" s="152"/>
      <c r="AW73" s="152"/>
      <c r="AX73" s="152"/>
      <c r="AY73" s="152"/>
      <c r="AZ73" s="152"/>
      <c r="BA73" s="152"/>
      <c r="BB73" s="153"/>
      <c r="BC73" s="153"/>
      <c r="BD73" s="153"/>
      <c r="BE73" s="153"/>
      <c r="BF73" s="153"/>
      <c r="BG73" s="153"/>
      <c r="BH73" s="153"/>
      <c r="BI73" s="153"/>
      <c r="BJ73" s="153"/>
      <c r="BK73" s="153"/>
      <c r="BL73" s="153"/>
      <c r="BM73" s="153"/>
      <c r="BN73" s="153"/>
      <c r="BO73" s="153"/>
      <c r="BP73" s="153"/>
      <c r="BQ73" s="153"/>
      <c r="BR73" s="153"/>
      <c r="BS73" s="153"/>
      <c r="BT73" s="153"/>
      <c r="BU73" s="153"/>
      <c r="BV73" s="153"/>
      <c r="BW73" s="153"/>
      <c r="BX73" s="321" t="str">
        <f t="shared" si="40"/>
        <v>Market Share Price as of 12/31/2024:</v>
      </c>
      <c r="BY73" s="322">
        <f t="shared" si="40"/>
        <v>455.73</v>
      </c>
      <c r="BZ73" s="153"/>
    </row>
    <row r="74" spans="1:78" ht="14.1" customHeight="1" x14ac:dyDescent="0.2">
      <c r="C74" s="170" t="s">
        <v>371</v>
      </c>
      <c r="D74" s="97">
        <f t="shared" ref="D74:O74" si="41">D7</f>
        <v>43100</v>
      </c>
      <c r="E74" s="98">
        <f t="shared" si="41"/>
        <v>43465</v>
      </c>
      <c r="F74" s="98">
        <f t="shared" si="41"/>
        <v>43830</v>
      </c>
      <c r="G74" s="98">
        <f t="shared" si="41"/>
        <v>44196</v>
      </c>
      <c r="H74" s="98">
        <f t="shared" si="41"/>
        <v>44561</v>
      </c>
      <c r="I74" s="98">
        <f t="shared" si="41"/>
        <v>44926</v>
      </c>
      <c r="J74" s="98">
        <f t="shared" si="41"/>
        <v>45291</v>
      </c>
      <c r="K74" s="137">
        <f t="shared" si="41"/>
        <v>45657</v>
      </c>
      <c r="L74" s="138">
        <f t="shared" si="41"/>
        <v>46022</v>
      </c>
      <c r="M74" s="138">
        <f t="shared" si="41"/>
        <v>46387</v>
      </c>
      <c r="N74" s="138">
        <f t="shared" si="41"/>
        <v>46752</v>
      </c>
      <c r="O74" s="139">
        <f t="shared" si="41"/>
        <v>47118</v>
      </c>
      <c r="R74" s="806" t="str">
        <f>C74</f>
        <v>OPEX As a % of Revenue &amp; Growth %</v>
      </c>
      <c r="S74" s="1367">
        <f>S5</f>
        <v>43100</v>
      </c>
      <c r="T74" s="1368"/>
      <c r="U74" s="1368"/>
      <c r="V74" s="1368"/>
      <c r="W74" s="1368"/>
      <c r="X74" s="1368">
        <f>X5</f>
        <v>43465</v>
      </c>
      <c r="Y74" s="1368"/>
      <c r="Z74" s="1368"/>
      <c r="AA74" s="1368"/>
      <c r="AB74" s="1368"/>
      <c r="AC74" s="1368">
        <f>AC5</f>
        <v>43830</v>
      </c>
      <c r="AD74" s="1368"/>
      <c r="AE74" s="1368"/>
      <c r="AF74" s="1368"/>
      <c r="AG74" s="1368"/>
      <c r="AH74" s="1368">
        <f>AH5</f>
        <v>44196</v>
      </c>
      <c r="AI74" s="1368"/>
      <c r="AJ74" s="1368"/>
      <c r="AK74" s="1368"/>
      <c r="AL74" s="1368"/>
      <c r="AM74" s="1368">
        <f>AM5</f>
        <v>44561</v>
      </c>
      <c r="AN74" s="1368"/>
      <c r="AO74" s="1368"/>
      <c r="AP74" s="1368"/>
      <c r="AQ74" s="1368"/>
      <c r="AR74" s="1368">
        <f>AR5</f>
        <v>44926</v>
      </c>
      <c r="AS74" s="1368"/>
      <c r="AT74" s="1368"/>
      <c r="AU74" s="1368"/>
      <c r="AV74" s="1368"/>
      <c r="AW74" s="1368">
        <f>AW5</f>
        <v>45291</v>
      </c>
      <c r="AX74" s="1368"/>
      <c r="AY74" s="1368"/>
      <c r="AZ74" s="1368"/>
      <c r="BA74" s="1368"/>
      <c r="BB74" s="1369">
        <f>BB5</f>
        <v>45657</v>
      </c>
      <c r="BC74" s="1369"/>
      <c r="BD74" s="1369"/>
      <c r="BE74" s="1369"/>
      <c r="BF74" s="1369"/>
      <c r="BG74" s="1365">
        <f>BG5</f>
        <v>46022</v>
      </c>
      <c r="BH74" s="1365"/>
      <c r="BI74" s="1365"/>
      <c r="BJ74" s="1365"/>
      <c r="BK74" s="1365"/>
      <c r="BL74" s="1365">
        <f>BL5</f>
        <v>46387</v>
      </c>
      <c r="BM74" s="1365"/>
      <c r="BN74" s="1365"/>
      <c r="BO74" s="1365"/>
      <c r="BP74" s="1365"/>
      <c r="BQ74" s="1365">
        <f>BQ5</f>
        <v>46752</v>
      </c>
      <c r="BR74" s="1365"/>
      <c r="BS74" s="1365"/>
      <c r="BT74" s="1365"/>
      <c r="BU74" s="1365"/>
      <c r="BV74" s="1365">
        <f>BV5</f>
        <v>47118</v>
      </c>
      <c r="BW74" s="1365"/>
      <c r="BX74" s="1365"/>
      <c r="BY74" s="1365"/>
      <c r="BZ74" s="1366"/>
    </row>
    <row r="75" spans="1:78" ht="14.1" customHeight="1" x14ac:dyDescent="0.2">
      <c r="R75" s="236"/>
      <c r="S75" s="96" t="str">
        <f t="shared" ref="S75:AX75" si="42">S34</f>
        <v>2017 Q1</v>
      </c>
      <c r="T75" s="140" t="str">
        <f t="shared" si="42"/>
        <v>2017 Q2</v>
      </c>
      <c r="U75" s="140" t="str">
        <f t="shared" si="42"/>
        <v>2017 Q3</v>
      </c>
      <c r="V75" s="140" t="str">
        <f t="shared" si="42"/>
        <v>2017 Q4</v>
      </c>
      <c r="W75" s="140" t="str">
        <f t="shared" si="42"/>
        <v>2017 FY</v>
      </c>
      <c r="X75" s="140" t="str">
        <f t="shared" si="42"/>
        <v>2018 Q1</v>
      </c>
      <c r="Y75" s="140" t="str">
        <f t="shared" si="42"/>
        <v>2018 Q2</v>
      </c>
      <c r="Z75" s="140" t="str">
        <f t="shared" si="42"/>
        <v>2018 Q3</v>
      </c>
      <c r="AA75" s="140" t="str">
        <f t="shared" si="42"/>
        <v>2018 Q4</v>
      </c>
      <c r="AB75" s="140" t="str">
        <f t="shared" si="42"/>
        <v>2018 FY</v>
      </c>
      <c r="AC75" s="140" t="str">
        <f t="shared" si="42"/>
        <v>2019 Q1</v>
      </c>
      <c r="AD75" s="140" t="str">
        <f t="shared" si="42"/>
        <v>2019 Q2</v>
      </c>
      <c r="AE75" s="140" t="str">
        <f t="shared" si="42"/>
        <v>2019 Q3</v>
      </c>
      <c r="AF75" s="140" t="str">
        <f t="shared" si="42"/>
        <v>2019 Q4</v>
      </c>
      <c r="AG75" s="140" t="str">
        <f t="shared" si="42"/>
        <v>2019 FY</v>
      </c>
      <c r="AH75" s="140" t="str">
        <f t="shared" si="42"/>
        <v>2020 Q1</v>
      </c>
      <c r="AI75" s="140" t="str">
        <f t="shared" si="42"/>
        <v>2020 Q2</v>
      </c>
      <c r="AJ75" s="140" t="str">
        <f t="shared" si="42"/>
        <v>2020 Q3</v>
      </c>
      <c r="AK75" s="140" t="str">
        <f t="shared" si="42"/>
        <v>2020 Q4</v>
      </c>
      <c r="AL75" s="140" t="str">
        <f t="shared" si="42"/>
        <v>2020 FY</v>
      </c>
      <c r="AM75" s="140" t="str">
        <f t="shared" si="42"/>
        <v>2021 Q1</v>
      </c>
      <c r="AN75" s="140" t="str">
        <f t="shared" si="42"/>
        <v>2021 Q2</v>
      </c>
      <c r="AO75" s="140" t="str">
        <f t="shared" si="42"/>
        <v>2021 Q3</v>
      </c>
      <c r="AP75" s="140" t="str">
        <f t="shared" si="42"/>
        <v>2021 Q4</v>
      </c>
      <c r="AQ75" s="140" t="str">
        <f t="shared" si="42"/>
        <v>2021 FY</v>
      </c>
      <c r="AR75" s="140" t="str">
        <f t="shared" si="42"/>
        <v>2022 Q1</v>
      </c>
      <c r="AS75" s="140" t="str">
        <f t="shared" si="42"/>
        <v>2022 Q2</v>
      </c>
      <c r="AT75" s="140" t="str">
        <f t="shared" si="42"/>
        <v>2022 Q3</v>
      </c>
      <c r="AU75" s="140" t="str">
        <f t="shared" si="42"/>
        <v>2022 Q4</v>
      </c>
      <c r="AV75" s="140" t="str">
        <f t="shared" si="42"/>
        <v>2022 FY</v>
      </c>
      <c r="AW75" s="140" t="str">
        <f t="shared" si="42"/>
        <v>2023 Q1</v>
      </c>
      <c r="AX75" s="140" t="str">
        <f t="shared" si="42"/>
        <v>2023 Q2</v>
      </c>
      <c r="AY75" s="140" t="str">
        <f t="shared" ref="AY75:BZ75" si="43">AY34</f>
        <v>2023 Q3</v>
      </c>
      <c r="AZ75" s="140" t="str">
        <f t="shared" si="43"/>
        <v>2023 Q4</v>
      </c>
      <c r="BA75" s="140" t="str">
        <f t="shared" si="43"/>
        <v>2023 FY</v>
      </c>
      <c r="BB75" s="140" t="str">
        <f t="shared" si="43"/>
        <v>2024 Q1</v>
      </c>
      <c r="BC75" s="140" t="str">
        <f t="shared" si="43"/>
        <v>2024 Q2</v>
      </c>
      <c r="BD75" s="140" t="str">
        <f t="shared" si="43"/>
        <v>2024 Q3</v>
      </c>
      <c r="BE75" s="141" t="str">
        <f t="shared" si="43"/>
        <v>2024 Q4</v>
      </c>
      <c r="BF75" s="141" t="str">
        <f t="shared" si="43"/>
        <v>2024 FY</v>
      </c>
      <c r="BG75" s="141" t="str">
        <f t="shared" si="43"/>
        <v>2025 Q1</v>
      </c>
      <c r="BH75" s="141" t="str">
        <f t="shared" si="43"/>
        <v>2025 Q2</v>
      </c>
      <c r="BI75" s="141" t="str">
        <f t="shared" si="43"/>
        <v>2025 Q3</v>
      </c>
      <c r="BJ75" s="141" t="str">
        <f t="shared" si="43"/>
        <v>2025 Q4</v>
      </c>
      <c r="BK75" s="141" t="str">
        <f t="shared" si="43"/>
        <v>2025 FY</v>
      </c>
      <c r="BL75" s="141" t="str">
        <f t="shared" si="43"/>
        <v>2026 Q1</v>
      </c>
      <c r="BM75" s="141" t="str">
        <f t="shared" si="43"/>
        <v>2026 Q2</v>
      </c>
      <c r="BN75" s="141" t="str">
        <f t="shared" si="43"/>
        <v>2026 Q3</v>
      </c>
      <c r="BO75" s="141" t="str">
        <f t="shared" si="43"/>
        <v>2026 Q4</v>
      </c>
      <c r="BP75" s="141" t="str">
        <f t="shared" si="43"/>
        <v>2026 FY</v>
      </c>
      <c r="BQ75" s="141" t="str">
        <f t="shared" si="43"/>
        <v>2027 Q1</v>
      </c>
      <c r="BR75" s="141" t="str">
        <f t="shared" si="43"/>
        <v>2027 Q2</v>
      </c>
      <c r="BS75" s="141" t="str">
        <f t="shared" si="43"/>
        <v>2027 Q3</v>
      </c>
      <c r="BT75" s="141" t="str">
        <f t="shared" si="43"/>
        <v>2027 Q4</v>
      </c>
      <c r="BU75" s="141" t="str">
        <f t="shared" si="43"/>
        <v>2027 FY</v>
      </c>
      <c r="BV75" s="141" t="str">
        <f t="shared" si="43"/>
        <v>2028 Q1</v>
      </c>
      <c r="BW75" s="141" t="str">
        <f t="shared" si="43"/>
        <v>2028 Q2</v>
      </c>
      <c r="BX75" s="141" t="str">
        <f t="shared" si="43"/>
        <v>2028 Q3</v>
      </c>
      <c r="BY75" s="141" t="str">
        <f t="shared" si="43"/>
        <v>2028 Q4</v>
      </c>
      <c r="BZ75" s="142" t="str">
        <f t="shared" si="43"/>
        <v>2028 FY</v>
      </c>
    </row>
    <row r="76" spans="1:78" s="101" customFormat="1" ht="14.1" customHeight="1" x14ac:dyDescent="0.2">
      <c r="A76"/>
      <c r="B76"/>
      <c r="C76" s="475" t="str">
        <f>'Income Statement'!C21</f>
        <v xml:space="preserve">Operating Ratio % </v>
      </c>
      <c r="D76" s="475">
        <f>'Income Statement'!D21</f>
        <v>0.93270677146699332</v>
      </c>
      <c r="E76" s="475">
        <f>'Income Statement'!E21</f>
        <v>0.914408147297607</v>
      </c>
      <c r="F76" s="475">
        <f>'Income Statement'!F21</f>
        <v>0.9148262053410271</v>
      </c>
      <c r="G76" s="475">
        <f>'Income Statement'!G21</f>
        <v>0.90243836858238125</v>
      </c>
      <c r="H76" s="475">
        <f>'Income Statement'!H21</f>
        <v>0.85526874598025782</v>
      </c>
      <c r="I76" s="475">
        <f>'Income Statement'!I21</f>
        <v>0.83147263827350248</v>
      </c>
      <c r="J76" s="475">
        <f>'Income Statement'!J21</f>
        <v>0.83986925949692381</v>
      </c>
      <c r="K76" s="475">
        <f>'Income Statement'!K21</f>
        <v>0.84745454153799182</v>
      </c>
      <c r="L76" s="475">
        <f>'Income Statement'!L21</f>
        <v>0.81759898930651032</v>
      </c>
      <c r="M76" s="475">
        <f>'Income Statement'!M21</f>
        <v>0.79830061728145463</v>
      </c>
      <c r="N76" s="475">
        <f>'Income Statement'!N21</f>
        <v>0.78562308698916883</v>
      </c>
      <c r="O76" s="475">
        <f>'Income Statement'!O21</f>
        <v>0.77384606658539778</v>
      </c>
      <c r="R76" s="474" t="str">
        <f>C76</f>
        <v xml:space="preserve">Operating Ratio % </v>
      </c>
      <c r="S76" s="474">
        <f>'Income Statement'!S21</f>
        <v>0.94534340276703066</v>
      </c>
      <c r="T76" s="474">
        <f>'Income Statement'!T21</f>
        <v>0.91670203261112349</v>
      </c>
      <c r="U76" s="474">
        <f>'Income Statement'!U21</f>
        <v>0.931769229450783</v>
      </c>
      <c r="V76" s="474">
        <f>'Income Statement'!V21</f>
        <v>0.93800332627192373</v>
      </c>
      <c r="W76" s="474">
        <f>'Income Statement'!W21</f>
        <v>0.93270677146699332</v>
      </c>
      <c r="X76" s="474">
        <f>'Income Statement'!X21</f>
        <v>0.92973612861343391</v>
      </c>
      <c r="Y76" s="474">
        <f>'Income Statement'!Y21</f>
        <v>0.9031492867339036</v>
      </c>
      <c r="Z76" s="474">
        <f>'Income Statement'!Z21</f>
        <v>0.90830243301798574</v>
      </c>
      <c r="AA76" s="474">
        <f>'Income Statement'!AA21</f>
        <v>0.91786109403810745</v>
      </c>
      <c r="AB76" s="474">
        <f>'Income Statement'!AB21</f>
        <v>0.914408147297607</v>
      </c>
      <c r="AC76" s="474">
        <f>'Income Statement'!AC21</f>
        <v>0.92996073885002806</v>
      </c>
      <c r="AD76" s="474">
        <f>'Income Statement'!AD21</f>
        <v>0.88971014336647325</v>
      </c>
      <c r="AE76" s="474">
        <f>'Income Statement'!AE21</f>
        <v>0.90230138774256707</v>
      </c>
      <c r="AF76" s="474">
        <f>'Income Statement'!AF21</f>
        <v>0.94036992314897383</v>
      </c>
      <c r="AG76" s="474">
        <f>'Income Statement'!AG21</f>
        <v>0.9148262053410271</v>
      </c>
      <c r="AH76" s="474">
        <f>'Income Statement'!AH21</f>
        <v>0.91624924954524678</v>
      </c>
      <c r="AI76" s="474">
        <f>'Income Statement'!AI21</f>
        <v>0.91430805952443595</v>
      </c>
      <c r="AJ76" s="474">
        <f>'Income Statement'!AJ21</f>
        <v>0.88595146393448732</v>
      </c>
      <c r="AK76" s="474">
        <f>'Income Statement'!AK21</f>
        <v>0.89574002795488605</v>
      </c>
      <c r="AL76" s="474">
        <f>'Income Statement'!AL21</f>
        <v>0.90243836858238125</v>
      </c>
      <c r="AM76" s="474">
        <f>'Income Statement'!AM21</f>
        <v>0.89977771993538191</v>
      </c>
      <c r="AN76" s="474">
        <f>'Income Statement'!AN21</f>
        <v>0.85497774502785595</v>
      </c>
      <c r="AO76" s="474">
        <f>'Income Statement'!AO21</f>
        <v>0.83403059965985948</v>
      </c>
      <c r="AP76" s="474">
        <f>'Income Statement'!AP21</f>
        <v>0.84183113724130199</v>
      </c>
      <c r="AQ76" s="474">
        <f>'Income Statement'!AQ21</f>
        <v>0.85526874598025782</v>
      </c>
      <c r="AR76" s="474">
        <f>'Income Statement'!AR21</f>
        <v>0.84351104631466878</v>
      </c>
      <c r="AS76" s="474">
        <f>'Income Statement'!AS21</f>
        <v>0.80415368973944223</v>
      </c>
      <c r="AT76" s="474">
        <f>'Income Statement'!AT21</f>
        <v>0.82390780208920167</v>
      </c>
      <c r="AU76" s="474">
        <f>'Income Statement'!AU21</f>
        <v>0.85881145478446796</v>
      </c>
      <c r="AV76" s="474">
        <f>'Income Statement'!AV21</f>
        <v>0.83147263827350248</v>
      </c>
      <c r="AW76" s="474">
        <f>'Income Statement'!AW21</f>
        <v>0.84978388730347376</v>
      </c>
      <c r="AX76" s="474">
        <f>'Income Statement'!AX21</f>
        <v>0.82666543818076599</v>
      </c>
      <c r="AY76" s="474">
        <f>'Income Statement'!AY21</f>
        <v>0.83377153148318262</v>
      </c>
      <c r="AZ76" s="474">
        <f>'Income Statement'!AZ21</f>
        <v>0.84965358951555736</v>
      </c>
      <c r="BA76" s="474">
        <f>'Income Statement'!BA21</f>
        <v>0.83986925949692381</v>
      </c>
      <c r="BB76" s="474">
        <f>'Income Statement'!BB21</f>
        <v>0.84346063396376414</v>
      </c>
      <c r="BC76" s="474">
        <f>'Income Statement'!BC21</f>
        <v>0.83234253757087806</v>
      </c>
      <c r="BD76" s="474">
        <f>'Income Statement'!BD21</f>
        <v>0.85063584858384311</v>
      </c>
      <c r="BE76" s="474">
        <f>'Income Statement'!BE21</f>
        <v>0.86364804540160778</v>
      </c>
      <c r="BF76" s="474">
        <f>'Income Statement'!BF21</f>
        <v>0.84745454153799182</v>
      </c>
      <c r="BG76" s="474">
        <f>'Income Statement'!BG21</f>
        <v>0.81004863347325984</v>
      </c>
      <c r="BH76" s="474">
        <f>'Income Statement'!BH21</f>
        <v>0.78304393310954823</v>
      </c>
      <c r="BI76" s="474">
        <f>'Income Statement'!BI21</f>
        <v>0.82761748933050738</v>
      </c>
      <c r="BJ76" s="474">
        <f>'Income Statement'!BJ21</f>
        <v>0.84997561038068048</v>
      </c>
      <c r="BK76" s="474">
        <f>'Income Statement'!BK21</f>
        <v>0.81759898930651032</v>
      </c>
      <c r="BL76" s="474">
        <f>'Income Statement'!BL21</f>
        <v>0.81108380571645389</v>
      </c>
      <c r="BM76" s="474">
        <f>'Income Statement'!BM21</f>
        <v>0.78567239734411243</v>
      </c>
      <c r="BN76" s="474">
        <f>'Income Statement'!BN21</f>
        <v>0.79332122641261094</v>
      </c>
      <c r="BO76" s="474">
        <f>'Income Statement'!BO21</f>
        <v>0.80445153436042705</v>
      </c>
      <c r="BP76" s="474">
        <f>'Income Statement'!BP21</f>
        <v>0.79830061728145463</v>
      </c>
      <c r="BQ76" s="474">
        <f>'Income Statement'!BQ21</f>
        <v>0.79778880017674392</v>
      </c>
      <c r="BR76" s="474">
        <f>'Income Statement'!BR21</f>
        <v>0.77236660410369606</v>
      </c>
      <c r="BS76" s="474">
        <f>'Income Statement'!BS21</f>
        <v>0.78195536753779582</v>
      </c>
      <c r="BT76" s="474">
        <f>'Income Statement'!BT21</f>
        <v>0.7917169403769686</v>
      </c>
      <c r="BU76" s="474">
        <f>'Income Statement'!BU21</f>
        <v>0.78562308698916883</v>
      </c>
      <c r="BV76" s="474">
        <f>'Income Statement'!BV21</f>
        <v>0.79179520550666216</v>
      </c>
      <c r="BW76" s="474">
        <f>'Income Statement'!BW21</f>
        <v>0.75932863406267137</v>
      </c>
      <c r="BX76" s="474">
        <f>'Income Statement'!BX21</f>
        <v>0.77121785934720388</v>
      </c>
      <c r="BY76" s="474">
        <f>'Income Statement'!BY21</f>
        <v>0.77506037863775423</v>
      </c>
      <c r="BZ76" s="474">
        <f>'Income Statement'!BZ21</f>
        <v>0.77384606658539778</v>
      </c>
    </row>
    <row r="77" spans="1:78" s="382" customFormat="1" ht="14.1" customHeight="1" x14ac:dyDescent="0.2">
      <c r="A77"/>
      <c r="B77"/>
      <c r="C77" s="408" t="str">
        <f>R77</f>
        <v>Salaries, Wages and employees’ benefits</v>
      </c>
      <c r="D77" s="401">
        <f>W77</f>
        <v>766.79</v>
      </c>
      <c r="E77" s="401">
        <f>AB77</f>
        <v>872.72199999999998</v>
      </c>
      <c r="F77" s="401">
        <f>AG77</f>
        <v>947.91099999999994</v>
      </c>
      <c r="G77" s="401">
        <f>AL77</f>
        <v>963.26</v>
      </c>
      <c r="H77" s="401">
        <f>AQ77</f>
        <v>1063.703</v>
      </c>
      <c r="I77" s="401">
        <f>AV77</f>
        <v>1169.539</v>
      </c>
      <c r="J77" s="401">
        <f>BA77</f>
        <v>1301.28</v>
      </c>
      <c r="K77" s="401">
        <f>BF77</f>
        <v>1499.2403737867096</v>
      </c>
      <c r="L77" s="401">
        <f>BK77</f>
        <v>1660.3417787515627</v>
      </c>
      <c r="M77" s="401">
        <f>BP77</f>
        <v>1861.4919786863479</v>
      </c>
      <c r="N77" s="401">
        <f>BU77</f>
        <v>2003.7724959687746</v>
      </c>
      <c r="O77" s="407">
        <f>BZ77</f>
        <v>2142.9574027372846</v>
      </c>
      <c r="R77" s="411" t="str">
        <f>'Income Statement'!R11</f>
        <v>Salaries, Wages and employees’ benefits</v>
      </c>
      <c r="S77" s="400">
        <f>'Income Statement'!S11</f>
        <v>180.90299999999999</v>
      </c>
      <c r="T77" s="401">
        <f>'Income Statement'!T11</f>
        <v>196.38800000000001</v>
      </c>
      <c r="U77" s="401">
        <f>'Income Statement'!U11</f>
        <v>194.92</v>
      </c>
      <c r="V77" s="401">
        <f>'Income Statement'!V11</f>
        <v>194.57899999999995</v>
      </c>
      <c r="W77" s="402">
        <f>'Income Statement'!W11</f>
        <v>766.79</v>
      </c>
      <c r="X77" s="400">
        <f>'Income Statement'!X11</f>
        <v>211.124</v>
      </c>
      <c r="Y77" s="401">
        <f>'Income Statement'!Y11</f>
        <v>220.40600000000001</v>
      </c>
      <c r="Z77" s="401">
        <f>'Income Statement'!Z11</f>
        <v>224.63499999999999</v>
      </c>
      <c r="AA77" s="401">
        <f>'Income Statement'!AA11</f>
        <v>216.55700000000002</v>
      </c>
      <c r="AB77" s="402">
        <f>'Income Statement'!AB11</f>
        <v>872.72199999999998</v>
      </c>
      <c r="AC77" s="400">
        <f>'Income Statement'!AC11</f>
        <v>220.352</v>
      </c>
      <c r="AD77" s="401">
        <f>'Income Statement'!AD11</f>
        <v>237.68899999999999</v>
      </c>
      <c r="AE77" s="401">
        <f>'Income Statement'!AE11</f>
        <v>250.16200000000001</v>
      </c>
      <c r="AF77" s="401">
        <f>'Income Statement'!AF11</f>
        <v>239.70799999999997</v>
      </c>
      <c r="AG77" s="402">
        <f>'Income Statement'!AG11</f>
        <v>947.91099999999994</v>
      </c>
      <c r="AH77" s="400">
        <f>'Income Statement'!AH11</f>
        <v>238.64500000000001</v>
      </c>
      <c r="AI77" s="401">
        <f>'Income Statement'!AI11</f>
        <v>224.27699999999999</v>
      </c>
      <c r="AJ77" s="401">
        <f>'Income Statement'!AJ11</f>
        <v>252.09200000000001</v>
      </c>
      <c r="AK77" s="401">
        <f>'Income Statement'!AK11</f>
        <v>248.24599999999998</v>
      </c>
      <c r="AL77" s="402">
        <f>'Income Statement'!AL11</f>
        <v>963.26</v>
      </c>
      <c r="AM77" s="400">
        <f>'Income Statement'!AM11</f>
        <v>244.43700000000001</v>
      </c>
      <c r="AN77" s="401">
        <f>'Income Statement'!AN11</f>
        <v>268.786</v>
      </c>
      <c r="AO77" s="401">
        <f>'Income Statement'!AO11</f>
        <v>277.084</v>
      </c>
      <c r="AP77" s="401">
        <f>'Income Statement'!AP11</f>
        <v>273.39599999999996</v>
      </c>
      <c r="AQ77" s="402">
        <f>'Income Statement'!AQ11</f>
        <v>1063.703</v>
      </c>
      <c r="AR77" s="400">
        <f>'Income Statement'!AR11</f>
        <v>289.46300000000002</v>
      </c>
      <c r="AS77" s="401">
        <f>'Income Statement'!AS11</f>
        <v>295.05200000000002</v>
      </c>
      <c r="AT77" s="401">
        <f>'Income Statement'!AT11</f>
        <v>297.24700000000001</v>
      </c>
      <c r="AU77" s="401">
        <f>'Income Statement'!AU11</f>
        <v>287.77699999999982</v>
      </c>
      <c r="AV77" s="402">
        <f>'Income Statement'!AV11</f>
        <v>1169.539</v>
      </c>
      <c r="AW77" s="400">
        <f>'Income Statement'!AW11</f>
        <v>298.95600000000002</v>
      </c>
      <c r="AX77" s="401">
        <f>'Income Statement'!AX11</f>
        <v>311.88799999999998</v>
      </c>
      <c r="AY77" s="401">
        <f>'Income Statement'!AY11</f>
        <v>344.60500000000002</v>
      </c>
      <c r="AZ77" s="401">
        <f>'Income Statement'!AZ11</f>
        <v>345.8309999999999</v>
      </c>
      <c r="BA77" s="402">
        <f>'Income Statement'!BA11</f>
        <v>1301.28</v>
      </c>
      <c r="BB77" s="400">
        <f>'Income Statement'!BB11</f>
        <v>341.71300000000002</v>
      </c>
      <c r="BC77" s="401">
        <f>'Income Statement'!BC11</f>
        <v>372.24</v>
      </c>
      <c r="BD77" s="401">
        <f>'Income Statement'!BD11</f>
        <v>398.13400000000001</v>
      </c>
      <c r="BE77" s="401">
        <f>BE78*BE11</f>
        <v>387.15337378670966</v>
      </c>
      <c r="BF77" s="402">
        <f>SUM(BB77:BE77)</f>
        <v>1499.2403737867096</v>
      </c>
      <c r="BG77" s="401">
        <f>BG78*BG11</f>
        <v>382.44093425329783</v>
      </c>
      <c r="BH77" s="401">
        <f>BH78*BH11</f>
        <v>413.45321114511353</v>
      </c>
      <c r="BI77" s="401">
        <f>BI78*BI11</f>
        <v>434.40253560832235</v>
      </c>
      <c r="BJ77" s="401">
        <f>BJ78*BJ11</f>
        <v>430.04509774482904</v>
      </c>
      <c r="BK77" s="402">
        <f>SUM(BG77:BJ77)</f>
        <v>1660.3417787515627</v>
      </c>
      <c r="BL77" s="401">
        <f>BL78*BL11</f>
        <v>434.23109908500942</v>
      </c>
      <c r="BM77" s="401">
        <f>BM78*BM11</f>
        <v>469.02983012393003</v>
      </c>
      <c r="BN77" s="401">
        <f>BN78*BN11</f>
        <v>482.00957837908152</v>
      </c>
      <c r="BO77" s="401">
        <f>BO78*BO11</f>
        <v>476.22147109832702</v>
      </c>
      <c r="BP77" s="402">
        <f>SUM(BL77:BO77)</f>
        <v>1861.4919786863479</v>
      </c>
      <c r="BQ77" s="401">
        <f>BQ78*BQ11</f>
        <v>459.72690889235923</v>
      </c>
      <c r="BR77" s="401">
        <f>BR78*BR11</f>
        <v>503.46146692435173</v>
      </c>
      <c r="BS77" s="401">
        <f>BS78*BS11</f>
        <v>529.78981872968347</v>
      </c>
      <c r="BT77" s="401">
        <f>BT78*BT11</f>
        <v>510.79430142238016</v>
      </c>
      <c r="BU77" s="402">
        <f>SUM(BQ77:BT77)</f>
        <v>2003.7724959687746</v>
      </c>
      <c r="BV77" s="401">
        <f>BV78*BV11</f>
        <v>497.57191139430211</v>
      </c>
      <c r="BW77" s="401">
        <f>BW78*BW11</f>
        <v>542.05033951768451</v>
      </c>
      <c r="BX77" s="401">
        <f>BX78*BX11</f>
        <v>571.0437324550918</v>
      </c>
      <c r="BY77" s="401">
        <f>BY78*BY11</f>
        <v>532.29141937020654</v>
      </c>
      <c r="BZ77" s="402">
        <f>SUM(BV77:BY77)</f>
        <v>2142.9574027372846</v>
      </c>
    </row>
    <row r="78" spans="1:78" s="263" customFormat="1" ht="14.1" customHeight="1" x14ac:dyDescent="0.2">
      <c r="A78"/>
      <c r="B78"/>
      <c r="C78" s="412" t="str">
        <f t="shared" ref="C78:C111" si="44">R78</f>
        <v>As a % of Revenue</v>
      </c>
      <c r="D78" s="430">
        <f>W78</f>
        <v>0.54587339814893254</v>
      </c>
      <c r="E78" s="430">
        <f>AB78</f>
        <v>0.5276914639728294</v>
      </c>
      <c r="F78" s="430">
        <f>AG78</f>
        <v>0.53052691081777659</v>
      </c>
      <c r="G78" s="430">
        <f>AL78</f>
        <v>0.52857658670102492</v>
      </c>
      <c r="H78" s="430">
        <f>AQ78</f>
        <v>0.46476215360308709</v>
      </c>
      <c r="I78" s="430">
        <f>AV78</f>
        <v>0.41888077499850473</v>
      </c>
      <c r="J78" s="430">
        <f>BA78</f>
        <v>0.45160862667984991</v>
      </c>
      <c r="K78" s="430">
        <f>BF78</f>
        <v>0.46718350758144372</v>
      </c>
      <c r="L78" s="430">
        <f>BK78</f>
        <v>0.46606464470975106</v>
      </c>
      <c r="M78" s="430">
        <f>BP78</f>
        <v>0.455008019734914</v>
      </c>
      <c r="N78" s="430">
        <f>BU78</f>
        <v>0.44988475984985743</v>
      </c>
      <c r="O78" s="431">
        <f>BZ78</f>
        <v>0.44568683701371259</v>
      </c>
      <c r="P78" s="382"/>
      <c r="Q78" s="382"/>
      <c r="R78" s="412" t="s">
        <v>370</v>
      </c>
      <c r="S78" s="405">
        <f>S77/'Income Statement'!S8</f>
        <v>0.55991519390881794</v>
      </c>
      <c r="T78" s="406">
        <f>T77/'Income Statement'!T8</f>
        <v>0.5483247710520438</v>
      </c>
      <c r="U78" s="406">
        <f>U77/'Income Statement'!U8</f>
        <v>0.55681564979917841</v>
      </c>
      <c r="V78" s="406">
        <f>V77/'Income Statement'!V8</f>
        <v>0.52111325661304075</v>
      </c>
      <c r="W78" s="404">
        <f>W77/'Income Statement'!W8</f>
        <v>0.54587339814893254</v>
      </c>
      <c r="X78" s="405">
        <f>X77/'Income Statement'!X8</f>
        <v>0.53747788342816405</v>
      </c>
      <c r="Y78" s="406">
        <f>Y77/'Income Statement'!Y8</f>
        <v>0.51408805500872334</v>
      </c>
      <c r="Z78" s="406">
        <f>Z77/'Income Statement'!Z8</f>
        <v>0.52785493065640254</v>
      </c>
      <c r="AA78" s="406">
        <f>AA77/'Income Statement'!AA8</f>
        <v>0.53240811309157998</v>
      </c>
      <c r="AB78" s="404">
        <f>AB77/'Income Statement'!AB8</f>
        <v>0.5276914639728294</v>
      </c>
      <c r="AC78" s="405">
        <f>AC77/'Income Statement'!AC8</f>
        <v>0.5366794614500322</v>
      </c>
      <c r="AD78" s="406">
        <f>AD77/'Income Statement'!AD8</f>
        <v>0.5120455842910846</v>
      </c>
      <c r="AE78" s="406">
        <f>AE77/'Income Statement'!AE8</f>
        <v>0.53351845098327755</v>
      </c>
      <c r="AF78" s="406">
        <f>AF77/'Income Statement'!AF8</f>
        <v>0.54102219764594373</v>
      </c>
      <c r="AG78" s="404">
        <f>AG77/'Income Statement'!AG8</f>
        <v>0.53052691081777659</v>
      </c>
      <c r="AH78" s="405">
        <f>AH77/'Income Statement'!AH8</f>
        <v>0.53460380469359048</v>
      </c>
      <c r="AI78" s="406">
        <f>AI77/'Income Statement'!AI8</f>
        <v>0.5364015555566185</v>
      </c>
      <c r="AJ78" s="406">
        <f>AJ77/'Income Statement'!AJ8</f>
        <v>0.52369259660887379</v>
      </c>
      <c r="AK78" s="406">
        <f>AK77/'Income Statement'!AK8</f>
        <v>0.5209976452415831</v>
      </c>
      <c r="AL78" s="404">
        <f>AL77/'Income Statement'!AL8</f>
        <v>0.52857658670102492</v>
      </c>
      <c r="AM78" s="405">
        <f>AM77/'Income Statement'!AM8</f>
        <v>0.50495791965691195</v>
      </c>
      <c r="AN78" s="406">
        <f>AN77/'Income Statement'!AN8</f>
        <v>0.47045418346218409</v>
      </c>
      <c r="AO78" s="406">
        <f>AO77/'Income Statement'!AO8</f>
        <v>0.44965401742246225</v>
      </c>
      <c r="AP78" s="406">
        <f>AP77/'Income Statement'!AP8</f>
        <v>0.44304718505350171</v>
      </c>
      <c r="AQ78" s="404">
        <f>AQ77/'Income Statement'!AQ8</f>
        <v>0.46476215360308709</v>
      </c>
      <c r="AR78" s="405">
        <f>AR77/'Income Statement'!AR8</f>
        <v>0.43777373808256309</v>
      </c>
      <c r="AS78" s="406">
        <f>AS77/'Income Statement'!AS8</f>
        <v>0.39574866475131248</v>
      </c>
      <c r="AT78" s="406">
        <f>AT77/'Income Statement'!AT8</f>
        <v>0.40743268897323187</v>
      </c>
      <c r="AU78" s="406">
        <f>AU77/'Income Statement'!AU8</f>
        <v>0.43886775878949436</v>
      </c>
      <c r="AV78" s="404">
        <f>AV77/'Income Statement'!AV8</f>
        <v>0.41888077499850473</v>
      </c>
      <c r="AW78" s="405">
        <f>AW77/'Income Statement'!AW8</f>
        <v>0.45259675868803323</v>
      </c>
      <c r="AX78" s="406">
        <f>AX77/'Income Statement'!AX8</f>
        <v>0.44900391867807238</v>
      </c>
      <c r="AY78" s="406">
        <f>AY77/'Income Statement'!AY8</f>
        <v>0.44456900911314545</v>
      </c>
      <c r="AZ78" s="406">
        <f>AZ77/'Income Statement'!AZ8</f>
        <v>0.46041308318644375</v>
      </c>
      <c r="BA78" s="404">
        <f>BA77/'Income Statement'!BA8</f>
        <v>0.45160862667984991</v>
      </c>
      <c r="BB78" s="405">
        <f>BB77/'Income Statement'!BB8</f>
        <v>0.45273492100294793</v>
      </c>
      <c r="BC78" s="406">
        <f>BC77/'Income Statement'!BC8</f>
        <v>0.4521624208618587</v>
      </c>
      <c r="BD78" s="406">
        <f>BD77/'Income Statement'!BD8</f>
        <v>0.47278539561075072</v>
      </c>
      <c r="BE78" s="406">
        <f>INDEX($BE$80:$BZ$83,MATCH($O$3,$C$46:$C$49,0),MATCH(BE$75,$BE$75:$BZ$75,0))</f>
        <v>0.49070000000000003</v>
      </c>
      <c r="BF78" s="404">
        <f>BF77/'Income Statement'!BF8</f>
        <v>0.46718350758144372</v>
      </c>
      <c r="BG78" s="405">
        <f>INDEX($BE$80:$BZ$83,MATCH($O$3,$C$46:$C$49,0),MATCH(BG$75,$BE$75:$BZ$75,0))</f>
        <v>0.46</v>
      </c>
      <c r="BH78" s="406">
        <f>INDEX($BE$80:$BZ$83,MATCH($O$3,$C$46:$C$49,0),MATCH(BH$75,$BE$75:$BZ$75,0))</f>
        <v>0.44950000000000001</v>
      </c>
      <c r="BI78" s="406">
        <f>INDEX($BE$80:$BZ$83,MATCH($O$3,$C$46:$C$49,0),MATCH(BI$75,$BE$75:$BZ$75,0))</f>
        <v>0.47189999999999999</v>
      </c>
      <c r="BJ78" s="406">
        <f>INDEX($BE$80:$BZ$83,MATCH($O$3,$C$46:$C$49,0),MATCH(BJ$75,$BE$75:$BZ$75,0))</f>
        <v>0.48280000000000001</v>
      </c>
      <c r="BK78" s="404">
        <f>BK77/'Income Statement'!BK8</f>
        <v>0.46606464470975106</v>
      </c>
      <c r="BL78" s="405">
        <f>INDEX($BE$80:$BZ$83,MATCH($O$3,$C$46:$C$49,0),MATCH(BL$75,$BE$75:$BZ$75,0))</f>
        <v>0.46080000000000004</v>
      </c>
      <c r="BM78" s="406">
        <f>INDEX($BE$80:$BZ$83,MATCH($O$3,$C$46:$C$49,0),MATCH(BM$75,$BE$75:$BZ$75,0))</f>
        <v>0.44780000000000003</v>
      </c>
      <c r="BN78" s="406">
        <f>INDEX($BE$80:$BZ$83,MATCH($O$3,$C$46:$C$49,0),MATCH(BN$75,$BE$75:$BZ$75,0))</f>
        <v>0.45680000000000004</v>
      </c>
      <c r="BO78" s="406">
        <f>INDEX($BE$80:$BZ$83,MATCH($O$3,$C$46:$C$49,0),MATCH(BO$75,$BE$75:$BZ$75,0))</f>
        <v>0.45519999999999999</v>
      </c>
      <c r="BP78" s="404">
        <f>BP77/'Income Statement'!BP8</f>
        <v>0.455008019734914</v>
      </c>
      <c r="BQ78" s="405">
        <f>INDEX($BE$80:$BZ$83,MATCH($O$3,$C$46:$C$49,0),MATCH(BQ$75,$BE$75:$BZ$75,0))</f>
        <v>0.4496</v>
      </c>
      <c r="BR78" s="406">
        <f>INDEX($BE$80:$BZ$83,MATCH($O$3,$C$46:$C$49,0),MATCH(BR$75,$BE$75:$BZ$75,0))</f>
        <v>0.44130000000000003</v>
      </c>
      <c r="BS78" s="406">
        <f>INDEX($BE$80:$BZ$83,MATCH($O$3,$C$46:$C$49,0),MATCH(BS$75,$BE$75:$BZ$75,0))</f>
        <v>0.4587</v>
      </c>
      <c r="BT78" s="406">
        <f>INDEX($BE$80:$BZ$83,MATCH($O$3,$C$46:$C$49,0),MATCH(BT$75,$BE$75:$BZ$75,0))</f>
        <v>0.44979999999999998</v>
      </c>
      <c r="BU78" s="404">
        <f>BU77/'Income Statement'!BU8</f>
        <v>0.44988475984985743</v>
      </c>
      <c r="BV78" s="405">
        <f>INDEX($BE$80:$BZ$83,MATCH($O$3,$C$46:$C$49,0),MATCH(BV$75,$BE$75:$BZ$75,0))</f>
        <v>0.45119999999999999</v>
      </c>
      <c r="BW78" s="406">
        <f>INDEX($BE$80:$BZ$83,MATCH($O$3,$C$46:$C$49,0),MATCH(BW$75,$BE$75:$BZ$75,0))</f>
        <v>0.43759999999999999</v>
      </c>
      <c r="BX78" s="406">
        <f>INDEX($BE$80:$BZ$83,MATCH($O$3,$C$46:$C$49,0),MATCH(BX$75,$BE$75:$BZ$75,0))</f>
        <v>0.45650000000000002</v>
      </c>
      <c r="BY78" s="406">
        <f>INDEX($BE$80:$BZ$83,MATCH($O$3,$C$46:$C$49,0),MATCH(BY$75,$BE$75:$BZ$75,0))</f>
        <v>0.43780000000000002</v>
      </c>
      <c r="BZ78" s="404">
        <f>BZ77/'Income Statement'!BZ8</f>
        <v>0.44568683701371259</v>
      </c>
    </row>
    <row r="79" spans="1:78" s="263" customFormat="1" ht="14.1" customHeight="1" x14ac:dyDescent="0.2">
      <c r="A79"/>
      <c r="B79"/>
      <c r="C79" s="802" t="str">
        <f>"Growth %"</f>
        <v>Growth %</v>
      </c>
      <c r="D79" s="803"/>
      <c r="E79" s="803">
        <f>IFERROR(E77/D77-1,"NM")</f>
        <v>0.13814994979068596</v>
      </c>
      <c r="F79" s="803">
        <f t="shared" ref="F79:O79" si="45">IFERROR(F77/E77-1,"NM")</f>
        <v>8.6154583017272302E-2</v>
      </c>
      <c r="G79" s="803">
        <f t="shared" si="45"/>
        <v>1.6192448447164498E-2</v>
      </c>
      <c r="H79" s="803">
        <f t="shared" si="45"/>
        <v>0.10427402778066153</v>
      </c>
      <c r="I79" s="803">
        <f t="shared" si="45"/>
        <v>9.9497698135663892E-2</v>
      </c>
      <c r="J79" s="803">
        <f t="shared" si="45"/>
        <v>0.11264352877501316</v>
      </c>
      <c r="K79" s="803">
        <f t="shared" si="45"/>
        <v>0.15212742360345932</v>
      </c>
      <c r="L79" s="803">
        <f t="shared" si="45"/>
        <v>0.10745535391229555</v>
      </c>
      <c r="M79" s="803">
        <f t="shared" si="45"/>
        <v>0.12114987559129742</v>
      </c>
      <c r="N79" s="803">
        <f t="shared" si="45"/>
        <v>7.643359139416428E-2</v>
      </c>
      <c r="O79" s="804">
        <f t="shared" si="45"/>
        <v>6.9461431898344195E-2</v>
      </c>
      <c r="P79" s="382"/>
      <c r="Q79" s="382"/>
      <c r="R79" s="412" t="str">
        <f>C79</f>
        <v>Growth %</v>
      </c>
      <c r="S79" s="405"/>
      <c r="T79" s="406"/>
      <c r="U79" s="406"/>
      <c r="V79" s="406"/>
      <c r="W79" s="404"/>
      <c r="X79" s="405">
        <f t="shared" ref="X79:BC79" si="46">IFERROR(X77/S77-1,"NM")</f>
        <v>0.16705637828007269</v>
      </c>
      <c r="Y79" s="406">
        <f t="shared" si="46"/>
        <v>0.12229871478909105</v>
      </c>
      <c r="Z79" s="406">
        <f t="shared" si="46"/>
        <v>0.15244715780833173</v>
      </c>
      <c r="AA79" s="406">
        <f t="shared" si="46"/>
        <v>0.1129515518118609</v>
      </c>
      <c r="AB79" s="404">
        <f t="shared" si="46"/>
        <v>0.13814994979068596</v>
      </c>
      <c r="AC79" s="405">
        <f t="shared" si="46"/>
        <v>4.3708910403364998E-2</v>
      </c>
      <c r="AD79" s="406">
        <f t="shared" si="46"/>
        <v>7.8414380733736744E-2</v>
      </c>
      <c r="AE79" s="406">
        <f t="shared" si="46"/>
        <v>0.11363767890132892</v>
      </c>
      <c r="AF79" s="406">
        <f t="shared" si="46"/>
        <v>0.10690487954672423</v>
      </c>
      <c r="AG79" s="404">
        <f t="shared" si="46"/>
        <v>8.6154583017272302E-2</v>
      </c>
      <c r="AH79" s="405">
        <f t="shared" si="46"/>
        <v>8.301717252396168E-2</v>
      </c>
      <c r="AI79" s="406">
        <f t="shared" si="46"/>
        <v>-5.6426675193214648E-2</v>
      </c>
      <c r="AJ79" s="406">
        <f t="shared" si="46"/>
        <v>7.7150006795596582E-3</v>
      </c>
      <c r="AK79" s="406">
        <f t="shared" si="46"/>
        <v>3.5618335641697474E-2</v>
      </c>
      <c r="AL79" s="404">
        <f t="shared" si="46"/>
        <v>1.6192448447164498E-2</v>
      </c>
      <c r="AM79" s="405">
        <f t="shared" si="46"/>
        <v>2.4270359739361869E-2</v>
      </c>
      <c r="AN79" s="406">
        <f t="shared" si="46"/>
        <v>0.1984554813913153</v>
      </c>
      <c r="AO79" s="406">
        <f t="shared" si="46"/>
        <v>9.9138409786903248E-2</v>
      </c>
      <c r="AP79" s="406">
        <f t="shared" si="46"/>
        <v>0.10131079654858488</v>
      </c>
      <c r="AQ79" s="404">
        <f t="shared" si="46"/>
        <v>0.10427402778066153</v>
      </c>
      <c r="AR79" s="405">
        <f t="shared" si="46"/>
        <v>0.18420288254233208</v>
      </c>
      <c r="AS79" s="406">
        <f t="shared" si="46"/>
        <v>9.7720863437827932E-2</v>
      </c>
      <c r="AT79" s="406">
        <f t="shared" si="46"/>
        <v>7.2768546722293603E-2</v>
      </c>
      <c r="AU79" s="406">
        <f t="shared" si="46"/>
        <v>5.2601354811335321E-2</v>
      </c>
      <c r="AV79" s="404">
        <f t="shared" si="46"/>
        <v>9.9497698135663892E-2</v>
      </c>
      <c r="AW79" s="405">
        <f t="shared" si="46"/>
        <v>3.2795210441403544E-2</v>
      </c>
      <c r="AX79" s="406">
        <f t="shared" si="46"/>
        <v>5.7061128207908984E-2</v>
      </c>
      <c r="AY79" s="406">
        <f t="shared" si="46"/>
        <v>0.15932204530239158</v>
      </c>
      <c r="AZ79" s="406">
        <f t="shared" si="46"/>
        <v>0.20173259155526724</v>
      </c>
      <c r="BA79" s="404">
        <f t="shared" si="46"/>
        <v>0.11264352877501316</v>
      </c>
      <c r="BB79" s="405">
        <f t="shared" si="46"/>
        <v>0.14302104657541581</v>
      </c>
      <c r="BC79" s="406">
        <f t="shared" si="46"/>
        <v>0.19350536089878423</v>
      </c>
      <c r="BD79" s="406">
        <f t="shared" ref="BD79:BZ79" si="47">IFERROR(BD77/AY77-1,"NM")</f>
        <v>0.15533436833476011</v>
      </c>
      <c r="BE79" s="406">
        <f t="shared" si="47"/>
        <v>0.11948718821247883</v>
      </c>
      <c r="BF79" s="404">
        <f t="shared" si="47"/>
        <v>0.15212742360345932</v>
      </c>
      <c r="BG79" s="405">
        <f t="shared" si="47"/>
        <v>0.11918754701547152</v>
      </c>
      <c r="BH79" s="406">
        <f t="shared" si="47"/>
        <v>0.11071677182762074</v>
      </c>
      <c r="BI79" s="406">
        <f t="shared" si="47"/>
        <v>9.1096303275586488E-2</v>
      </c>
      <c r="BJ79" s="406">
        <f t="shared" si="47"/>
        <v>0.11078742137411735</v>
      </c>
      <c r="BK79" s="404">
        <f t="shared" si="47"/>
        <v>0.10745535391229555</v>
      </c>
      <c r="BL79" s="405">
        <f t="shared" si="47"/>
        <v>0.13542003533913038</v>
      </c>
      <c r="BM79" s="406">
        <f t="shared" si="47"/>
        <v>0.13442057645383776</v>
      </c>
      <c r="BN79" s="406">
        <f t="shared" si="47"/>
        <v>0.10959200020343318</v>
      </c>
      <c r="BO79" s="406">
        <f t="shared" si="47"/>
        <v>0.10737565338065336</v>
      </c>
      <c r="BP79" s="404">
        <f t="shared" si="47"/>
        <v>0.12114987559129742</v>
      </c>
      <c r="BQ79" s="405">
        <f t="shared" si="47"/>
        <v>5.8714840694444437E-2</v>
      </c>
      <c r="BR79" s="406">
        <f t="shared" si="47"/>
        <v>7.3410334671728528E-2</v>
      </c>
      <c r="BS79" s="406">
        <f t="shared" si="47"/>
        <v>9.9127159487740979E-2</v>
      </c>
      <c r="BT79" s="406">
        <f t="shared" si="47"/>
        <v>7.2598218312829532E-2</v>
      </c>
      <c r="BU79" s="404">
        <f t="shared" si="47"/>
        <v>7.643359139416428E-2</v>
      </c>
      <c r="BV79" s="405">
        <f t="shared" si="47"/>
        <v>8.2320616370106681E-2</v>
      </c>
      <c r="BW79" s="406">
        <f t="shared" si="47"/>
        <v>7.6647122229775322E-2</v>
      </c>
      <c r="BX79" s="406">
        <f t="shared" si="47"/>
        <v>7.7868453237410096E-2</v>
      </c>
      <c r="BY79" s="406">
        <f t="shared" si="47"/>
        <v>4.20856651845265E-2</v>
      </c>
      <c r="BZ79" s="404">
        <f t="shared" si="47"/>
        <v>6.9461431898344195E-2</v>
      </c>
    </row>
    <row r="80" spans="1:78" s="263" customFormat="1" ht="14.1" customHeight="1" x14ac:dyDescent="0.2">
      <c r="A80"/>
      <c r="B80"/>
      <c r="C80" s="427" t="str">
        <f t="shared" si="44"/>
        <v>Reversed</v>
      </c>
      <c r="D80" s="401"/>
      <c r="E80" s="432"/>
      <c r="F80" s="432"/>
      <c r="G80" s="432"/>
      <c r="H80" s="432"/>
      <c r="I80" s="432"/>
      <c r="J80" s="432"/>
      <c r="K80" s="432"/>
      <c r="L80" s="432"/>
      <c r="M80" s="432"/>
      <c r="N80" s="432"/>
      <c r="O80" s="433"/>
      <c r="P80" s="382"/>
      <c r="Q80" s="382"/>
      <c r="R80" s="409" t="str">
        <f>C134</f>
        <v>Reversed</v>
      </c>
      <c r="S80" s="398"/>
      <c r="W80" s="264"/>
      <c r="X80" s="398"/>
      <c r="AB80" s="264"/>
      <c r="AC80" s="398"/>
      <c r="AG80" s="264"/>
      <c r="AH80" s="398"/>
      <c r="AL80" s="264"/>
      <c r="AM80" s="398"/>
      <c r="AQ80" s="264"/>
      <c r="AR80" s="398"/>
      <c r="AV80" s="264"/>
      <c r="AW80" s="398"/>
      <c r="BA80" s="264"/>
      <c r="BB80" s="398"/>
      <c r="BE80" s="1198">
        <v>0.49070000000000003</v>
      </c>
      <c r="BF80" s="1199"/>
      <c r="BG80" s="1200">
        <v>0.46150000000000002</v>
      </c>
      <c r="BH80" s="1198">
        <v>0.45100000000000001</v>
      </c>
      <c r="BI80" s="1198">
        <v>0.47339999999999999</v>
      </c>
      <c r="BJ80" s="1198">
        <v>0.48430000000000001</v>
      </c>
      <c r="BK80" s="1199"/>
      <c r="BL80" s="1200">
        <v>0.46200000000000002</v>
      </c>
      <c r="BM80" s="1198">
        <v>0.44900000000000001</v>
      </c>
      <c r="BN80" s="1198">
        <v>0.45800000000000002</v>
      </c>
      <c r="BO80" s="1198">
        <v>0.45639999999999997</v>
      </c>
      <c r="BP80" s="1199"/>
      <c r="BQ80" s="1200">
        <v>0.4506</v>
      </c>
      <c r="BR80" s="1198">
        <v>0.44230000000000003</v>
      </c>
      <c r="BS80" s="1198">
        <v>0.4597</v>
      </c>
      <c r="BT80" s="1198">
        <v>0.45079999999999998</v>
      </c>
      <c r="BU80" s="1199"/>
      <c r="BV80" s="1200">
        <v>0.45319999999999999</v>
      </c>
      <c r="BW80" s="1198">
        <v>0.43959999999999999</v>
      </c>
      <c r="BX80" s="1198">
        <v>0.45850000000000002</v>
      </c>
      <c r="BY80" s="1198">
        <v>0.43980000000000002</v>
      </c>
      <c r="BZ80" s="1199"/>
    </row>
    <row r="81" spans="1:78" s="263" customFormat="1" ht="14.1" customHeight="1" x14ac:dyDescent="0.2">
      <c r="A81"/>
      <c r="B81"/>
      <c r="C81" s="409" t="str">
        <f t="shared" si="44"/>
        <v>Base</v>
      </c>
      <c r="D81" s="382"/>
      <c r="E81" s="434"/>
      <c r="F81" s="434"/>
      <c r="G81" s="434"/>
      <c r="H81" s="434"/>
      <c r="I81" s="434"/>
      <c r="J81" s="434"/>
      <c r="K81" s="434"/>
      <c r="L81" s="434"/>
      <c r="M81" s="434"/>
      <c r="N81" s="434"/>
      <c r="O81" s="435"/>
      <c r="P81" s="382"/>
      <c r="Q81" s="382"/>
      <c r="R81" s="409" t="str">
        <f>C135</f>
        <v>Base</v>
      </c>
      <c r="S81" s="398"/>
      <c r="W81" s="264"/>
      <c r="X81" s="398"/>
      <c r="AB81" s="264"/>
      <c r="AC81" s="398"/>
      <c r="AG81" s="264"/>
      <c r="AH81" s="398"/>
      <c r="AL81" s="264"/>
      <c r="AM81" s="398"/>
      <c r="AQ81" s="264"/>
      <c r="AR81" s="398"/>
      <c r="AV81" s="264"/>
      <c r="AW81" s="398"/>
      <c r="BA81" s="264"/>
      <c r="BB81" s="398"/>
      <c r="BE81" s="1198">
        <v>0.49070000000000003</v>
      </c>
      <c r="BF81" s="1199"/>
      <c r="BG81" s="1200">
        <v>0.46</v>
      </c>
      <c r="BH81" s="1198">
        <v>0.44950000000000001</v>
      </c>
      <c r="BI81" s="1198">
        <v>0.47189999999999999</v>
      </c>
      <c r="BJ81" s="1198">
        <v>0.48280000000000001</v>
      </c>
      <c r="BK81" s="1199"/>
      <c r="BL81" s="1200">
        <v>0.46080000000000004</v>
      </c>
      <c r="BM81" s="1198">
        <v>0.44780000000000003</v>
      </c>
      <c r="BN81" s="1198">
        <v>0.45680000000000004</v>
      </c>
      <c r="BO81" s="1198">
        <v>0.45519999999999999</v>
      </c>
      <c r="BP81" s="1199"/>
      <c r="BQ81" s="1200">
        <v>0.4496</v>
      </c>
      <c r="BR81" s="1198">
        <v>0.44130000000000003</v>
      </c>
      <c r="BS81" s="1198">
        <v>0.4587</v>
      </c>
      <c r="BT81" s="1198">
        <v>0.44979999999999998</v>
      </c>
      <c r="BU81" s="1199"/>
      <c r="BV81" s="1200">
        <v>0.45119999999999999</v>
      </c>
      <c r="BW81" s="1198">
        <v>0.43759999999999999</v>
      </c>
      <c r="BX81" s="1198">
        <v>0.45650000000000002</v>
      </c>
      <c r="BY81" s="1198">
        <v>0.43780000000000002</v>
      </c>
      <c r="BZ81" s="1199"/>
    </row>
    <row r="82" spans="1:78" s="263" customFormat="1" ht="14.1" customHeight="1" x14ac:dyDescent="0.2">
      <c r="A82"/>
      <c r="B82"/>
      <c r="C82" s="409" t="str">
        <f t="shared" si="44"/>
        <v>Bull</v>
      </c>
      <c r="D82" s="382"/>
      <c r="E82" s="434"/>
      <c r="F82" s="434"/>
      <c r="G82" s="434"/>
      <c r="H82" s="434"/>
      <c r="I82" s="434"/>
      <c r="J82" s="434"/>
      <c r="K82" s="434"/>
      <c r="L82" s="434"/>
      <c r="M82" s="434"/>
      <c r="N82" s="434"/>
      <c r="O82" s="435"/>
      <c r="P82" s="382"/>
      <c r="Q82" s="382"/>
      <c r="R82" s="409" t="str">
        <f>C136</f>
        <v>Bull</v>
      </c>
      <c r="S82" s="398"/>
      <c r="W82" s="264"/>
      <c r="X82" s="398"/>
      <c r="AB82" s="264"/>
      <c r="AC82" s="398"/>
      <c r="AG82" s="264"/>
      <c r="AH82" s="398"/>
      <c r="AL82" s="264"/>
      <c r="AM82" s="398"/>
      <c r="AQ82" s="264"/>
      <c r="AR82" s="398"/>
      <c r="AV82" s="264"/>
      <c r="AW82" s="398"/>
      <c r="BA82" s="264"/>
      <c r="BB82" s="398"/>
      <c r="BE82" s="1198">
        <f>BE81</f>
        <v>0.49070000000000003</v>
      </c>
      <c r="BF82" s="1199"/>
      <c r="BG82" s="1200">
        <v>0.46</v>
      </c>
      <c r="BH82" s="1198">
        <v>0.44950000000000001</v>
      </c>
      <c r="BI82" s="1198">
        <v>0.47189999999999999</v>
      </c>
      <c r="BJ82" s="1198">
        <v>0.48280000000000001</v>
      </c>
      <c r="BK82" s="1199"/>
      <c r="BL82" s="1200">
        <v>0.46080000000000004</v>
      </c>
      <c r="BM82" s="1198">
        <v>0.44780000000000003</v>
      </c>
      <c r="BN82" s="1198">
        <v>0.45680000000000004</v>
      </c>
      <c r="BO82" s="1198">
        <v>0.45519999999999999</v>
      </c>
      <c r="BP82" s="1199"/>
      <c r="BQ82" s="1200">
        <v>0.4496</v>
      </c>
      <c r="BR82" s="1198">
        <v>0.44130000000000003</v>
      </c>
      <c r="BS82" s="1198">
        <v>0.4587</v>
      </c>
      <c r="BT82" s="1198">
        <v>0.44979999999999998</v>
      </c>
      <c r="BU82" s="1199"/>
      <c r="BV82" s="1200">
        <v>0.45119999999999999</v>
      </c>
      <c r="BW82" s="1198">
        <v>0.43759999999999999</v>
      </c>
      <c r="BX82" s="1198">
        <v>0.45650000000000002</v>
      </c>
      <c r="BY82" s="1198">
        <v>0.43780000000000002</v>
      </c>
      <c r="BZ82" s="1199"/>
    </row>
    <row r="83" spans="1:78" s="263" customFormat="1" ht="14.1" customHeight="1" x14ac:dyDescent="0.2">
      <c r="A83"/>
      <c r="B83"/>
      <c r="C83" s="410" t="str">
        <f t="shared" si="44"/>
        <v>Bear</v>
      </c>
      <c r="D83" s="428"/>
      <c r="E83" s="436"/>
      <c r="F83" s="436"/>
      <c r="G83" s="436"/>
      <c r="H83" s="436"/>
      <c r="I83" s="436"/>
      <c r="J83" s="436"/>
      <c r="K83" s="436"/>
      <c r="L83" s="436"/>
      <c r="M83" s="436"/>
      <c r="N83" s="436"/>
      <c r="O83" s="437"/>
      <c r="P83" s="382"/>
      <c r="Q83" s="382"/>
      <c r="R83" s="409" t="str">
        <f>C137</f>
        <v>Bear</v>
      </c>
      <c r="S83" s="399"/>
      <c r="T83" s="267"/>
      <c r="U83" s="267"/>
      <c r="V83" s="267"/>
      <c r="W83" s="268"/>
      <c r="X83" s="399"/>
      <c r="Y83" s="267"/>
      <c r="Z83" s="267"/>
      <c r="AA83" s="267"/>
      <c r="AB83" s="268"/>
      <c r="AC83" s="399"/>
      <c r="AD83" s="267"/>
      <c r="AE83" s="267"/>
      <c r="AF83" s="267"/>
      <c r="AG83" s="268"/>
      <c r="AH83" s="399"/>
      <c r="AI83" s="267"/>
      <c r="AJ83" s="267"/>
      <c r="AK83" s="267"/>
      <c r="AL83" s="268"/>
      <c r="AM83" s="399"/>
      <c r="AN83" s="267"/>
      <c r="AO83" s="267"/>
      <c r="AP83" s="267"/>
      <c r="AQ83" s="268"/>
      <c r="AR83" s="399"/>
      <c r="AS83" s="267"/>
      <c r="AT83" s="267"/>
      <c r="AU83" s="267"/>
      <c r="AV83" s="268"/>
      <c r="AW83" s="399"/>
      <c r="AX83" s="267"/>
      <c r="AY83" s="267"/>
      <c r="AZ83" s="267"/>
      <c r="BA83" s="268"/>
      <c r="BB83" s="399"/>
      <c r="BC83" s="267"/>
      <c r="BD83" s="267"/>
      <c r="BE83" s="1201">
        <f>BE82</f>
        <v>0.49070000000000003</v>
      </c>
      <c r="BF83" s="1202"/>
      <c r="BG83" s="1203">
        <f>BG81+0.06%</f>
        <v>0.46060000000000001</v>
      </c>
      <c r="BH83" s="1201">
        <f>BH81+0.06%</f>
        <v>0.4501</v>
      </c>
      <c r="BI83" s="1201">
        <f>BI81+0.06%</f>
        <v>0.47249999999999998</v>
      </c>
      <c r="BJ83" s="1201">
        <f>BJ81+0.06%</f>
        <v>0.4834</v>
      </c>
      <c r="BK83" s="1202"/>
      <c r="BL83" s="1203">
        <f>BL81+0.1%</f>
        <v>0.46180000000000004</v>
      </c>
      <c r="BM83" s="1201">
        <f>BM81+0.1%</f>
        <v>0.44880000000000003</v>
      </c>
      <c r="BN83" s="1201">
        <f>BN81+0.1%</f>
        <v>0.45780000000000004</v>
      </c>
      <c r="BO83" s="1201">
        <f>BO81+0.1%</f>
        <v>0.45619999999999999</v>
      </c>
      <c r="BP83" s="1202"/>
      <c r="BQ83" s="1203">
        <f>BQ81+0.7%</f>
        <v>0.45660000000000001</v>
      </c>
      <c r="BR83" s="1201">
        <f>BR81+0.07%</f>
        <v>0.442</v>
      </c>
      <c r="BS83" s="1201">
        <f>BS81+0.7%</f>
        <v>0.4657</v>
      </c>
      <c r="BT83" s="1201">
        <f>BT81+0.7%</f>
        <v>0.45679999999999998</v>
      </c>
      <c r="BU83" s="1202"/>
      <c r="BV83" s="1203">
        <f>BV81+0.12%</f>
        <v>0.45239999999999997</v>
      </c>
      <c r="BW83" s="1201">
        <f>BW81+1.2%</f>
        <v>0.4496</v>
      </c>
      <c r="BX83" s="1201">
        <f>BX81+0.2%</f>
        <v>0.45850000000000002</v>
      </c>
      <c r="BY83" s="1201">
        <f>BY81+0.3%</f>
        <v>0.44080000000000003</v>
      </c>
      <c r="BZ83" s="1202"/>
    </row>
    <row r="84" spans="1:78" s="382" customFormat="1" ht="14.1" customHeight="1" x14ac:dyDescent="0.2">
      <c r="A84"/>
      <c r="B84"/>
      <c r="C84" s="408" t="str">
        <f t="shared" si="44"/>
        <v>Purchased transportation</v>
      </c>
      <c r="D84" s="401">
        <f>W84</f>
        <v>107.702</v>
      </c>
      <c r="E84" s="401">
        <f>AB84</f>
        <v>123.904</v>
      </c>
      <c r="F84" s="401">
        <f>AG84</f>
        <v>129.97999999999999</v>
      </c>
      <c r="G84" s="401">
        <f>AL84</f>
        <v>141.369</v>
      </c>
      <c r="H84" s="401">
        <f>AQ84</f>
        <v>249.71</v>
      </c>
      <c r="I84" s="401">
        <f>AV84</f>
        <v>315.89600000000002</v>
      </c>
      <c r="J84" s="401">
        <f>BA84</f>
        <v>238.68799999999999</v>
      </c>
      <c r="K84" s="401">
        <f>BF84</f>
        <v>235.94469026420032</v>
      </c>
      <c r="L84" s="401">
        <f>BK84</f>
        <v>213.86106872031104</v>
      </c>
      <c r="M84" s="401">
        <f>BP84</f>
        <v>224.17052372744092</v>
      </c>
      <c r="N84" s="401">
        <f>BU84</f>
        <v>217.30544496696015</v>
      </c>
      <c r="O84" s="407">
        <f>BZ84</f>
        <v>235.0305610709222</v>
      </c>
      <c r="R84" s="411" t="str">
        <f>'Income Statement'!R12</f>
        <v>Purchased transportation</v>
      </c>
      <c r="S84" s="400">
        <f>'Income Statement'!S12</f>
        <v>20.82</v>
      </c>
      <c r="T84" s="401">
        <f>'Income Statement'!T12</f>
        <v>22.363</v>
      </c>
      <c r="U84" s="401">
        <f>'Income Statement'!U12</f>
        <v>23.074000000000002</v>
      </c>
      <c r="V84" s="401">
        <f>'Income Statement'!V12</f>
        <v>41.444999999999993</v>
      </c>
      <c r="W84" s="402">
        <f>'Income Statement'!W12</f>
        <v>107.702</v>
      </c>
      <c r="X84" s="400">
        <f>'Income Statement'!X12</f>
        <v>29.916</v>
      </c>
      <c r="Y84" s="401">
        <f>'Income Statement'!Y12</f>
        <v>34.113</v>
      </c>
      <c r="Z84" s="401">
        <f>'Income Statement'!Z12</f>
        <v>31.216000000000001</v>
      </c>
      <c r="AA84" s="401">
        <f>'Income Statement'!AA12</f>
        <v>28.658999999999992</v>
      </c>
      <c r="AB84" s="402">
        <f>'Income Statement'!AB12</f>
        <v>123.904</v>
      </c>
      <c r="AC84" s="400">
        <f>'Income Statement'!AC12</f>
        <v>28.417999999999999</v>
      </c>
      <c r="AD84" s="401">
        <f>'Income Statement'!AD12</f>
        <v>34.154000000000003</v>
      </c>
      <c r="AE84" s="401">
        <f>'Income Statement'!AE12</f>
        <v>35.843000000000004</v>
      </c>
      <c r="AF84" s="401">
        <f>'Income Statement'!AF12</f>
        <v>31.564999999999984</v>
      </c>
      <c r="AG84" s="402">
        <f>'Income Statement'!AG12</f>
        <v>129.97999999999999</v>
      </c>
      <c r="AH84" s="400">
        <f>'Income Statement'!AH12</f>
        <v>30.059000000000001</v>
      </c>
      <c r="AI84" s="401">
        <f>'Income Statement'!AI12</f>
        <v>26.405999999999999</v>
      </c>
      <c r="AJ84" s="401">
        <f>'Income Statement'!AJ12</f>
        <v>40.052999999999997</v>
      </c>
      <c r="AK84" s="401">
        <f>'Income Statement'!AK12</f>
        <v>44.850999999999999</v>
      </c>
      <c r="AL84" s="402">
        <f>'Income Statement'!AL12</f>
        <v>141.369</v>
      </c>
      <c r="AM84" s="400">
        <f>'Income Statement'!AM12</f>
        <v>45.030999999999999</v>
      </c>
      <c r="AN84" s="401">
        <f>'Income Statement'!AN12</f>
        <v>62.481000000000002</v>
      </c>
      <c r="AO84" s="401">
        <f>'Income Statement'!AO12</f>
        <v>72.192999999999998</v>
      </c>
      <c r="AP84" s="401">
        <f>'Income Statement'!AP12</f>
        <v>70.005000000000024</v>
      </c>
      <c r="AQ84" s="402">
        <f>'Income Statement'!AQ12</f>
        <v>249.71</v>
      </c>
      <c r="AR84" s="400">
        <f>'Income Statement'!AR12</f>
        <v>78.248000000000005</v>
      </c>
      <c r="AS84" s="401">
        <f>'Income Statement'!AS12</f>
        <v>91.819000000000003</v>
      </c>
      <c r="AT84" s="401">
        <f>'Income Statement'!AT12</f>
        <v>85.451999999999998</v>
      </c>
      <c r="AU84" s="401">
        <f>'Income Statement'!AU12</f>
        <v>60.37700000000001</v>
      </c>
      <c r="AV84" s="402">
        <f>'Income Statement'!AV12</f>
        <v>315.89600000000002</v>
      </c>
      <c r="AW84" s="400">
        <f>'Income Statement'!AW12</f>
        <v>46.726999999999997</v>
      </c>
      <c r="AX84" s="401">
        <f>'Income Statement'!AX12</f>
        <v>49.771000000000001</v>
      </c>
      <c r="AY84" s="401">
        <f>'Income Statement'!AY12</f>
        <v>76.745999999999995</v>
      </c>
      <c r="AZ84" s="401">
        <f>'Income Statement'!AZ12</f>
        <v>65.444000000000017</v>
      </c>
      <c r="BA84" s="402">
        <f>'Income Statement'!BA12</f>
        <v>238.68799999999999</v>
      </c>
      <c r="BB84" s="400">
        <f>'Income Statement'!BB12</f>
        <v>52.506999999999998</v>
      </c>
      <c r="BC84" s="401">
        <f>'Income Statement'!BC12</f>
        <v>61.046999999999997</v>
      </c>
      <c r="BD84" s="401">
        <f>'Income Statement'!BD12</f>
        <v>65.584000000000003</v>
      </c>
      <c r="BE84" s="401">
        <f>BE85*BE11</f>
        <v>56.806690264200306</v>
      </c>
      <c r="BF84" s="402">
        <f>SUM(BB84:BE84)</f>
        <v>235.94469026420032</v>
      </c>
      <c r="BG84" s="401">
        <f>BG85*BG11</f>
        <v>39.491183428329663</v>
      </c>
      <c r="BH84" s="401">
        <f>BH85*BH11</f>
        <v>47.002133680790436</v>
      </c>
      <c r="BI84" s="401">
        <f>BI85*BI11</f>
        <v>63.056947847361911</v>
      </c>
      <c r="BJ84" s="401">
        <f>BJ85*BJ11</f>
        <v>64.310803763829028</v>
      </c>
      <c r="BK84" s="402">
        <f>SUM(BG84:BJ84)</f>
        <v>213.86106872031104</v>
      </c>
      <c r="BL84" s="400">
        <f>BL85*BL11</f>
        <v>41.65150733410897</v>
      </c>
      <c r="BM84" s="401">
        <f>BM85*BM11</f>
        <v>54.570018198876177</v>
      </c>
      <c r="BN84" s="401">
        <f>BN85*BN11</f>
        <v>61.411903374918005</v>
      </c>
      <c r="BO84" s="401">
        <f>BO85*BO11</f>
        <v>66.537094819537785</v>
      </c>
      <c r="BP84" s="402">
        <f>SUM(BL84:BO84)</f>
        <v>224.17052372744092</v>
      </c>
      <c r="BQ84" s="400">
        <f>BQ85*BQ11</f>
        <v>44.070795759031768</v>
      </c>
      <c r="BR84" s="401">
        <f>BR85*BR11</f>
        <v>53.620414560264059</v>
      </c>
      <c r="BS84" s="401">
        <f>BS85*BS11</f>
        <v>56.247578312918208</v>
      </c>
      <c r="BT84" s="401">
        <f>BT85*BT11</f>
        <v>63.366656334746132</v>
      </c>
      <c r="BU84" s="402">
        <f>SUM(BQ84:BT84)</f>
        <v>217.30544496696015</v>
      </c>
      <c r="BV84" s="400">
        <f>BV85*BV11</f>
        <v>47.309031469006115</v>
      </c>
      <c r="BW84" s="401">
        <f>BW85*BW11</f>
        <v>58.218386556972519</v>
      </c>
      <c r="BX84" s="401">
        <f>BX85*BX11</f>
        <v>61.294946090469864</v>
      </c>
      <c r="BY84" s="401">
        <f>BY85*BY11</f>
        <v>68.208196954473692</v>
      </c>
      <c r="BZ84" s="402">
        <f>SUM(BV84:BY84)</f>
        <v>235.0305610709222</v>
      </c>
    </row>
    <row r="85" spans="1:78" s="382" customFormat="1" ht="14.1" customHeight="1" x14ac:dyDescent="0.2">
      <c r="A85"/>
      <c r="B85"/>
      <c r="C85" s="412" t="str">
        <f t="shared" si="44"/>
        <v>As a % of Revenue</v>
      </c>
      <c r="D85" s="430">
        <f>W85</f>
        <v>7.6672435383137935E-2</v>
      </c>
      <c r="E85" s="430">
        <f>AB85</f>
        <v>7.4918568744788666E-2</v>
      </c>
      <c r="F85" s="430">
        <f>AG85</f>
        <v>7.2747217690368182E-2</v>
      </c>
      <c r="G85" s="430">
        <f>AL85</f>
        <v>7.757442796891513E-2</v>
      </c>
      <c r="H85" s="430">
        <f>AQ85</f>
        <v>0.10910541511702693</v>
      </c>
      <c r="I85" s="430">
        <f>AV85</f>
        <v>0.113140956649524</v>
      </c>
      <c r="J85" s="430">
        <f>BA85</f>
        <v>8.2836560836222803E-2</v>
      </c>
      <c r="K85" s="430">
        <f>BF85</f>
        <v>7.3523545603587301E-2</v>
      </c>
      <c r="L85" s="430">
        <f>BK85</f>
        <v>6.0031665941289017E-2</v>
      </c>
      <c r="M85" s="430">
        <f>BP85</f>
        <v>5.4794426864058936E-2</v>
      </c>
      <c r="N85" s="430">
        <f>BU85</f>
        <v>4.8789175477609081E-2</v>
      </c>
      <c r="O85" s="431">
        <f>BZ85</f>
        <v>4.888105905952967E-2</v>
      </c>
      <c r="R85" s="412" t="str">
        <f>R78</f>
        <v>As a % of Revenue</v>
      </c>
      <c r="S85" s="405">
        <f>S84/'Income Statement'!S8</f>
        <v>6.4440248847070475E-2</v>
      </c>
      <c r="T85" s="406">
        <f>T84/'Income Statement'!T8</f>
        <v>6.243857493857493E-2</v>
      </c>
      <c r="U85" s="406">
        <f>U84/'Income Statement'!U8</f>
        <v>6.5914038084682144E-2</v>
      </c>
      <c r="V85" s="406">
        <f>V84/'Income Statement'!V8</f>
        <v>0.11099624790099383</v>
      </c>
      <c r="W85" s="404">
        <f>W84/'Income Statement'!W8</f>
        <v>7.6672435383137935E-2</v>
      </c>
      <c r="X85" s="405">
        <f>X84/'Income Statement'!X8</f>
        <v>7.6159926681177686E-2</v>
      </c>
      <c r="Y85" s="406">
        <f>Y84/'Income Statement'!Y8</f>
        <v>7.9567188826586296E-2</v>
      </c>
      <c r="Z85" s="406">
        <f>Z84/'Income Statement'!Z8</f>
        <v>7.3352413984331302E-2</v>
      </c>
      <c r="AA85" s="406">
        <f>AA84/'Income Statement'!AA8</f>
        <v>7.0458512599877093E-2</v>
      </c>
      <c r="AB85" s="404">
        <f>AB84/'Income Statement'!AB8</f>
        <v>7.4918568744788666E-2</v>
      </c>
      <c r="AC85" s="405">
        <f>AC84/'Income Statement'!AC8</f>
        <v>6.9213607934064642E-2</v>
      </c>
      <c r="AD85" s="406">
        <f>AD84/'Income Statement'!AD8</f>
        <v>7.3576837320522628E-2</v>
      </c>
      <c r="AE85" s="406">
        <f>AE84/'Income Statement'!AE8</f>
        <v>7.6442072891141022E-2</v>
      </c>
      <c r="AF85" s="406">
        <f>AF84/'Income Statement'!AF8</f>
        <v>7.1242368501235706E-2</v>
      </c>
      <c r="AG85" s="404">
        <f>AG84/'Income Statement'!AG8</f>
        <v>7.2747217690368182E-2</v>
      </c>
      <c r="AH85" s="405">
        <f>AH84/'Income Statement'!AH8</f>
        <v>6.7337072912839718E-2</v>
      </c>
      <c r="AI85" s="406">
        <f>AI84/'Income Statement'!AI8</f>
        <v>6.3155024706180618E-2</v>
      </c>
      <c r="AJ85" s="406">
        <f>AJ84/'Income Statement'!AJ8</f>
        <v>8.3205574044298181E-2</v>
      </c>
      <c r="AK85" s="406">
        <f>AK84/'Income Statement'!AK8</f>
        <v>9.4129473936056349E-2</v>
      </c>
      <c r="AL85" s="404">
        <f>AL84/'Income Statement'!AL8</f>
        <v>7.757442796891513E-2</v>
      </c>
      <c r="AM85" s="405">
        <f>AM84/'Income Statement'!AM8</f>
        <v>9.3025033362667681E-2</v>
      </c>
      <c r="AN85" s="406">
        <f>AN84/'Income Statement'!AN8</f>
        <v>0.10936004046676807</v>
      </c>
      <c r="AO85" s="406">
        <f>AO84/'Income Statement'!AO8</f>
        <v>0.11715534812468355</v>
      </c>
      <c r="AP85" s="406">
        <f>AP84/'Income Statement'!AP8</f>
        <v>0.11344539857814454</v>
      </c>
      <c r="AQ85" s="404">
        <f>AQ84/'Income Statement'!AQ8</f>
        <v>0.10910541511702693</v>
      </c>
      <c r="AR85" s="405">
        <f>AR84/'Income Statement'!AR8</f>
        <v>0.11833954411266516</v>
      </c>
      <c r="AS85" s="406">
        <f>AS84/'Income Statement'!AS8</f>
        <v>0.12315539853585389</v>
      </c>
      <c r="AT85" s="406">
        <f>AT84/'Income Statement'!AT8</f>
        <v>0.11712797147873857</v>
      </c>
      <c r="AU85" s="406">
        <f>AU84/'Income Statement'!AU8</f>
        <v>9.2076568566748979E-2</v>
      </c>
      <c r="AV85" s="404">
        <f>AV84/'Income Statement'!AV8</f>
        <v>0.113140956649524</v>
      </c>
      <c r="AW85" s="405">
        <f>AW84/'Income Statement'!AW8</f>
        <v>7.0741141650328895E-2</v>
      </c>
      <c r="AX85" s="406">
        <f>AX84/'Income Statement'!AX8</f>
        <v>7.1651920037084926E-2</v>
      </c>
      <c r="AY85" s="406">
        <f>AY84/'Income Statement'!AY8</f>
        <v>9.9008700318908474E-2</v>
      </c>
      <c r="AZ85" s="406">
        <f>AZ84/'Income Statement'!AZ8</f>
        <v>8.7127162735710917E-2</v>
      </c>
      <c r="BA85" s="404">
        <f>BA84/'Income Statement'!BA8</f>
        <v>8.2836560836222803E-2</v>
      </c>
      <c r="BB85" s="405">
        <f>BB84/'Income Statement'!BB8</f>
        <v>6.9566427080918147E-2</v>
      </c>
      <c r="BC85" s="406">
        <f>BC84/'Income Statement'!BC8</f>
        <v>7.4154199726933934E-2</v>
      </c>
      <c r="BD85" s="406">
        <f>BD84/'Income Statement'!BD8</f>
        <v>7.7881209305750015E-2</v>
      </c>
      <c r="BE85" s="406">
        <f>INDEX($BE$87:$BZ$90,MATCH($O$3,$C$46:$C$49,0),MATCH(BE$75,$BE$75:$BZ$75,0))</f>
        <v>7.1999999999999995E-2</v>
      </c>
      <c r="BF85" s="404">
        <f>BF84/'Income Statement'!BF8</f>
        <v>7.3523545603587301E-2</v>
      </c>
      <c r="BG85" s="406">
        <f>INDEX($BE$87:$BZ$90,MATCH($O$3,$C$46:$C$49,0),MATCH(BG$75,$BE$75:$BZ$75,0))</f>
        <v>4.7500000000000001E-2</v>
      </c>
      <c r="BH85" s="406">
        <f>INDEX($BE$87:$BZ$90,MATCH($O$3,$C$46:$C$49,0),MATCH(BH$75,$BE$75:$BZ$75,0))</f>
        <v>5.11E-2</v>
      </c>
      <c r="BI85" s="406">
        <f>INDEX($BE$87:$BZ$90,MATCH($O$3,$C$46:$C$49,0),MATCH(BI$75,$BE$75:$BZ$75,0))</f>
        <v>6.8500000000000005E-2</v>
      </c>
      <c r="BJ85" s="406">
        <f>INDEX($BE$87:$BZ$90,MATCH($O$3,$C$46:$C$49,0),MATCH(BJ$75,$BE$75:$BZ$75,0))</f>
        <v>7.22E-2</v>
      </c>
      <c r="BK85" s="404">
        <f>BK84/'Income Statement'!BK8</f>
        <v>6.0031665941289017E-2</v>
      </c>
      <c r="BL85" s="405">
        <f>INDEX($BE$87:$BZ$90,MATCH($O$3,$C$46:$C$49,0),MATCH(BL$75,$BE$75:$BZ$75,0))</f>
        <v>4.4199999999999996E-2</v>
      </c>
      <c r="BM85" s="406">
        <f>INDEX($BE$87:$BZ$90,MATCH($O$3,$C$46:$C$49,0),MATCH(BM$75,$BE$75:$BZ$75,0))</f>
        <v>5.21E-2</v>
      </c>
      <c r="BN85" s="406">
        <f>INDEX($BE$87:$BZ$90,MATCH($O$3,$C$46:$C$49,0),MATCH(BN$75,$BE$75:$BZ$75,0))</f>
        <v>5.8200000000000002E-2</v>
      </c>
      <c r="BO85" s="406">
        <f>INDEX($BE$87:$BZ$90,MATCH($O$3,$C$46:$C$49,0),MATCH(BO$75,$BE$75:$BZ$75,0))</f>
        <v>6.3600000000000004E-2</v>
      </c>
      <c r="BP85" s="404">
        <f>BP84/'Income Statement'!BP8</f>
        <v>5.4794426864058936E-2</v>
      </c>
      <c r="BQ85" s="405">
        <f>INDEX($BE$87:$BZ$90,MATCH($O$3,$C$46:$C$49,0),MATCH(BQ$75,$BE$75:$BZ$75,0))</f>
        <v>4.3099999999999999E-2</v>
      </c>
      <c r="BR85" s="406">
        <f>INDEX($BE$87:$BZ$90,MATCH($O$3,$C$46:$C$49,0),MATCH(BR$75,$BE$75:$BZ$75,0))</f>
        <v>4.7E-2</v>
      </c>
      <c r="BS85" s="406">
        <f>INDEX($BE$87:$BZ$90,MATCH($O$3,$C$46:$C$49,0),MATCH(BS$75,$BE$75:$BZ$75,0))</f>
        <v>4.87E-2</v>
      </c>
      <c r="BT85" s="406">
        <f>INDEX($BE$87:$BZ$90,MATCH($O$3,$C$46:$C$49,0),MATCH(BT$75,$BE$75:$BZ$75,0))</f>
        <v>5.5799999999999995E-2</v>
      </c>
      <c r="BU85" s="404">
        <f>BU84/'Income Statement'!BU8</f>
        <v>4.8789175477609081E-2</v>
      </c>
      <c r="BV85" s="405">
        <f>INDEX($BE$87:$BZ$90,MATCH($O$3,$C$46:$C$49,0),MATCH(BV$75,$BE$75:$BZ$75,0))</f>
        <v>4.2900000000000001E-2</v>
      </c>
      <c r="BW85" s="406">
        <f>INDEX($BE$87:$BZ$90,MATCH($O$3,$C$46:$C$49,0),MATCH(BW$75,$BE$75:$BZ$75,0))</f>
        <v>4.7E-2</v>
      </c>
      <c r="BX85" s="406">
        <f>INDEX($BE$87:$BZ$90,MATCH($O$3,$C$46:$C$49,0),MATCH(BX$75,$BE$75:$BZ$75,0))</f>
        <v>4.8999999999999995E-2</v>
      </c>
      <c r="BY85" s="406">
        <f>INDEX($BE$87:$BZ$90,MATCH($O$3,$C$46:$C$49,0),MATCH(BY$75,$BE$75:$BZ$75,0))</f>
        <v>5.6099999999999997E-2</v>
      </c>
      <c r="BZ85" s="404">
        <f>BZ84/'Income Statement'!BZ8</f>
        <v>4.888105905952967E-2</v>
      </c>
    </row>
    <row r="86" spans="1:78" s="382" customFormat="1" ht="14.1" customHeight="1" x14ac:dyDescent="0.2">
      <c r="A86"/>
      <c r="B86"/>
      <c r="C86" s="802" t="str">
        <f>C79</f>
        <v>Growth %</v>
      </c>
      <c r="D86" s="805"/>
      <c r="E86" s="803">
        <f t="shared" ref="E86:O86" si="48">IFERROR(E84/D84-1,"NM")</f>
        <v>0.1504336038327978</v>
      </c>
      <c r="F86" s="803">
        <f t="shared" si="48"/>
        <v>4.9037964876033069E-2</v>
      </c>
      <c r="G86" s="803">
        <f t="shared" si="48"/>
        <v>8.7621172488075105E-2</v>
      </c>
      <c r="H86" s="803">
        <f t="shared" si="48"/>
        <v>0.76637027919840994</v>
      </c>
      <c r="I86" s="803">
        <f t="shared" si="48"/>
        <v>0.26505145969324428</v>
      </c>
      <c r="J86" s="803">
        <f t="shared" si="48"/>
        <v>-0.24440955251095309</v>
      </c>
      <c r="K86" s="803">
        <f t="shared" si="48"/>
        <v>-1.1493287202539171E-2</v>
      </c>
      <c r="L86" s="803">
        <f t="shared" si="48"/>
        <v>-9.3596603166449799E-2</v>
      </c>
      <c r="M86" s="803">
        <f t="shared" si="48"/>
        <v>4.8206319499004557E-2</v>
      </c>
      <c r="N86" s="803">
        <f t="shared" si="48"/>
        <v>-3.0624359734412354E-2</v>
      </c>
      <c r="O86" s="804">
        <f t="shared" si="48"/>
        <v>8.1567749517997834E-2</v>
      </c>
      <c r="R86" s="412" t="str">
        <f>C86</f>
        <v>Growth %</v>
      </c>
      <c r="S86" s="405"/>
      <c r="T86" s="406"/>
      <c r="U86" s="406"/>
      <c r="V86" s="406"/>
      <c r="W86" s="404"/>
      <c r="X86" s="405">
        <f t="shared" ref="X86:BC86" si="49">IFERROR(X84/S84-1,"NM")</f>
        <v>0.43688760806916416</v>
      </c>
      <c r="Y86" s="406">
        <f t="shared" si="49"/>
        <v>0.52542145508205529</v>
      </c>
      <c r="Z86" s="406">
        <f t="shared" si="49"/>
        <v>0.35286469619485139</v>
      </c>
      <c r="AA86" s="406">
        <f t="shared" si="49"/>
        <v>-0.30850524791892875</v>
      </c>
      <c r="AB86" s="404">
        <f t="shared" si="49"/>
        <v>0.1504336038327978</v>
      </c>
      <c r="AC86" s="405">
        <f t="shared" si="49"/>
        <v>-5.0073539243214338E-2</v>
      </c>
      <c r="AD86" s="406">
        <f t="shared" si="49"/>
        <v>1.2018878433441849E-3</v>
      </c>
      <c r="AE86" s="406">
        <f t="shared" si="49"/>
        <v>0.148225269092773</v>
      </c>
      <c r="AF86" s="406">
        <f t="shared" si="49"/>
        <v>0.10139921141700659</v>
      </c>
      <c r="AG86" s="404">
        <f t="shared" si="49"/>
        <v>4.9037964876033069E-2</v>
      </c>
      <c r="AH86" s="405">
        <f t="shared" si="49"/>
        <v>5.7745091139418836E-2</v>
      </c>
      <c r="AI86" s="406">
        <f t="shared" si="49"/>
        <v>-0.22685483398723438</v>
      </c>
      <c r="AJ86" s="406">
        <f t="shared" si="49"/>
        <v>0.11745668610328353</v>
      </c>
      <c r="AK86" s="406">
        <f t="shared" si="49"/>
        <v>0.42090923491208687</v>
      </c>
      <c r="AL86" s="404">
        <f t="shared" si="49"/>
        <v>8.7621172488075105E-2</v>
      </c>
      <c r="AM86" s="405">
        <f t="shared" si="49"/>
        <v>0.49808709537908769</v>
      </c>
      <c r="AN86" s="406">
        <f t="shared" si="49"/>
        <v>1.3661667802772097</v>
      </c>
      <c r="AO86" s="406">
        <f t="shared" si="49"/>
        <v>0.80243677127805668</v>
      </c>
      <c r="AP86" s="406">
        <f t="shared" si="49"/>
        <v>0.56083476399634402</v>
      </c>
      <c r="AQ86" s="404">
        <f t="shared" si="49"/>
        <v>0.76637027919840994</v>
      </c>
      <c r="AR86" s="405">
        <f t="shared" si="49"/>
        <v>0.73764739845883964</v>
      </c>
      <c r="AS86" s="406">
        <f t="shared" si="49"/>
        <v>0.46955074342600156</v>
      </c>
      <c r="AT86" s="406">
        <f t="shared" si="49"/>
        <v>0.18366046569612005</v>
      </c>
      <c r="AU86" s="406">
        <f t="shared" si="49"/>
        <v>-0.13753303335476053</v>
      </c>
      <c r="AV86" s="404">
        <f t="shared" si="49"/>
        <v>0.26505145969324428</v>
      </c>
      <c r="AW86" s="405">
        <f t="shared" si="49"/>
        <v>-0.40283457724159089</v>
      </c>
      <c r="AX86" s="406">
        <f t="shared" si="49"/>
        <v>-0.4579444341585075</v>
      </c>
      <c r="AY86" s="406">
        <f t="shared" si="49"/>
        <v>-0.10188175818003098</v>
      </c>
      <c r="AZ86" s="406">
        <f t="shared" si="49"/>
        <v>8.3922685790946971E-2</v>
      </c>
      <c r="BA86" s="404">
        <f t="shared" si="49"/>
        <v>-0.24440955251095309</v>
      </c>
      <c r="BB86" s="405">
        <f t="shared" si="49"/>
        <v>0.12369722002268491</v>
      </c>
      <c r="BC86" s="406">
        <f t="shared" si="49"/>
        <v>0.22655763396355288</v>
      </c>
      <c r="BD86" s="406">
        <f t="shared" ref="BD86:BZ86" si="50">IFERROR(BD84/AY84-1,"NM")</f>
        <v>-0.1454408047324941</v>
      </c>
      <c r="BE86" s="406">
        <f t="shared" si="50"/>
        <v>-0.13198016221196307</v>
      </c>
      <c r="BF86" s="404">
        <f t="shared" si="50"/>
        <v>-1.1493287202539171E-2</v>
      </c>
      <c r="BG86" s="406">
        <f t="shared" si="50"/>
        <v>-0.24788726401566141</v>
      </c>
      <c r="BH86" s="406">
        <f t="shared" si="50"/>
        <v>-0.23006644584024705</v>
      </c>
      <c r="BI86" s="406">
        <f t="shared" si="50"/>
        <v>-3.8531534408363211E-2</v>
      </c>
      <c r="BJ86" s="406">
        <f t="shared" si="50"/>
        <v>0.13209911481778103</v>
      </c>
      <c r="BK86" s="404">
        <f t="shared" si="50"/>
        <v>-9.3596603166449799E-2</v>
      </c>
      <c r="BL86" s="405">
        <f t="shared" si="50"/>
        <v>5.4703954610526129E-2</v>
      </c>
      <c r="BM86" s="406">
        <f t="shared" si="50"/>
        <v>0.1610115100195697</v>
      </c>
      <c r="BN86" s="406">
        <f t="shared" si="50"/>
        <v>-2.6088234978102087E-2</v>
      </c>
      <c r="BO86" s="406">
        <f t="shared" si="50"/>
        <v>3.4617683583685999E-2</v>
      </c>
      <c r="BP86" s="404">
        <f t="shared" si="50"/>
        <v>4.8206319499004557E-2</v>
      </c>
      <c r="BQ86" s="405">
        <f t="shared" si="50"/>
        <v>5.8084054570135768E-2</v>
      </c>
      <c r="BR86" s="406">
        <f t="shared" si="50"/>
        <v>-1.7401563531669773E-2</v>
      </c>
      <c r="BS86" s="406">
        <f t="shared" si="50"/>
        <v>-8.4093225876288757E-2</v>
      </c>
      <c r="BT86" s="406">
        <f t="shared" si="50"/>
        <v>-4.764918716981148E-2</v>
      </c>
      <c r="BU86" s="404">
        <f t="shared" si="50"/>
        <v>-3.0624359734412354E-2</v>
      </c>
      <c r="BV86" s="405">
        <f t="shared" si="50"/>
        <v>7.3478040371229625E-2</v>
      </c>
      <c r="BW86" s="406">
        <f t="shared" si="50"/>
        <v>8.5750399999999782E-2</v>
      </c>
      <c r="BX86" s="406">
        <f t="shared" si="50"/>
        <v>8.9734845995893098E-2</v>
      </c>
      <c r="BY86" s="406">
        <f t="shared" si="50"/>
        <v>7.6405177419354819E-2</v>
      </c>
      <c r="BZ86" s="404">
        <f t="shared" si="50"/>
        <v>8.1567749517997834E-2</v>
      </c>
    </row>
    <row r="87" spans="1:78" s="382" customFormat="1" ht="14.1" customHeight="1" x14ac:dyDescent="0.2">
      <c r="A87"/>
      <c r="B87"/>
      <c r="C87" s="427" t="str">
        <f t="shared" si="44"/>
        <v>Reversed</v>
      </c>
      <c r="D87" s="401"/>
      <c r="E87" s="432"/>
      <c r="F87" s="432"/>
      <c r="G87" s="432"/>
      <c r="H87" s="432"/>
      <c r="I87" s="432"/>
      <c r="J87" s="432"/>
      <c r="K87" s="432"/>
      <c r="L87" s="432"/>
      <c r="M87" s="432"/>
      <c r="N87" s="432"/>
      <c r="O87" s="433"/>
      <c r="R87" s="409" t="str">
        <f>R80</f>
        <v>Reversed</v>
      </c>
      <c r="S87" s="398"/>
      <c r="T87" s="263"/>
      <c r="U87" s="263"/>
      <c r="V87" s="263"/>
      <c r="W87" s="264"/>
      <c r="X87" s="398"/>
      <c r="Y87" s="263"/>
      <c r="Z87" s="263"/>
      <c r="AA87" s="263"/>
      <c r="AB87" s="264"/>
      <c r="AC87" s="398"/>
      <c r="AD87" s="263"/>
      <c r="AE87" s="263"/>
      <c r="AF87" s="263"/>
      <c r="AG87" s="264"/>
      <c r="AH87" s="398"/>
      <c r="AI87" s="263"/>
      <c r="AJ87" s="263"/>
      <c r="AK87" s="263"/>
      <c r="AL87" s="264"/>
      <c r="AM87" s="398"/>
      <c r="AN87" s="263"/>
      <c r="AO87" s="263"/>
      <c r="AP87" s="263"/>
      <c r="AQ87" s="264"/>
      <c r="AR87" s="398"/>
      <c r="AS87" s="263"/>
      <c r="AT87" s="263"/>
      <c r="AU87" s="263"/>
      <c r="AV87" s="264"/>
      <c r="AW87" s="398"/>
      <c r="AX87" s="263"/>
      <c r="AY87" s="263"/>
      <c r="AZ87" s="263"/>
      <c r="BA87" s="264"/>
      <c r="BB87" s="398"/>
      <c r="BC87" s="263"/>
      <c r="BD87" s="263"/>
      <c r="BE87" s="1198">
        <v>7.1999999999999995E-2</v>
      </c>
      <c r="BF87" s="1199"/>
      <c r="BG87" s="1200">
        <v>4.8500000000000001E-2</v>
      </c>
      <c r="BH87" s="1198">
        <v>5.21E-2</v>
      </c>
      <c r="BI87" s="1198">
        <v>6.9500000000000006E-2</v>
      </c>
      <c r="BJ87" s="1198">
        <v>7.3200000000000001E-2</v>
      </c>
      <c r="BK87" s="1199"/>
      <c r="BL87" s="1200">
        <v>4.5199999999999997E-2</v>
      </c>
      <c r="BM87" s="1198">
        <v>5.3100000000000001E-2</v>
      </c>
      <c r="BN87" s="1198">
        <v>5.9200000000000003E-2</v>
      </c>
      <c r="BO87" s="1198">
        <v>6.4600000000000005E-2</v>
      </c>
      <c r="BP87" s="1199"/>
      <c r="BQ87" s="1200">
        <v>4.5100000000000001E-2</v>
      </c>
      <c r="BR87" s="1198">
        <v>4.9000000000000002E-2</v>
      </c>
      <c r="BS87" s="1198">
        <v>5.0700000000000002E-2</v>
      </c>
      <c r="BT87" s="1198">
        <v>5.7799999999999997E-2</v>
      </c>
      <c r="BU87" s="1199"/>
      <c r="BV87" s="1200">
        <v>4.4900000000000002E-2</v>
      </c>
      <c r="BW87" s="1198">
        <v>4.9000000000000002E-2</v>
      </c>
      <c r="BX87" s="1198">
        <v>5.0999999999999997E-2</v>
      </c>
      <c r="BY87" s="1198">
        <v>5.8099999999999999E-2</v>
      </c>
      <c r="BZ87" s="1199"/>
    </row>
    <row r="88" spans="1:78" s="382" customFormat="1" ht="14.1" customHeight="1" x14ac:dyDescent="0.2">
      <c r="A88"/>
      <c r="B88"/>
      <c r="C88" s="409" t="str">
        <f t="shared" si="44"/>
        <v>Base</v>
      </c>
      <c r="E88" s="434"/>
      <c r="F88" s="434"/>
      <c r="G88" s="434"/>
      <c r="H88" s="434"/>
      <c r="I88" s="434"/>
      <c r="J88" s="434"/>
      <c r="K88" s="434"/>
      <c r="L88" s="434"/>
      <c r="M88" s="434"/>
      <c r="N88" s="434"/>
      <c r="O88" s="435"/>
      <c r="R88" s="409" t="str">
        <f>R81</f>
        <v>Base</v>
      </c>
      <c r="S88" s="398"/>
      <c r="T88" s="263"/>
      <c r="U88" s="263"/>
      <c r="V88" s="263"/>
      <c r="W88" s="264"/>
      <c r="X88" s="398"/>
      <c r="Y88" s="263"/>
      <c r="Z88" s="263"/>
      <c r="AA88" s="263"/>
      <c r="AB88" s="264"/>
      <c r="AC88" s="398"/>
      <c r="AD88" s="263"/>
      <c r="AE88" s="263"/>
      <c r="AF88" s="263"/>
      <c r="AG88" s="264"/>
      <c r="AH88" s="398"/>
      <c r="AI88" s="263"/>
      <c r="AJ88" s="263"/>
      <c r="AK88" s="263"/>
      <c r="AL88" s="264"/>
      <c r="AM88" s="398"/>
      <c r="AN88" s="263"/>
      <c r="AO88" s="263"/>
      <c r="AP88" s="263"/>
      <c r="AQ88" s="264"/>
      <c r="AR88" s="398"/>
      <c r="AS88" s="263"/>
      <c r="AT88" s="263"/>
      <c r="AU88" s="263"/>
      <c r="AV88" s="264"/>
      <c r="AW88" s="398"/>
      <c r="AX88" s="263"/>
      <c r="AY88" s="263"/>
      <c r="AZ88" s="263"/>
      <c r="BA88" s="264"/>
      <c r="BB88" s="398"/>
      <c r="BC88" s="263"/>
      <c r="BD88" s="263"/>
      <c r="BE88" s="1198">
        <v>7.1999999999999995E-2</v>
      </c>
      <c r="BF88" s="1199"/>
      <c r="BG88" s="1200">
        <v>4.7500000000000001E-2</v>
      </c>
      <c r="BH88" s="1198">
        <v>5.11E-2</v>
      </c>
      <c r="BI88" s="1198">
        <v>6.8500000000000005E-2</v>
      </c>
      <c r="BJ88" s="1198">
        <v>7.22E-2</v>
      </c>
      <c r="BK88" s="1199"/>
      <c r="BL88" s="1200">
        <v>4.4199999999999996E-2</v>
      </c>
      <c r="BM88" s="1198">
        <v>5.21E-2</v>
      </c>
      <c r="BN88" s="1198">
        <v>5.8200000000000002E-2</v>
      </c>
      <c r="BO88" s="1198">
        <v>6.3600000000000004E-2</v>
      </c>
      <c r="BP88" s="1199"/>
      <c r="BQ88" s="1200">
        <v>4.3099999999999999E-2</v>
      </c>
      <c r="BR88" s="1198">
        <v>4.7E-2</v>
      </c>
      <c r="BS88" s="1198">
        <v>4.87E-2</v>
      </c>
      <c r="BT88" s="1198">
        <v>5.5799999999999995E-2</v>
      </c>
      <c r="BU88" s="1199"/>
      <c r="BV88" s="1200">
        <v>4.2900000000000001E-2</v>
      </c>
      <c r="BW88" s="1198">
        <v>4.7E-2</v>
      </c>
      <c r="BX88" s="1198">
        <v>4.8999999999999995E-2</v>
      </c>
      <c r="BY88" s="1198">
        <v>5.6099999999999997E-2</v>
      </c>
      <c r="BZ88" s="1199"/>
    </row>
    <row r="89" spans="1:78" s="382" customFormat="1" ht="14.1" customHeight="1" x14ac:dyDescent="0.2">
      <c r="A89"/>
      <c r="B89"/>
      <c r="C89" s="409" t="str">
        <f t="shared" si="44"/>
        <v>Bull</v>
      </c>
      <c r="E89" s="434"/>
      <c r="F89" s="434"/>
      <c r="G89" s="434"/>
      <c r="H89" s="434"/>
      <c r="I89" s="434"/>
      <c r="J89" s="434"/>
      <c r="K89" s="434"/>
      <c r="L89" s="434"/>
      <c r="M89" s="434"/>
      <c r="N89" s="434"/>
      <c r="O89" s="435"/>
      <c r="R89" s="409" t="str">
        <f>R82</f>
        <v>Bull</v>
      </c>
      <c r="S89" s="398"/>
      <c r="T89" s="263"/>
      <c r="U89" s="263"/>
      <c r="V89" s="263"/>
      <c r="W89" s="264"/>
      <c r="X89" s="398"/>
      <c r="Y89" s="263"/>
      <c r="Z89" s="263"/>
      <c r="AA89" s="263"/>
      <c r="AB89" s="264"/>
      <c r="AC89" s="398"/>
      <c r="AD89" s="263"/>
      <c r="AE89" s="263"/>
      <c r="AF89" s="263"/>
      <c r="AG89" s="264"/>
      <c r="AH89" s="398"/>
      <c r="AI89" s="263"/>
      <c r="AJ89" s="263"/>
      <c r="AK89" s="263"/>
      <c r="AL89" s="264"/>
      <c r="AM89" s="398"/>
      <c r="AN89" s="263"/>
      <c r="AO89" s="263"/>
      <c r="AP89" s="263"/>
      <c r="AQ89" s="264"/>
      <c r="AR89" s="398"/>
      <c r="AS89" s="263"/>
      <c r="AT89" s="263"/>
      <c r="AU89" s="263"/>
      <c r="AV89" s="264"/>
      <c r="AW89" s="398"/>
      <c r="AX89" s="263"/>
      <c r="AY89" s="263"/>
      <c r="AZ89" s="263"/>
      <c r="BA89" s="264"/>
      <c r="BB89" s="398"/>
      <c r="BC89" s="263"/>
      <c r="BD89" s="263"/>
      <c r="BE89" s="1198">
        <f>BE88</f>
        <v>7.1999999999999995E-2</v>
      </c>
      <c r="BF89" s="1199"/>
      <c r="BG89" s="1200">
        <v>4.7E-2</v>
      </c>
      <c r="BH89" s="1198">
        <v>5.0599999999999999E-2</v>
      </c>
      <c r="BI89" s="1198">
        <v>6.8000000000000005E-2</v>
      </c>
      <c r="BJ89" s="1198">
        <v>7.17E-2</v>
      </c>
      <c r="BK89" s="1199"/>
      <c r="BL89" s="1200">
        <v>4.2699999999999995E-2</v>
      </c>
      <c r="BM89" s="1198">
        <v>5.0599999999999999E-2</v>
      </c>
      <c r="BN89" s="1198">
        <v>5.67E-2</v>
      </c>
      <c r="BO89" s="1198">
        <v>6.2100000000000002E-2</v>
      </c>
      <c r="BP89" s="1199"/>
      <c r="BQ89" s="1200">
        <v>4.1599999999999998E-2</v>
      </c>
      <c r="BR89" s="1198">
        <v>4.4499999999999998E-2</v>
      </c>
      <c r="BS89" s="1198">
        <v>4.7199999999999999E-2</v>
      </c>
      <c r="BT89" s="1198">
        <v>5.2299999999999999E-2</v>
      </c>
      <c r="BU89" s="1199"/>
      <c r="BV89" s="1200">
        <v>4.1399999999999999E-2</v>
      </c>
      <c r="BW89" s="1198">
        <v>4.4499999999999998E-2</v>
      </c>
      <c r="BX89" s="1198">
        <v>4.7499999999999994E-2</v>
      </c>
      <c r="BY89" s="1198">
        <v>5.2599999999999994E-2</v>
      </c>
      <c r="BZ89" s="1199"/>
    </row>
    <row r="90" spans="1:78" s="382" customFormat="1" ht="14.1" customHeight="1" x14ac:dyDescent="0.2">
      <c r="A90"/>
      <c r="B90"/>
      <c r="C90" s="410" t="str">
        <f t="shared" si="44"/>
        <v>Bear</v>
      </c>
      <c r="D90" s="428"/>
      <c r="E90" s="436"/>
      <c r="F90" s="436"/>
      <c r="G90" s="436"/>
      <c r="H90" s="436"/>
      <c r="I90" s="436"/>
      <c r="J90" s="436"/>
      <c r="K90" s="436"/>
      <c r="L90" s="436"/>
      <c r="M90" s="436"/>
      <c r="N90" s="436"/>
      <c r="O90" s="437"/>
      <c r="R90" s="409" t="str">
        <f>R83</f>
        <v>Bear</v>
      </c>
      <c r="S90" s="399"/>
      <c r="T90" s="267"/>
      <c r="U90" s="267"/>
      <c r="V90" s="267"/>
      <c r="W90" s="268"/>
      <c r="X90" s="399"/>
      <c r="Y90" s="267"/>
      <c r="Z90" s="267"/>
      <c r="AA90" s="267"/>
      <c r="AB90" s="268"/>
      <c r="AC90" s="399"/>
      <c r="AD90" s="267"/>
      <c r="AE90" s="267"/>
      <c r="AF90" s="267"/>
      <c r="AG90" s="268"/>
      <c r="AH90" s="399"/>
      <c r="AI90" s="267"/>
      <c r="AJ90" s="267"/>
      <c r="AK90" s="267"/>
      <c r="AL90" s="268"/>
      <c r="AM90" s="399"/>
      <c r="AN90" s="267"/>
      <c r="AO90" s="267"/>
      <c r="AP90" s="267"/>
      <c r="AQ90" s="268"/>
      <c r="AR90" s="399"/>
      <c r="AS90" s="267"/>
      <c r="AT90" s="267"/>
      <c r="AU90" s="267"/>
      <c r="AV90" s="268"/>
      <c r="AW90" s="399"/>
      <c r="AX90" s="267"/>
      <c r="AY90" s="267"/>
      <c r="AZ90" s="267"/>
      <c r="BA90" s="268"/>
      <c r="BB90" s="399"/>
      <c r="BC90" s="267"/>
      <c r="BD90" s="267"/>
      <c r="BE90" s="1201">
        <f>BE88</f>
        <v>7.1999999999999995E-2</v>
      </c>
      <c r="BF90" s="1202"/>
      <c r="BG90" s="1203">
        <f>BG88+0.09%</f>
        <v>4.8399999999999999E-2</v>
      </c>
      <c r="BH90" s="1201">
        <f>BH88+0.09%</f>
        <v>5.1999999999999998E-2</v>
      </c>
      <c r="BI90" s="1201">
        <f>BI88+0.09%</f>
        <v>6.9400000000000003E-2</v>
      </c>
      <c r="BJ90" s="1201">
        <f>BJ88+0.09%</f>
        <v>7.3099999999999998E-2</v>
      </c>
      <c r="BK90" s="1202"/>
      <c r="BL90" s="1203">
        <f>BL88+0.09%</f>
        <v>4.5099999999999994E-2</v>
      </c>
      <c r="BM90" s="1201">
        <f>BM88+0.09%</f>
        <v>5.2999999999999999E-2</v>
      </c>
      <c r="BN90" s="1201">
        <f>BN88+0.9%</f>
        <v>6.720000000000001E-2</v>
      </c>
      <c r="BO90" s="1201">
        <f>BO88+0.9%</f>
        <v>7.2599999999999998E-2</v>
      </c>
      <c r="BP90" s="1202"/>
      <c r="BQ90" s="1203">
        <f>BQ88+0.9%</f>
        <v>5.21E-2</v>
      </c>
      <c r="BR90" s="1201">
        <f>BR88+0.9%</f>
        <v>5.6000000000000001E-2</v>
      </c>
      <c r="BS90" s="1201">
        <f>BS88+0.9%</f>
        <v>5.7700000000000001E-2</v>
      </c>
      <c r="BT90" s="1201">
        <f>BT88+0.9%</f>
        <v>6.4799999999999996E-2</v>
      </c>
      <c r="BU90" s="1202"/>
      <c r="BV90" s="1203">
        <f>BV88+0.9%</f>
        <v>5.1900000000000002E-2</v>
      </c>
      <c r="BW90" s="1201">
        <f>BW88+0.9%</f>
        <v>5.6000000000000001E-2</v>
      </c>
      <c r="BX90" s="1201">
        <f>BX88+0.9%</f>
        <v>5.7999999999999996E-2</v>
      </c>
      <c r="BY90" s="1201">
        <f>BY88+0.9%</f>
        <v>6.5099999999999991E-2</v>
      </c>
      <c r="BZ90" s="1202"/>
    </row>
    <row r="91" spans="1:78" s="382" customFormat="1" ht="14.1" customHeight="1" x14ac:dyDescent="0.2">
      <c r="A91"/>
      <c r="B91"/>
      <c r="C91" s="408" t="str">
        <f t="shared" si="44"/>
        <v>Fuel, operating expenses and supplies</v>
      </c>
      <c r="D91" s="401">
        <f>W91</f>
        <v>268.08999999999997</v>
      </c>
      <c r="E91" s="401">
        <f>AB91</f>
        <v>325</v>
      </c>
      <c r="F91" s="401">
        <f>AG91</f>
        <v>340.05599999999998</v>
      </c>
      <c r="G91" s="401">
        <f>AL91</f>
        <v>299.23399999999998</v>
      </c>
      <c r="H91" s="401">
        <f>AQ91</f>
        <v>381.904</v>
      </c>
      <c r="I91" s="401">
        <f>AV91</f>
        <v>558.45600000000002</v>
      </c>
      <c r="J91" s="401">
        <f>BA91</f>
        <v>563.68799999999999</v>
      </c>
      <c r="K91" s="401">
        <f>BF91</f>
        <v>617.95172566050076</v>
      </c>
      <c r="L91" s="401">
        <f>BK91</f>
        <v>628.79686729812624</v>
      </c>
      <c r="M91" s="401">
        <f>BP91</f>
        <v>721.36181064152595</v>
      </c>
      <c r="N91" s="401">
        <f>BU91</f>
        <v>783.03746873294881</v>
      </c>
      <c r="O91" s="407">
        <f>BZ91</f>
        <v>810.38096934207601</v>
      </c>
      <c r="R91" s="411" t="str">
        <f>'Income Statement'!R13</f>
        <v>Fuel, operating expenses and supplies</v>
      </c>
      <c r="S91" s="400">
        <f>'Income Statement'!S13</f>
        <v>63.99</v>
      </c>
      <c r="T91" s="401">
        <f>'Income Statement'!T13</f>
        <v>66.091999999999999</v>
      </c>
      <c r="U91" s="401">
        <f>'Income Statement'!U13</f>
        <v>66.679000000000002</v>
      </c>
      <c r="V91" s="401">
        <f>'Income Statement'!V13</f>
        <v>71.328999999999979</v>
      </c>
      <c r="W91" s="402">
        <f>'Income Statement'!W13</f>
        <v>268.08999999999997</v>
      </c>
      <c r="X91" s="400">
        <f>'Income Statement'!X13</f>
        <v>78.793999999999997</v>
      </c>
      <c r="Y91" s="401">
        <f>'Income Statement'!Y13</f>
        <v>84.745000000000005</v>
      </c>
      <c r="Z91" s="401">
        <f>'Income Statement'!Z13</f>
        <v>81.643000000000001</v>
      </c>
      <c r="AA91" s="401">
        <f>'Income Statement'!AA13</f>
        <v>79.818000000000012</v>
      </c>
      <c r="AB91" s="402">
        <f>'Income Statement'!AB13</f>
        <v>325</v>
      </c>
      <c r="AC91" s="400">
        <f>'Income Statement'!AC13</f>
        <v>83.543000000000006</v>
      </c>
      <c r="AD91" s="401">
        <f>'Income Statement'!AD13</f>
        <v>85.328000000000003</v>
      </c>
      <c r="AE91" s="401">
        <f>'Income Statement'!AE13</f>
        <v>84.259</v>
      </c>
      <c r="AF91" s="401">
        <f>'Income Statement'!AF13</f>
        <v>86.925999999999988</v>
      </c>
      <c r="AG91" s="402">
        <f>'Income Statement'!AG13</f>
        <v>340.05599999999998</v>
      </c>
      <c r="AH91" s="400">
        <f>'Income Statement'!AH13</f>
        <v>82.899000000000001</v>
      </c>
      <c r="AI91" s="401">
        <f>'Income Statement'!AI13</f>
        <v>65.902000000000001</v>
      </c>
      <c r="AJ91" s="401">
        <f>'Income Statement'!AJ13</f>
        <v>74.105999999999995</v>
      </c>
      <c r="AK91" s="401">
        <f>'Income Statement'!AK13</f>
        <v>76.326999999999998</v>
      </c>
      <c r="AL91" s="402">
        <f>'Income Statement'!AL13</f>
        <v>299.23399999999998</v>
      </c>
      <c r="AM91" s="400">
        <f>'Income Statement'!AM13</f>
        <v>84.900999999999996</v>
      </c>
      <c r="AN91" s="401">
        <f>'Income Statement'!AN13</f>
        <v>90.664000000000001</v>
      </c>
      <c r="AO91" s="401">
        <f>'Income Statement'!AO13</f>
        <v>98.834000000000003</v>
      </c>
      <c r="AP91" s="401">
        <f>'Income Statement'!AP13</f>
        <v>107.505</v>
      </c>
      <c r="AQ91" s="402">
        <f>'Income Statement'!AQ13</f>
        <v>381.904</v>
      </c>
      <c r="AR91" s="400">
        <f>'Income Statement'!AR13</f>
        <v>122.771</v>
      </c>
      <c r="AS91" s="401">
        <f>'Income Statement'!AS13</f>
        <v>145.53</v>
      </c>
      <c r="AT91" s="401">
        <f>'Income Statement'!AT13</f>
        <v>145.46100000000001</v>
      </c>
      <c r="AU91" s="401">
        <f>'Income Statement'!AU13</f>
        <v>144.69400000000002</v>
      </c>
      <c r="AV91" s="402">
        <f>'Income Statement'!AV13</f>
        <v>558.45600000000002</v>
      </c>
      <c r="AW91" s="400">
        <f>'Income Statement'!AW13</f>
        <v>141.625</v>
      </c>
      <c r="AX91" s="401">
        <f>'Income Statement'!AX13</f>
        <v>133.49</v>
      </c>
      <c r="AY91" s="401">
        <f>'Income Statement'!AY13</f>
        <v>144.28200000000001</v>
      </c>
      <c r="AZ91" s="401">
        <f>'Income Statement'!AZ13</f>
        <v>144.29099999999994</v>
      </c>
      <c r="BA91" s="402">
        <f>'Income Statement'!BA13</f>
        <v>563.68799999999999</v>
      </c>
      <c r="BB91" s="400">
        <f>'Income Statement'!BB13</f>
        <v>156.32499999999999</v>
      </c>
      <c r="BC91" s="401">
        <f>'Income Statement'!BC13</f>
        <v>160.87700000000001</v>
      </c>
      <c r="BD91" s="401">
        <f>'Income Statement'!BD13</f>
        <v>158.733</v>
      </c>
      <c r="BE91" s="401">
        <f>BE92*BE11</f>
        <v>142.01672566050078</v>
      </c>
      <c r="BF91" s="402">
        <f>SUM(BB91:BE91)</f>
        <v>617.95172566050076</v>
      </c>
      <c r="BG91" s="401">
        <f>BG92*BG11</f>
        <v>153.80776703665239</v>
      </c>
      <c r="BH91" s="401">
        <f>BH92*BH11</f>
        <v>158.20679047154508</v>
      </c>
      <c r="BI91" s="401">
        <f>BI92*BI11</f>
        <v>160.7261765569254</v>
      </c>
      <c r="BJ91" s="401">
        <f>BJ92*BJ11</f>
        <v>156.05613323300341</v>
      </c>
      <c r="BK91" s="402">
        <f>SUM(BG91:BJ91)</f>
        <v>628.79686729812624</v>
      </c>
      <c r="BL91" s="401">
        <f>BL92*BL11</f>
        <v>178.85647266999734</v>
      </c>
      <c r="BM91" s="401">
        <f>BM92*BM11</f>
        <v>185.70564734473601</v>
      </c>
      <c r="BN91" s="401">
        <f>BN92*BN11</f>
        <v>177.69354859684177</v>
      </c>
      <c r="BO91" s="401">
        <f>BO92*BO11</f>
        <v>179.10614202995075</v>
      </c>
      <c r="BP91" s="402">
        <f>SUM(BL91:BO91)</f>
        <v>721.36181064152595</v>
      </c>
      <c r="BQ91" s="401">
        <f>BQ92*BQ11</f>
        <v>193.25708581106738</v>
      </c>
      <c r="BR91" s="401">
        <f>BR92*BR11</f>
        <v>201.24768358362937</v>
      </c>
      <c r="BS91" s="401">
        <f>BS92*BS11</f>
        <v>192.07335263733674</v>
      </c>
      <c r="BT91" s="401">
        <f>BT92*BT11</f>
        <v>196.45934670091543</v>
      </c>
      <c r="BU91" s="402">
        <f>SUM(BQ91:BT91)</f>
        <v>783.03746873294881</v>
      </c>
      <c r="BV91" s="401">
        <f>BV92*BV11</f>
        <v>200.37414960182778</v>
      </c>
      <c r="BW91" s="401">
        <f>BW92*BW11</f>
        <v>208.22363362185277</v>
      </c>
      <c r="BX91" s="401">
        <f>BX92*BX11</f>
        <v>197.64492821008653</v>
      </c>
      <c r="BY91" s="401">
        <f>BY92*BY11</f>
        <v>204.13825790830896</v>
      </c>
      <c r="BZ91" s="402">
        <f>SUM(BV91:BY91)</f>
        <v>810.38096934207601</v>
      </c>
    </row>
    <row r="92" spans="1:78" s="382" customFormat="1" ht="14.1" customHeight="1" x14ac:dyDescent="0.2">
      <c r="A92"/>
      <c r="B92"/>
      <c r="C92" s="412" t="str">
        <f t="shared" si="44"/>
        <v>As a % of Revenue</v>
      </c>
      <c r="D92" s="430">
        <f>W92</f>
        <v>0.19085173164718805</v>
      </c>
      <c r="E92" s="430">
        <f>AB92</f>
        <v>0.19651128972475723</v>
      </c>
      <c r="F92" s="430">
        <f>AG92</f>
        <v>0.19032257161806312</v>
      </c>
      <c r="G92" s="430">
        <f>AL92</f>
        <v>0.16420082464225078</v>
      </c>
      <c r="H92" s="430">
        <f>AQ92</f>
        <v>0.1668647409188781</v>
      </c>
      <c r="I92" s="430">
        <f>AV92</f>
        <v>0.20001597388591996</v>
      </c>
      <c r="J92" s="430">
        <f>BA92</f>
        <v>0.1956276616530733</v>
      </c>
      <c r="K92" s="430">
        <f>BF92</f>
        <v>0.19256208661250368</v>
      </c>
      <c r="L92" s="430">
        <f>BK92</f>
        <v>0.17650582085109134</v>
      </c>
      <c r="M92" s="430">
        <f>BP92</f>
        <v>0.17632383740058924</v>
      </c>
      <c r="N92" s="430">
        <f>BU92</f>
        <v>0.17580669675977656</v>
      </c>
      <c r="O92" s="431">
        <f>BZ92</f>
        <v>0.16854097544861676</v>
      </c>
      <c r="R92" s="412" t="str">
        <f>R85</f>
        <v>As a % of Revenue</v>
      </c>
      <c r="S92" s="405">
        <f>S91/'Income Statement'!S8</f>
        <v>0.19805626915101057</v>
      </c>
      <c r="T92" s="406">
        <f>T91/'Income Statement'!T8</f>
        <v>0.18453205271387088</v>
      </c>
      <c r="U92" s="406">
        <f>U91/'Income Statement'!U8</f>
        <v>0.19047768680976512</v>
      </c>
      <c r="V92" s="406">
        <f>V91/'Income Statement'!V8</f>
        <v>0.1910303140675591</v>
      </c>
      <c r="W92" s="404">
        <f>W91/'Income Statement'!W8</f>
        <v>0.19085173164718805</v>
      </c>
      <c r="X92" s="405">
        <f>X91/'Income Statement'!X8</f>
        <v>0.20059316963887933</v>
      </c>
      <c r="Y92" s="406">
        <f>Y91/'Income Statement'!Y8</f>
        <v>0.19766427511825568</v>
      </c>
      <c r="Z92" s="406">
        <f>Z91/'Income Statement'!Z8</f>
        <v>0.19184748638271273</v>
      </c>
      <c r="AA92" s="406">
        <f>AA91/'Income Statement'!AA8</f>
        <v>0.19623355869698847</v>
      </c>
      <c r="AB92" s="404">
        <f>AB91/'Income Statement'!AB8</f>
        <v>0.19651128972475723</v>
      </c>
      <c r="AC92" s="405">
        <f>AC91/'Income Statement'!AC8</f>
        <v>0.20347358883931183</v>
      </c>
      <c r="AD92" s="406">
        <f>AD91/'Income Statement'!AD8</f>
        <v>0.18381930007863076</v>
      </c>
      <c r="AE92" s="406">
        <f>AE91/'Income Statement'!AE8</f>
        <v>0.17969848003054015</v>
      </c>
      <c r="AF92" s="406">
        <f>AF91/'Income Statement'!AF8</f>
        <v>0.19619243226163208</v>
      </c>
      <c r="AG92" s="404">
        <f>AG91/'Income Statement'!AG8</f>
        <v>0.19032257161806312</v>
      </c>
      <c r="AH92" s="405">
        <f>AH91/'Income Statement'!AH8</f>
        <v>0.18570730920527961</v>
      </c>
      <c r="AI92" s="406">
        <f>AI91/'Income Statement'!AI8</f>
        <v>0.1576173005448275</v>
      </c>
      <c r="AJ92" s="406">
        <f>AJ91/'Income Statement'!AJ8</f>
        <v>0.15394682720711961</v>
      </c>
      <c r="AK92" s="406">
        <f>AK91/'Income Statement'!AK8</f>
        <v>0.16018863251917176</v>
      </c>
      <c r="AL92" s="404">
        <f>AL91/'Income Statement'!AL8</f>
        <v>0.16420082464225078</v>
      </c>
      <c r="AM92" s="405">
        <f>AM91/'Income Statement'!AM8</f>
        <v>0.17538847366311761</v>
      </c>
      <c r="AN92" s="406">
        <f>AN91/'Income Statement'!AN8</f>
        <v>0.15868854065842514</v>
      </c>
      <c r="AO92" s="406">
        <f>AO91/'Income Statement'!AO8</f>
        <v>0.16038856504861931</v>
      </c>
      <c r="AP92" s="406">
        <f>AP91/'Income Statement'!AP8</f>
        <v>0.17421537853215377</v>
      </c>
      <c r="AQ92" s="404">
        <f>AQ91/'Income Statement'!AQ8</f>
        <v>0.1668647409188781</v>
      </c>
      <c r="AR92" s="405">
        <f>AR91/'Income Statement'!AR8</f>
        <v>0.18567457532788076</v>
      </c>
      <c r="AS92" s="406">
        <f>AS91/'Income Statement'!AS8</f>
        <v>0.19519712857821164</v>
      </c>
      <c r="AT92" s="406">
        <f>AT91/'Income Statement'!AT8</f>
        <v>0.19938154588855492</v>
      </c>
      <c r="AU92" s="406">
        <f>AU91/'Income Statement'!AU8</f>
        <v>0.22066228882185562</v>
      </c>
      <c r="AV92" s="404">
        <f>AV91/'Income Statement'!AV8</f>
        <v>0.20001597388591996</v>
      </c>
      <c r="AW92" s="405">
        <f>AW91/'Income Statement'!AW8</f>
        <v>0.21440953166751195</v>
      </c>
      <c r="AX92" s="406">
        <f>AX91/'Income Statement'!AX8</f>
        <v>0.19217646432160226</v>
      </c>
      <c r="AY92" s="406">
        <f>AY91/'Income Statement'!AY8</f>
        <v>0.18613573735976802</v>
      </c>
      <c r="AZ92" s="406">
        <f>AZ91/'Income Statement'!AZ8</f>
        <v>0.19209805999478111</v>
      </c>
      <c r="BA92" s="404">
        <f>BA91/'Income Statement'!BA8</f>
        <v>0.1956276616530733</v>
      </c>
      <c r="BB92" s="405">
        <f>BB91/'Income Statement'!BB8</f>
        <v>0.20711470305720248</v>
      </c>
      <c r="BC92" s="406">
        <f>BC91/'Income Statement'!BC8</f>
        <v>0.19541836928055353</v>
      </c>
      <c r="BD92" s="406">
        <f>BD91/'Income Statement'!BD8</f>
        <v>0.18849594408284973</v>
      </c>
      <c r="BE92" s="406">
        <f>INDEX($BE$94:$BZ$97,MATCH($O$3,$C$46:$C$49,0),MATCH(BE$75,$BE$75:$BZ$75,0))</f>
        <v>0.18</v>
      </c>
      <c r="BF92" s="404">
        <f>BF91/'Income Statement'!BF8</f>
        <v>0.19256208661250368</v>
      </c>
      <c r="BG92" s="405">
        <f>INDEX($BE$94:$BZ$97,MATCH($O$3,$C$46:$C$49,0),MATCH(BG$75,$BE$75:$BZ$75,0))</f>
        <v>0.185</v>
      </c>
      <c r="BH92" s="406">
        <f>INDEX($BE$94:$BZ$97,MATCH($O$3,$C$46:$C$49,0),MATCH(BH$75,$BE$75:$BZ$75,0))</f>
        <v>0.17199999999999999</v>
      </c>
      <c r="BI92" s="406">
        <f>INDEX($BE$94:$BZ$97,MATCH($O$3,$C$46:$C$49,0),MATCH(BI$75,$BE$75:$BZ$75,0))</f>
        <v>0.17460000000000001</v>
      </c>
      <c r="BJ92" s="406">
        <f>INDEX($BE$94:$BZ$97,MATCH($O$3,$C$46:$C$49,0),MATCH(BJ$75,$BE$75:$BZ$75,0))</f>
        <v>0.17519999999999999</v>
      </c>
      <c r="BK92" s="404">
        <f>BK91/'Income Statement'!BK8</f>
        <v>0.17650582085109134</v>
      </c>
      <c r="BL92" s="405">
        <f>INDEX($BE$94:$BZ$97,MATCH($O$3,$C$46:$C$49,0),MATCH(BL$75,$BE$75:$BZ$75,0))</f>
        <v>0.1898</v>
      </c>
      <c r="BM92" s="406">
        <f>INDEX($BE$94:$BZ$97,MATCH($O$3,$C$46:$C$49,0),MATCH(BM$75,$BE$75:$BZ$75,0))</f>
        <v>0.17729999999999999</v>
      </c>
      <c r="BN92" s="406">
        <f>INDEX($BE$94:$BZ$97,MATCH($O$3,$C$46:$C$49,0),MATCH(BN$75,$BE$75:$BZ$75,0))</f>
        <v>0.16839999999999999</v>
      </c>
      <c r="BO92" s="406">
        <f>INDEX($BE$94:$BZ$97,MATCH($O$3,$C$46:$C$49,0),MATCH(BO$75,$BE$75:$BZ$75,0))</f>
        <v>0.17119999999999999</v>
      </c>
      <c r="BP92" s="404">
        <f>BP91/'Income Statement'!BP8</f>
        <v>0.17632383740058924</v>
      </c>
      <c r="BQ92" s="405">
        <f>INDEX($BE$94:$BZ$97,MATCH($O$3,$C$46:$C$49,0),MATCH(BQ$75,$BE$75:$BZ$75,0))</f>
        <v>0.189</v>
      </c>
      <c r="BR92" s="406">
        <f>INDEX($BE$94:$BZ$97,MATCH($O$3,$C$46:$C$49,0),MATCH(BR$75,$BE$75:$BZ$75,0))</f>
        <v>0.1764</v>
      </c>
      <c r="BS92" s="406">
        <f>INDEX($BE$94:$BZ$97,MATCH($O$3,$C$46:$C$49,0),MATCH(BS$75,$BE$75:$BZ$75,0))</f>
        <v>0.1663</v>
      </c>
      <c r="BT92" s="406">
        <f>INDEX($BE$94:$BZ$97,MATCH($O$3,$C$46:$C$49,0),MATCH(BT$75,$BE$75:$BZ$75,0))</f>
        <v>0.17299999999999999</v>
      </c>
      <c r="BU92" s="404">
        <f>BU91/'Income Statement'!BU8</f>
        <v>0.17580669675977656</v>
      </c>
      <c r="BV92" s="405">
        <f>INDEX($BE$94:$BZ$97,MATCH($O$3,$C$46:$C$49,0),MATCH(BV$75,$BE$75:$BZ$75,0))</f>
        <v>0.1817</v>
      </c>
      <c r="BW92" s="406">
        <f>INDEX($BE$94:$BZ$97,MATCH($O$3,$C$46:$C$49,0),MATCH(BW$75,$BE$75:$BZ$75,0))</f>
        <v>0.1681</v>
      </c>
      <c r="BX92" s="406">
        <f>INDEX($BE$94:$BZ$97,MATCH($O$3,$C$46:$C$49,0),MATCH(BX$75,$BE$75:$BZ$75,0))</f>
        <v>0.158</v>
      </c>
      <c r="BY92" s="406">
        <f>INDEX($BE$94:$BZ$97,MATCH($O$3,$C$46:$C$49,0),MATCH(BY$75,$BE$75:$BZ$75,0))</f>
        <v>0.16789999999999999</v>
      </c>
      <c r="BZ92" s="404">
        <f>BZ91/'Income Statement'!BZ8</f>
        <v>0.16854097544861676</v>
      </c>
    </row>
    <row r="93" spans="1:78" s="382" customFormat="1" ht="14.1" customHeight="1" x14ac:dyDescent="0.2">
      <c r="A93"/>
      <c r="B93"/>
      <c r="C93" s="802" t="str">
        <f>C86</f>
        <v>Growth %</v>
      </c>
      <c r="D93" s="805"/>
      <c r="E93" s="803">
        <f t="shared" ref="E93:O93" si="51">IFERROR(E91/D91-1,"NM")</f>
        <v>0.21227945839083895</v>
      </c>
      <c r="F93" s="803">
        <f t="shared" si="51"/>
        <v>4.6326153846153684E-2</v>
      </c>
      <c r="G93" s="803">
        <f t="shared" si="51"/>
        <v>-0.12004493377561343</v>
      </c>
      <c r="H93" s="803">
        <f t="shared" si="51"/>
        <v>0.27627208138112658</v>
      </c>
      <c r="I93" s="803">
        <f t="shared" si="51"/>
        <v>0.46229418911558939</v>
      </c>
      <c r="J93" s="803">
        <f t="shared" si="51"/>
        <v>9.3686879539300882E-3</v>
      </c>
      <c r="K93" s="803">
        <f t="shared" si="51"/>
        <v>9.6265532813366139E-2</v>
      </c>
      <c r="L93" s="803">
        <f t="shared" si="51"/>
        <v>1.7550143785153516E-2</v>
      </c>
      <c r="M93" s="803">
        <f t="shared" si="51"/>
        <v>0.14720961276595013</v>
      </c>
      <c r="N93" s="803">
        <f t="shared" si="51"/>
        <v>8.5498923260954207E-2</v>
      </c>
      <c r="O93" s="804">
        <f t="shared" si="51"/>
        <v>3.4919785707537621E-2</v>
      </c>
      <c r="R93" s="412" t="str">
        <f>C93</f>
        <v>Growth %</v>
      </c>
      <c r="S93" s="405"/>
      <c r="T93" s="406"/>
      <c r="U93" s="406"/>
      <c r="V93" s="406"/>
      <c r="W93" s="404"/>
      <c r="X93" s="405">
        <f t="shared" ref="X93:BC93" si="52">IFERROR(X91/S91-1,"NM")</f>
        <v>0.2313486482262852</v>
      </c>
      <c r="Y93" s="406">
        <f t="shared" si="52"/>
        <v>0.28222780366761491</v>
      </c>
      <c r="Z93" s="406">
        <f t="shared" si="52"/>
        <v>0.2244184825807225</v>
      </c>
      <c r="AA93" s="406">
        <f t="shared" si="52"/>
        <v>0.11901190259221406</v>
      </c>
      <c r="AB93" s="404">
        <f t="shared" si="52"/>
        <v>0.21227945839083895</v>
      </c>
      <c r="AC93" s="405">
        <f t="shared" si="52"/>
        <v>6.0271086630961923E-2</v>
      </c>
      <c r="AD93" s="406">
        <f t="shared" si="52"/>
        <v>6.8794619151573144E-3</v>
      </c>
      <c r="AE93" s="406">
        <f t="shared" si="52"/>
        <v>3.2041938684271853E-2</v>
      </c>
      <c r="AF93" s="406">
        <f t="shared" si="52"/>
        <v>8.9052594652834882E-2</v>
      </c>
      <c r="AG93" s="404">
        <f t="shared" si="52"/>
        <v>4.6326153846153684E-2</v>
      </c>
      <c r="AH93" s="405">
        <f t="shared" si="52"/>
        <v>-7.7086051494440477E-3</v>
      </c>
      <c r="AI93" s="406">
        <f t="shared" si="52"/>
        <v>-0.22766266641665101</v>
      </c>
      <c r="AJ93" s="406">
        <f t="shared" si="52"/>
        <v>-0.1204975136187233</v>
      </c>
      <c r="AK93" s="406">
        <f t="shared" si="52"/>
        <v>-0.12193129788555768</v>
      </c>
      <c r="AL93" s="404">
        <f t="shared" si="52"/>
        <v>-0.12004493377561343</v>
      </c>
      <c r="AM93" s="405">
        <f t="shared" si="52"/>
        <v>2.4149869117842115E-2</v>
      </c>
      <c r="AN93" s="406">
        <f t="shared" si="52"/>
        <v>0.37573973475767053</v>
      </c>
      <c r="AO93" s="406">
        <f t="shared" si="52"/>
        <v>0.33368418211750739</v>
      </c>
      <c r="AP93" s="406">
        <f t="shared" si="52"/>
        <v>0.40847930614330452</v>
      </c>
      <c r="AQ93" s="404">
        <f t="shared" si="52"/>
        <v>0.27627208138112658</v>
      </c>
      <c r="AR93" s="405">
        <f t="shared" si="52"/>
        <v>0.44604892757446923</v>
      </c>
      <c r="AS93" s="406">
        <f t="shared" si="52"/>
        <v>0.60515750463248907</v>
      </c>
      <c r="AT93" s="406">
        <f t="shared" si="52"/>
        <v>0.47177084808871439</v>
      </c>
      <c r="AU93" s="406">
        <f t="shared" si="52"/>
        <v>0.34592809636761102</v>
      </c>
      <c r="AV93" s="404">
        <f t="shared" si="52"/>
        <v>0.46229418911558939</v>
      </c>
      <c r="AW93" s="405">
        <f t="shared" si="52"/>
        <v>0.15357046859600398</v>
      </c>
      <c r="AX93" s="406">
        <f t="shared" si="52"/>
        <v>-8.2732082732082657E-2</v>
      </c>
      <c r="AY93" s="406">
        <f t="shared" si="52"/>
        <v>-8.1052653288510301E-3</v>
      </c>
      <c r="AZ93" s="406">
        <f t="shared" si="52"/>
        <v>-2.7851880520275429E-3</v>
      </c>
      <c r="BA93" s="404">
        <f t="shared" si="52"/>
        <v>9.3686879539300882E-3</v>
      </c>
      <c r="BB93" s="405">
        <f t="shared" si="52"/>
        <v>0.10379523389232115</v>
      </c>
      <c r="BC93" s="406">
        <f t="shared" si="52"/>
        <v>0.20516143531350672</v>
      </c>
      <c r="BD93" s="406">
        <f t="shared" ref="BD93:BZ93" si="53">IFERROR(BD91/AY91-1,"NM")</f>
        <v>0.10015802386992134</v>
      </c>
      <c r="BE93" s="406">
        <f t="shared" si="53"/>
        <v>-1.5761719992925083E-2</v>
      </c>
      <c r="BF93" s="404">
        <f t="shared" si="53"/>
        <v>9.6265532813366139E-2</v>
      </c>
      <c r="BG93" s="405">
        <f t="shared" si="53"/>
        <v>-1.6102561735791387E-2</v>
      </c>
      <c r="BH93" s="406">
        <f t="shared" si="53"/>
        <v>-1.6597832682452629E-2</v>
      </c>
      <c r="BI93" s="406">
        <f t="shared" si="53"/>
        <v>1.2556787542132852E-2</v>
      </c>
      <c r="BJ93" s="406">
        <f t="shared" si="53"/>
        <v>9.885742335775749E-2</v>
      </c>
      <c r="BK93" s="404">
        <f t="shared" si="53"/>
        <v>1.7550143785153516E-2</v>
      </c>
      <c r="BL93" s="405">
        <f t="shared" si="53"/>
        <v>0.16285722181621587</v>
      </c>
      <c r="BM93" s="406">
        <f t="shared" si="53"/>
        <v>0.17381590759302368</v>
      </c>
      <c r="BN93" s="406">
        <f t="shared" si="53"/>
        <v>0.10556694872852224</v>
      </c>
      <c r="BO93" s="406">
        <f t="shared" si="53"/>
        <v>0.14770331879575638</v>
      </c>
      <c r="BP93" s="404">
        <f t="shared" si="53"/>
        <v>0.14720961276595013</v>
      </c>
      <c r="BQ93" s="405">
        <f t="shared" si="53"/>
        <v>8.0514911907270781E-2</v>
      </c>
      <c r="BR93" s="406">
        <f t="shared" si="53"/>
        <v>8.3691780304568697E-2</v>
      </c>
      <c r="BS93" s="406">
        <f t="shared" si="53"/>
        <v>8.0924738990499012E-2</v>
      </c>
      <c r="BT93" s="406">
        <f t="shared" si="53"/>
        <v>9.688782570093446E-2</v>
      </c>
      <c r="BU93" s="404">
        <f t="shared" si="53"/>
        <v>8.5498923260954207E-2</v>
      </c>
      <c r="BV93" s="405">
        <f t="shared" si="53"/>
        <v>3.682692285714273E-2</v>
      </c>
      <c r="BW93" s="406">
        <f t="shared" si="53"/>
        <v>3.4663504761904607E-2</v>
      </c>
      <c r="BX93" s="406">
        <f t="shared" si="53"/>
        <v>2.9007540589296443E-2</v>
      </c>
      <c r="BY93" s="406">
        <f t="shared" si="53"/>
        <v>3.9086515028901703E-2</v>
      </c>
      <c r="BZ93" s="404">
        <f t="shared" si="53"/>
        <v>3.4919785707537621E-2</v>
      </c>
    </row>
    <row r="94" spans="1:78" s="248" customFormat="1" ht="14.1" customHeight="1" x14ac:dyDescent="0.2">
      <c r="A94"/>
      <c r="B94"/>
      <c r="C94" s="427" t="str">
        <f t="shared" si="44"/>
        <v>Reversed</v>
      </c>
      <c r="D94" s="401"/>
      <c r="E94" s="432"/>
      <c r="F94" s="432"/>
      <c r="G94" s="432"/>
      <c r="H94" s="432"/>
      <c r="I94" s="432"/>
      <c r="J94" s="432"/>
      <c r="K94" s="432"/>
      <c r="L94" s="432"/>
      <c r="M94" s="432"/>
      <c r="N94" s="432"/>
      <c r="O94" s="433"/>
      <c r="P94" s="382"/>
      <c r="Q94" s="382"/>
      <c r="R94" s="409" t="str">
        <f>R87</f>
        <v>Reversed</v>
      </c>
      <c r="S94" s="398"/>
      <c r="T94" s="263"/>
      <c r="U94" s="263"/>
      <c r="V94" s="263"/>
      <c r="W94" s="264"/>
      <c r="X94" s="398"/>
      <c r="Y94" s="263"/>
      <c r="Z94" s="263"/>
      <c r="AA94" s="263"/>
      <c r="AB94" s="264"/>
      <c r="AC94" s="398"/>
      <c r="AD94" s="263"/>
      <c r="AE94" s="263"/>
      <c r="AF94" s="263"/>
      <c r="AG94" s="264"/>
      <c r="AH94" s="398"/>
      <c r="AI94" s="263"/>
      <c r="AJ94" s="263"/>
      <c r="AK94" s="263"/>
      <c r="AL94" s="264"/>
      <c r="AM94" s="398"/>
      <c r="AN94" s="263"/>
      <c r="AO94" s="263"/>
      <c r="AP94" s="263"/>
      <c r="AQ94" s="264"/>
      <c r="AR94" s="398"/>
      <c r="AS94" s="263"/>
      <c r="AT94" s="263"/>
      <c r="AU94" s="263"/>
      <c r="AV94" s="264"/>
      <c r="AW94" s="398"/>
      <c r="AX94" s="263"/>
      <c r="AY94" s="263"/>
      <c r="AZ94" s="263"/>
      <c r="BA94" s="264"/>
      <c r="BB94" s="398"/>
      <c r="BC94" s="263"/>
      <c r="BD94" s="263"/>
      <c r="BE94" s="1198">
        <v>0.18</v>
      </c>
      <c r="BF94" s="1199"/>
      <c r="BG94" s="1200">
        <v>0.188</v>
      </c>
      <c r="BH94" s="1198">
        <v>0.17499999999999999</v>
      </c>
      <c r="BI94" s="1198">
        <v>0.17760000000000001</v>
      </c>
      <c r="BJ94" s="1198">
        <v>0.1782</v>
      </c>
      <c r="BK94" s="1199"/>
      <c r="BL94" s="1200">
        <v>0.19120000000000001</v>
      </c>
      <c r="BM94" s="1198">
        <v>0.1787</v>
      </c>
      <c r="BN94" s="1198">
        <v>0.16980000000000001</v>
      </c>
      <c r="BO94" s="1198">
        <v>0.1726</v>
      </c>
      <c r="BP94" s="1199"/>
      <c r="BQ94" s="1200">
        <v>0.19120000000000001</v>
      </c>
      <c r="BR94" s="1198">
        <v>0.17860000000000001</v>
      </c>
      <c r="BS94" s="1198">
        <v>0.16850000000000001</v>
      </c>
      <c r="BT94" s="1198">
        <v>0.17519999999999999</v>
      </c>
      <c r="BU94" s="1199"/>
      <c r="BV94" s="1200">
        <v>0.1842</v>
      </c>
      <c r="BW94" s="1198">
        <v>0.1706</v>
      </c>
      <c r="BX94" s="1198">
        <v>0.1605</v>
      </c>
      <c r="BY94" s="1198">
        <v>0.1704</v>
      </c>
      <c r="BZ94" s="1199"/>
    </row>
    <row r="95" spans="1:78" s="248" customFormat="1" ht="14.1" customHeight="1" x14ac:dyDescent="0.2">
      <c r="A95"/>
      <c r="B95"/>
      <c r="C95" s="409" t="str">
        <f t="shared" si="44"/>
        <v>Base</v>
      </c>
      <c r="D95" s="382"/>
      <c r="E95" s="434"/>
      <c r="F95" s="434"/>
      <c r="G95" s="434"/>
      <c r="H95" s="434"/>
      <c r="I95" s="434"/>
      <c r="J95" s="434"/>
      <c r="K95" s="434"/>
      <c r="L95" s="434"/>
      <c r="M95" s="434"/>
      <c r="N95" s="434"/>
      <c r="O95" s="435"/>
      <c r="P95" s="382"/>
      <c r="Q95" s="382"/>
      <c r="R95" s="409" t="str">
        <f>R88</f>
        <v>Base</v>
      </c>
      <c r="S95" s="398"/>
      <c r="T95" s="263"/>
      <c r="U95" s="263"/>
      <c r="V95" s="263"/>
      <c r="W95" s="264"/>
      <c r="X95" s="398"/>
      <c r="Y95" s="263"/>
      <c r="Z95" s="263"/>
      <c r="AA95" s="263"/>
      <c r="AB95" s="264"/>
      <c r="AC95" s="398"/>
      <c r="AD95" s="263"/>
      <c r="AE95" s="263"/>
      <c r="AF95" s="263"/>
      <c r="AG95" s="264"/>
      <c r="AH95" s="398"/>
      <c r="AI95" s="263"/>
      <c r="AJ95" s="263"/>
      <c r="AK95" s="263"/>
      <c r="AL95" s="264"/>
      <c r="AM95" s="398"/>
      <c r="AN95" s="263"/>
      <c r="AO95" s="263"/>
      <c r="AP95" s="263"/>
      <c r="AQ95" s="264"/>
      <c r="AR95" s="398"/>
      <c r="AS95" s="263"/>
      <c r="AT95" s="263"/>
      <c r="AU95" s="263"/>
      <c r="AV95" s="264"/>
      <c r="AW95" s="398"/>
      <c r="AX95" s="263"/>
      <c r="AY95" s="263"/>
      <c r="AZ95" s="263"/>
      <c r="BA95" s="264"/>
      <c r="BB95" s="398"/>
      <c r="BC95" s="263"/>
      <c r="BD95" s="263"/>
      <c r="BE95" s="1198">
        <v>0.18</v>
      </c>
      <c r="BF95" s="1199"/>
      <c r="BG95" s="1200">
        <v>0.185</v>
      </c>
      <c r="BH95" s="1198">
        <v>0.17199999999999999</v>
      </c>
      <c r="BI95" s="1198">
        <v>0.17460000000000001</v>
      </c>
      <c r="BJ95" s="1198">
        <v>0.17519999999999999</v>
      </c>
      <c r="BK95" s="1199"/>
      <c r="BL95" s="1200">
        <v>0.1898</v>
      </c>
      <c r="BM95" s="1198">
        <v>0.17729999999999999</v>
      </c>
      <c r="BN95" s="1198">
        <v>0.16839999999999999</v>
      </c>
      <c r="BO95" s="1198">
        <v>0.17119999999999999</v>
      </c>
      <c r="BP95" s="1199"/>
      <c r="BQ95" s="1200">
        <v>0.189</v>
      </c>
      <c r="BR95" s="1198">
        <v>0.1764</v>
      </c>
      <c r="BS95" s="1198">
        <v>0.1663</v>
      </c>
      <c r="BT95" s="1198">
        <v>0.17299999999999999</v>
      </c>
      <c r="BU95" s="1199"/>
      <c r="BV95" s="1200">
        <v>0.1817</v>
      </c>
      <c r="BW95" s="1198">
        <v>0.1681</v>
      </c>
      <c r="BX95" s="1198">
        <v>0.158</v>
      </c>
      <c r="BY95" s="1198">
        <v>0.16789999999999999</v>
      </c>
      <c r="BZ95" s="1199"/>
    </row>
    <row r="96" spans="1:78" s="248" customFormat="1" ht="14.1" customHeight="1" x14ac:dyDescent="0.2">
      <c r="A96"/>
      <c r="B96"/>
      <c r="C96" s="409" t="str">
        <f t="shared" si="44"/>
        <v>Bull</v>
      </c>
      <c r="D96" s="382"/>
      <c r="E96" s="434"/>
      <c r="F96" s="434"/>
      <c r="G96" s="434"/>
      <c r="H96" s="434"/>
      <c r="I96" s="434"/>
      <c r="J96" s="434"/>
      <c r="K96" s="434"/>
      <c r="L96" s="434"/>
      <c r="M96" s="434"/>
      <c r="N96" s="434"/>
      <c r="O96" s="435"/>
      <c r="P96" s="382"/>
      <c r="Q96" s="382"/>
      <c r="R96" s="409" t="str">
        <f>R89</f>
        <v>Bull</v>
      </c>
      <c r="S96" s="398"/>
      <c r="T96" s="263"/>
      <c r="U96" s="263"/>
      <c r="V96" s="263"/>
      <c r="W96" s="264"/>
      <c r="X96" s="398"/>
      <c r="Y96" s="263"/>
      <c r="Z96" s="263"/>
      <c r="AA96" s="263"/>
      <c r="AB96" s="264"/>
      <c r="AC96" s="398"/>
      <c r="AD96" s="263"/>
      <c r="AE96" s="263"/>
      <c r="AF96" s="263"/>
      <c r="AG96" s="264"/>
      <c r="AH96" s="398"/>
      <c r="AI96" s="263"/>
      <c r="AJ96" s="263"/>
      <c r="AK96" s="263"/>
      <c r="AL96" s="264"/>
      <c r="AM96" s="398"/>
      <c r="AN96" s="263"/>
      <c r="AO96" s="263"/>
      <c r="AP96" s="263"/>
      <c r="AQ96" s="264"/>
      <c r="AR96" s="398"/>
      <c r="AS96" s="263"/>
      <c r="AT96" s="263"/>
      <c r="AU96" s="263"/>
      <c r="AV96" s="264"/>
      <c r="AW96" s="398"/>
      <c r="AX96" s="263"/>
      <c r="AY96" s="263"/>
      <c r="AZ96" s="263"/>
      <c r="BA96" s="264"/>
      <c r="BB96" s="398"/>
      <c r="BC96" s="263"/>
      <c r="BD96" s="263"/>
      <c r="BE96" s="1198">
        <f>BE95</f>
        <v>0.18</v>
      </c>
      <c r="BF96" s="1199"/>
      <c r="BG96" s="1200">
        <v>0.186</v>
      </c>
      <c r="BH96" s="1198">
        <v>0.17299999999999999</v>
      </c>
      <c r="BI96" s="1198">
        <v>0.17560000000000001</v>
      </c>
      <c r="BJ96" s="1198">
        <v>0.1762</v>
      </c>
      <c r="BK96" s="1199"/>
      <c r="BL96" s="1200">
        <v>0.1903</v>
      </c>
      <c r="BM96" s="1198">
        <v>0.17879999999999999</v>
      </c>
      <c r="BN96" s="1198">
        <v>0.16889999999999999</v>
      </c>
      <c r="BO96" s="1198">
        <v>0.17369999999999999</v>
      </c>
      <c r="BP96" s="1199"/>
      <c r="BQ96" s="1200">
        <v>0.1915</v>
      </c>
      <c r="BR96" s="1198">
        <v>0.1769</v>
      </c>
      <c r="BS96" s="1198">
        <v>0.1678</v>
      </c>
      <c r="BT96" s="1198">
        <v>0.17449999999999999</v>
      </c>
      <c r="BU96" s="1199"/>
      <c r="BV96" s="1200">
        <v>0.1832</v>
      </c>
      <c r="BW96" s="1198">
        <v>0.1686</v>
      </c>
      <c r="BX96" s="1198">
        <v>0.1595</v>
      </c>
      <c r="BY96" s="1198">
        <v>0.1714</v>
      </c>
      <c r="BZ96" s="1199"/>
    </row>
    <row r="97" spans="1:78" s="248" customFormat="1" ht="14.1" customHeight="1" x14ac:dyDescent="0.2">
      <c r="A97"/>
      <c r="B97"/>
      <c r="C97" s="410" t="str">
        <f t="shared" si="44"/>
        <v>Bear</v>
      </c>
      <c r="D97" s="428"/>
      <c r="E97" s="436"/>
      <c r="F97" s="436"/>
      <c r="G97" s="436"/>
      <c r="H97" s="436"/>
      <c r="I97" s="436"/>
      <c r="J97" s="436"/>
      <c r="K97" s="436"/>
      <c r="L97" s="436"/>
      <c r="M97" s="436"/>
      <c r="N97" s="436"/>
      <c r="O97" s="437"/>
      <c r="R97" s="409" t="str">
        <f>R90</f>
        <v>Bear</v>
      </c>
      <c r="S97" s="399"/>
      <c r="T97" s="267"/>
      <c r="U97" s="267"/>
      <c r="V97" s="267"/>
      <c r="W97" s="268"/>
      <c r="X97" s="399"/>
      <c r="Y97" s="267"/>
      <c r="Z97" s="267"/>
      <c r="AA97" s="267"/>
      <c r="AB97" s="268"/>
      <c r="AC97" s="399"/>
      <c r="AD97" s="267"/>
      <c r="AE97" s="267"/>
      <c r="AF97" s="267"/>
      <c r="AG97" s="268"/>
      <c r="AH97" s="399"/>
      <c r="AI97" s="267"/>
      <c r="AJ97" s="267"/>
      <c r="AK97" s="267"/>
      <c r="AL97" s="268"/>
      <c r="AM97" s="399"/>
      <c r="AN97" s="267"/>
      <c r="AO97" s="267"/>
      <c r="AP97" s="267"/>
      <c r="AQ97" s="268"/>
      <c r="AR97" s="399"/>
      <c r="AS97" s="267"/>
      <c r="AT97" s="267"/>
      <c r="AU97" s="267"/>
      <c r="AV97" s="268"/>
      <c r="AW97" s="399"/>
      <c r="AX97" s="267"/>
      <c r="AY97" s="267"/>
      <c r="AZ97" s="267"/>
      <c r="BA97" s="268"/>
      <c r="BB97" s="399"/>
      <c r="BC97" s="267"/>
      <c r="BD97" s="267"/>
      <c r="BE97" s="1201">
        <f>BE96</f>
        <v>0.18</v>
      </c>
      <c r="BF97" s="1202"/>
      <c r="BG97" s="1203">
        <f>BG95+0.16%</f>
        <v>0.18659999999999999</v>
      </c>
      <c r="BH97" s="1201">
        <f>BH95+0.16%</f>
        <v>0.17359999999999998</v>
      </c>
      <c r="BI97" s="1201">
        <f>BI95+0.16%</f>
        <v>0.1762</v>
      </c>
      <c r="BJ97" s="1201">
        <f>BJ95+0.16%</f>
        <v>0.17679999999999998</v>
      </c>
      <c r="BK97" s="1202"/>
      <c r="BL97" s="1203">
        <f>BL95+0.16%</f>
        <v>0.19139999999999999</v>
      </c>
      <c r="BM97" s="1201">
        <f>BM95+0.9%</f>
        <v>0.18629999999999999</v>
      </c>
      <c r="BN97" s="1201">
        <f>BN95+0.5%</f>
        <v>0.1734</v>
      </c>
      <c r="BO97" s="1201">
        <f>BO95+0.7%</f>
        <v>0.1782</v>
      </c>
      <c r="BP97" s="1202"/>
      <c r="BQ97" s="1203">
        <f>BQ95+0.9%</f>
        <v>0.19800000000000001</v>
      </c>
      <c r="BR97" s="1201">
        <f>BR95+0.3%</f>
        <v>0.1794</v>
      </c>
      <c r="BS97" s="1201">
        <f>BS95+0.3%</f>
        <v>0.16930000000000001</v>
      </c>
      <c r="BT97" s="1201">
        <f>BT95+0.4%</f>
        <v>0.17699999999999999</v>
      </c>
      <c r="BU97" s="1202"/>
      <c r="BV97" s="1203">
        <f>BV95+0.2%</f>
        <v>0.1837</v>
      </c>
      <c r="BW97" s="1201">
        <f>BW95+0.6%</f>
        <v>0.1741</v>
      </c>
      <c r="BX97" s="1201">
        <f>BX95+0.6%</f>
        <v>0.16400000000000001</v>
      </c>
      <c r="BY97" s="1201">
        <f>BY95+0.4%</f>
        <v>0.1719</v>
      </c>
      <c r="BZ97" s="1202"/>
    </row>
    <row r="98" spans="1:78" s="248" customFormat="1" ht="14.1" customHeight="1" x14ac:dyDescent="0.2">
      <c r="A98"/>
      <c r="B98"/>
      <c r="C98" s="408" t="str">
        <f t="shared" si="44"/>
        <v>Operating taxes and licenses</v>
      </c>
      <c r="D98" s="401">
        <f>W98</f>
        <v>43.33</v>
      </c>
      <c r="E98" s="401">
        <f>AB98</f>
        <v>50.088999999999999</v>
      </c>
      <c r="F98" s="401">
        <f>AG98</f>
        <v>54.396999999999998</v>
      </c>
      <c r="G98" s="401">
        <f>AL98</f>
        <v>56.293999999999997</v>
      </c>
      <c r="H98" s="401">
        <f>AQ98</f>
        <v>59.094999999999999</v>
      </c>
      <c r="I98" s="401">
        <f>AV98</f>
        <v>63.823999999999998</v>
      </c>
      <c r="J98" s="401">
        <f>BA98</f>
        <v>69.542000000000002</v>
      </c>
      <c r="K98" s="401">
        <f>BF98</f>
        <v>78.415461602322608</v>
      </c>
      <c r="L98" s="401">
        <f>BK98</f>
        <v>84.368463840185512</v>
      </c>
      <c r="M98" s="401">
        <f>BP98</f>
        <v>90.912862918051559</v>
      </c>
      <c r="N98" s="401">
        <f>BU98</f>
        <v>90.733215961024754</v>
      </c>
      <c r="O98" s="407">
        <f>BZ98</f>
        <v>93.391288203006695</v>
      </c>
      <c r="R98" s="411" t="str">
        <f>'Income Statement'!R14</f>
        <v>Operating taxes and licenses</v>
      </c>
      <c r="S98" s="400">
        <f>'Income Statement'!S14</f>
        <v>10.582000000000001</v>
      </c>
      <c r="T98" s="401">
        <f>'Income Statement'!T14</f>
        <v>10.875</v>
      </c>
      <c r="U98" s="401">
        <f>'Income Statement'!U14</f>
        <v>10.631</v>
      </c>
      <c r="V98" s="401">
        <f>'Income Statement'!V14</f>
        <v>11.241999999999997</v>
      </c>
      <c r="W98" s="402">
        <f>'Income Statement'!W14</f>
        <v>43.33</v>
      </c>
      <c r="X98" s="400">
        <f>'Income Statement'!X14</f>
        <v>12.15</v>
      </c>
      <c r="Y98" s="401">
        <f>'Income Statement'!Y14</f>
        <v>12.794</v>
      </c>
      <c r="Z98" s="401">
        <f>'Income Statement'!Z14</f>
        <v>12.366</v>
      </c>
      <c r="AA98" s="401">
        <f>'Income Statement'!AA14</f>
        <v>12.778999999999996</v>
      </c>
      <c r="AB98" s="402">
        <f>'Income Statement'!AB14</f>
        <v>50.088999999999999</v>
      </c>
      <c r="AC98" s="400">
        <f>'Income Statement'!AC14</f>
        <v>13.202</v>
      </c>
      <c r="AD98" s="401">
        <f>'Income Statement'!AD14</f>
        <v>13.529</v>
      </c>
      <c r="AE98" s="401">
        <f>'Income Statement'!AE14</f>
        <v>13.634</v>
      </c>
      <c r="AF98" s="401">
        <f>'Income Statement'!AF14</f>
        <v>14.031999999999996</v>
      </c>
      <c r="AG98" s="402">
        <f>'Income Statement'!AG14</f>
        <v>54.396999999999998</v>
      </c>
      <c r="AH98" s="400">
        <f>'Income Statement'!AH14</f>
        <v>14.396000000000001</v>
      </c>
      <c r="AI98" s="401">
        <f>'Income Statement'!AI14</f>
        <v>13.743</v>
      </c>
      <c r="AJ98" s="401">
        <f>'Income Statement'!AJ14</f>
        <v>14.061</v>
      </c>
      <c r="AK98" s="401">
        <f>'Income Statement'!AK14</f>
        <v>14.093999999999994</v>
      </c>
      <c r="AL98" s="402">
        <f>'Income Statement'!AL14</f>
        <v>56.293999999999997</v>
      </c>
      <c r="AM98" s="400">
        <f>'Income Statement'!AM14</f>
        <v>14.337999999999999</v>
      </c>
      <c r="AN98" s="401">
        <f>'Income Statement'!AN14</f>
        <v>14.558999999999999</v>
      </c>
      <c r="AO98" s="401">
        <f>'Income Statement'!AO14</f>
        <v>14.571999999999999</v>
      </c>
      <c r="AP98" s="401">
        <f>'Income Statement'!AP14</f>
        <v>15.626000000000005</v>
      </c>
      <c r="AQ98" s="402">
        <f>'Income Statement'!AQ14</f>
        <v>59.094999999999999</v>
      </c>
      <c r="AR98" s="400">
        <f>'Income Statement'!AR14</f>
        <v>16.573</v>
      </c>
      <c r="AS98" s="401">
        <f>'Income Statement'!AS14</f>
        <v>15.978999999999999</v>
      </c>
      <c r="AT98" s="401">
        <f>'Income Statement'!AT14</f>
        <v>16.260999999999999</v>
      </c>
      <c r="AU98" s="401">
        <f>'Income Statement'!AU14</f>
        <v>15.010999999999996</v>
      </c>
      <c r="AV98" s="402">
        <f>'Income Statement'!AV14</f>
        <v>63.823999999999998</v>
      </c>
      <c r="AW98" s="400">
        <f>'Income Statement'!AW14</f>
        <v>17.065000000000001</v>
      </c>
      <c r="AX98" s="401">
        <f>'Income Statement'!AX14</f>
        <v>17.457000000000001</v>
      </c>
      <c r="AY98" s="401">
        <f>'Income Statement'!AY14</f>
        <v>17.018000000000001</v>
      </c>
      <c r="AZ98" s="401">
        <f>'Income Statement'!AZ14</f>
        <v>18.001999999999995</v>
      </c>
      <c r="BA98" s="402">
        <f>'Income Statement'!BA14</f>
        <v>69.542000000000002</v>
      </c>
      <c r="BB98" s="400">
        <f>'Income Statement'!BB14</f>
        <v>19.765999999999998</v>
      </c>
      <c r="BC98" s="401">
        <f>'Income Statement'!BC14</f>
        <v>19.693000000000001</v>
      </c>
      <c r="BD98" s="401">
        <f>'Income Statement'!BD14</f>
        <v>19.942</v>
      </c>
      <c r="BE98" s="401">
        <f>BE99*BE11</f>
        <v>19.014461602322605</v>
      </c>
      <c r="BF98" s="402">
        <f>SUM(BB98:BE98)</f>
        <v>78.415461602322608</v>
      </c>
      <c r="BG98" s="400">
        <f>BG99*BG11</f>
        <v>21.366808718064682</v>
      </c>
      <c r="BH98" s="401">
        <f>BH99*BH11</f>
        <v>21.431501267366283</v>
      </c>
      <c r="BI98" s="401">
        <f>BI99*BI11</f>
        <v>21.172405846559471</v>
      </c>
      <c r="BJ98" s="401">
        <f>BJ99*BJ11</f>
        <v>20.39774800819508</v>
      </c>
      <c r="BK98" s="402">
        <f>SUM(BG98:BJ98)</f>
        <v>84.368463840185512</v>
      </c>
      <c r="BL98" s="400">
        <f>BL99*BL11</f>
        <v>22.898905615811046</v>
      </c>
      <c r="BM98" s="401">
        <f>BM99*BM11</f>
        <v>22.93826100874066</v>
      </c>
      <c r="BN98" s="401">
        <f>BN99*BN11</f>
        <v>22.792046613371628</v>
      </c>
      <c r="BO98" s="401">
        <f>BO99*BO11</f>
        <v>22.283649680128221</v>
      </c>
      <c r="BP98" s="402">
        <f>SUM(BL98:BO98)</f>
        <v>90.912862918051559</v>
      </c>
      <c r="BQ98" s="400">
        <f>BQ99*BQ11</f>
        <v>22.904543503533912</v>
      </c>
      <c r="BR98" s="401">
        <f>BR99*BR11</f>
        <v>22.931283673644842</v>
      </c>
      <c r="BS98" s="401">
        <f>BS99*BS11</f>
        <v>22.753127161488479</v>
      </c>
      <c r="BT98" s="401">
        <f>BT99*BT11</f>
        <v>22.144261622357522</v>
      </c>
      <c r="BU98" s="402">
        <f>SUM(BQ98:BT98)</f>
        <v>90.733215961024754</v>
      </c>
      <c r="BV98" s="400">
        <f>BV99*BV11</f>
        <v>23.599377003187204</v>
      </c>
      <c r="BW98" s="401">
        <f>BW99*BW11</f>
        <v>23.535092437925059</v>
      </c>
      <c r="BX98" s="401">
        <f>BX99*BX11</f>
        <v>23.642336349181235</v>
      </c>
      <c r="BY98" s="401">
        <f>BY99*BY11</f>
        <v>22.614482412713205</v>
      </c>
      <c r="BZ98" s="402">
        <f>SUM(BV98:BY98)</f>
        <v>93.391288203006695</v>
      </c>
    </row>
    <row r="99" spans="1:78" s="248" customFormat="1" ht="14.1" customHeight="1" x14ac:dyDescent="0.2">
      <c r="A99"/>
      <c r="B99"/>
      <c r="C99" s="412" t="str">
        <f t="shared" si="44"/>
        <v>As a % of Revenue</v>
      </c>
      <c r="D99" s="430">
        <f>W99</f>
        <v>3.0846378202367332E-2</v>
      </c>
      <c r="E99" s="430">
        <f>AB99</f>
        <v>3.0286319972379582E-2</v>
      </c>
      <c r="F99" s="430">
        <f>AG99</f>
        <v>3.0444917685051226E-2</v>
      </c>
      <c r="G99" s="430">
        <f>AL99</f>
        <v>3.0890611435902555E-2</v>
      </c>
      <c r="H99" s="430">
        <f>AQ99</f>
        <v>2.5820289561253876E-2</v>
      </c>
      <c r="I99" s="430">
        <f>AV99</f>
        <v>2.2859132173877542E-2</v>
      </c>
      <c r="J99" s="430">
        <f>BA99</f>
        <v>2.4134519178478208E-2</v>
      </c>
      <c r="K99" s="430">
        <f>BF99</f>
        <v>2.4435314737063576E-2</v>
      </c>
      <c r="L99" s="430">
        <f>BK99</f>
        <v>2.368256862990567E-2</v>
      </c>
      <c r="M99" s="430">
        <f>BP99</f>
        <v>2.2222003746675458E-2</v>
      </c>
      <c r="N99" s="430">
        <f>BU99</f>
        <v>2.0371320174896231E-2</v>
      </c>
      <c r="O99" s="431">
        <f>BZ99</f>
        <v>1.9423282884982712E-2</v>
      </c>
      <c r="R99" s="412" t="str">
        <f>R92</f>
        <v>As a % of Revenue</v>
      </c>
      <c r="S99" s="405">
        <f>S98/'Income Statement'!S8</f>
        <v>3.2752483828035535E-2</v>
      </c>
      <c r="T99" s="406">
        <f>T98/'Income Statement'!T8</f>
        <v>3.0363524681706496E-2</v>
      </c>
      <c r="U99" s="406">
        <f>U98/'Income Statement'!U8</f>
        <v>3.0368906079494488E-2</v>
      </c>
      <c r="V99" s="406">
        <f>V98/'Income Statement'!V8</f>
        <v>3.0107849412546083E-2</v>
      </c>
      <c r="W99" s="404">
        <f>W98/'Income Statement'!W8</f>
        <v>3.0846378202367332E-2</v>
      </c>
      <c r="X99" s="405">
        <f>X98/'Income Statement'!X8</f>
        <v>3.0931378164738229E-2</v>
      </c>
      <c r="Y99" s="406">
        <f>Y98/'Income Statement'!Y8</f>
        <v>2.9841486056557474E-2</v>
      </c>
      <c r="Z99" s="406">
        <f>Z98/'Income Statement'!Z8</f>
        <v>2.9058045596176349E-2</v>
      </c>
      <c r="AA99" s="406">
        <f>AA98/'Income Statement'!AA8</f>
        <v>3.1417332513829145E-2</v>
      </c>
      <c r="AB99" s="404">
        <f>AB98/'Income Statement'!AB8</f>
        <v>3.0286319972379582E-2</v>
      </c>
      <c r="AC99" s="405">
        <f>AC98/'Income Statement'!AC8</f>
        <v>3.2154199871402687E-2</v>
      </c>
      <c r="AD99" s="406">
        <f>AD98/'Income Statement'!AD8</f>
        <v>2.9145079115457943E-2</v>
      </c>
      <c r="AE99" s="406">
        <f>AE98/'Income Statement'!AE8</f>
        <v>2.9077120268889783E-2</v>
      </c>
      <c r="AF99" s="406">
        <f>AF98/'Income Statement'!AF8</f>
        <v>3.1670296683330892E-2</v>
      </c>
      <c r="AG99" s="404">
        <f>AG98/'Income Statement'!AG8</f>
        <v>3.0444917685051226E-2</v>
      </c>
      <c r="AH99" s="405">
        <f>AH98/'Income Statement'!AH8</f>
        <v>3.224939291570713E-2</v>
      </c>
      <c r="AI99" s="406">
        <f>AI98/'Income Statement'!AI8</f>
        <v>3.286902615076271E-2</v>
      </c>
      <c r="AJ99" s="406">
        <f>AJ98/'Income Statement'!AJ8</f>
        <v>2.9210135985740817E-2</v>
      </c>
      <c r="AK99" s="406">
        <f>AK98/'Income Statement'!AK8</f>
        <v>2.9579291557708359E-2</v>
      </c>
      <c r="AL99" s="404">
        <f>AL98/'Income Statement'!AL8</f>
        <v>3.0890611435902555E-2</v>
      </c>
      <c r="AM99" s="405">
        <f>AM98/'Income Statement'!AM8</f>
        <v>2.9619438350334863E-2</v>
      </c>
      <c r="AN99" s="406">
        <f>AN98/'Income Statement'!AN8</f>
        <v>2.548251195012366E-2</v>
      </c>
      <c r="AO99" s="406">
        <f>AO98/'Income Statement'!AO8</f>
        <v>2.3647552157035841E-2</v>
      </c>
      <c r="AP99" s="406">
        <f>AP98/'Income Statement'!AP8</f>
        <v>2.5322445513635976E-2</v>
      </c>
      <c r="AQ99" s="404">
        <f>AQ98/'Income Statement'!AQ8</f>
        <v>2.5820289561253876E-2</v>
      </c>
      <c r="AR99" s="405">
        <f>AR98/'Income Statement'!AR8</f>
        <v>2.5064426753133622E-2</v>
      </c>
      <c r="AS99" s="406">
        <f>AS98/'Income Statement'!AS8</f>
        <v>2.1432384508700913E-2</v>
      </c>
      <c r="AT99" s="406">
        <f>AT98/'Income Statement'!AT8</f>
        <v>2.2288746246030146E-2</v>
      </c>
      <c r="AU99" s="406">
        <f>AU98/'Income Statement'!AU8</f>
        <v>2.2892183625477722E-2</v>
      </c>
      <c r="AV99" s="404">
        <f>AV98/'Income Statement'!AV8</f>
        <v>2.2859132173877542E-2</v>
      </c>
      <c r="AW99" s="405">
        <f>AW98/'Income Statement'!AW8</f>
        <v>2.5835118502426067E-2</v>
      </c>
      <c r="AX99" s="406">
        <f>AX98/'Income Statement'!AX8</f>
        <v>2.5131654338618706E-2</v>
      </c>
      <c r="AY99" s="406">
        <f>AY98/'Income Statement'!AY8</f>
        <v>2.1954630365454676E-2</v>
      </c>
      <c r="AZ99" s="406">
        <f>AZ98/'Income Statement'!AZ8</f>
        <v>2.3966493239537118E-2</v>
      </c>
      <c r="BA99" s="404">
        <f>BA98/'Income Statement'!BA8</f>
        <v>2.4134519178478208E-2</v>
      </c>
      <c r="BB99" s="406">
        <f>BB98/'Income Statement'!BB8</f>
        <v>2.6187936802358317E-2</v>
      </c>
      <c r="BC99" s="406">
        <f>BC98/'Income Statement'!BC8</f>
        <v>2.3921218982464496E-2</v>
      </c>
      <c r="BD99" s="406">
        <f>BD98/'Income Statement'!BD8</f>
        <v>2.3681188643194479E-2</v>
      </c>
      <c r="BE99" s="406">
        <f>INDEX($BE$101:$BZ$104,MATCH($O$3,$C$46:$C$49,0),MATCH(BE$75,$BE$75:$BZ$75,0))</f>
        <v>2.41E-2</v>
      </c>
      <c r="BF99" s="404">
        <f>BF98/'Income Statement'!BF8</f>
        <v>2.4435314737063576E-2</v>
      </c>
      <c r="BG99" s="405">
        <f>INDEX($BE$101:$BZ$104,MATCH($O$3,$C$46:$C$49,0),MATCH(BG$75,$BE$75:$BZ$75,0))</f>
        <v>2.5700000000000001E-2</v>
      </c>
      <c r="BH99" s="406">
        <f>INDEX($BE$101:$BZ$104,MATCH($O$3,$C$46:$C$49,0),MATCH(BH$75,$BE$75:$BZ$75,0))</f>
        <v>2.3299999999999998E-2</v>
      </c>
      <c r="BI99" s="406">
        <f>INDEX($BE$101:$BZ$104,MATCH($O$3,$C$46:$C$49,0),MATCH(BI$75,$BE$75:$BZ$75,0))</f>
        <v>2.3E-2</v>
      </c>
      <c r="BJ99" s="406">
        <f>INDEX($BE$101:$BZ$104,MATCH($O$3,$C$46:$C$49,0),MATCH(BJ$75,$BE$75:$BZ$75,0))</f>
        <v>2.29E-2</v>
      </c>
      <c r="BK99" s="404">
        <f>BK98/'Income Statement'!BK8</f>
        <v>2.368256862990567E-2</v>
      </c>
      <c r="BL99" s="405">
        <f>INDEX($BE$101:$BZ$104,MATCH($O$3,$C$46:$C$49,0),MATCH(BL$75,$BE$75:$BZ$75,0))</f>
        <v>2.4300000000000002E-2</v>
      </c>
      <c r="BM99" s="406">
        <f>INDEX($BE$101:$BZ$104,MATCH($O$3,$C$46:$C$49,0),MATCH(BM$75,$BE$75:$BZ$75,0))</f>
        <v>2.1900000000000003E-2</v>
      </c>
      <c r="BN99" s="406">
        <f>INDEX($BE$101:$BZ$104,MATCH($O$3,$C$46:$C$49,0),MATCH(BN$75,$BE$75:$BZ$75,0))</f>
        <v>2.1600000000000001E-2</v>
      </c>
      <c r="BO99" s="406">
        <f>INDEX($BE$101:$BZ$104,MATCH($O$3,$C$46:$C$49,0),MATCH(BO$75,$BE$75:$BZ$75,0))</f>
        <v>2.1300000000000003E-2</v>
      </c>
      <c r="BP99" s="404">
        <f>BP98/'Income Statement'!BP8</f>
        <v>2.2222003746675458E-2</v>
      </c>
      <c r="BQ99" s="405">
        <f>INDEX($BE$101:$BZ$104,MATCH($O$3,$C$46:$C$49,0),MATCH(BQ$75,$BE$75:$BZ$75,0))</f>
        <v>2.24E-2</v>
      </c>
      <c r="BR99" s="406">
        <f>INDEX($BE$101:$BZ$104,MATCH($O$3,$C$46:$C$49,0),MATCH(BR$75,$BE$75:$BZ$75,0))</f>
        <v>2.01E-2</v>
      </c>
      <c r="BS99" s="406">
        <f>INDEX($BE$101:$BZ$104,MATCH($O$3,$C$46:$C$49,0),MATCH(BS$75,$BE$75:$BZ$75,0))</f>
        <v>1.9700000000000002E-2</v>
      </c>
      <c r="BT99" s="406">
        <f>INDEX($BE$101:$BZ$104,MATCH($O$3,$C$46:$C$49,0),MATCH(BT$75,$BE$75:$BZ$75,0))</f>
        <v>1.95E-2</v>
      </c>
      <c r="BU99" s="404">
        <f>BU98/'Income Statement'!BU8</f>
        <v>2.0371320174896231E-2</v>
      </c>
      <c r="BV99" s="405">
        <f>INDEX($BE$101:$BZ$104,MATCH($O$3,$C$46:$C$49,0),MATCH(BV$75,$BE$75:$BZ$75,0))</f>
        <v>2.1400000000000002E-2</v>
      </c>
      <c r="BW99" s="406">
        <f>INDEX($BE$101:$BZ$104,MATCH($O$3,$C$46:$C$49,0),MATCH(BW$75,$BE$75:$BZ$75,0))</f>
        <v>1.9E-2</v>
      </c>
      <c r="BX99" s="406">
        <f>INDEX($BE$101:$BZ$104,MATCH($O$3,$C$46:$C$49,0),MATCH(BX$75,$BE$75:$BZ$75,0))</f>
        <v>1.89E-2</v>
      </c>
      <c r="BY99" s="406">
        <f>INDEX($BE$101:$BZ$104,MATCH($O$3,$C$46:$C$49,0),MATCH(BY$75,$BE$75:$BZ$75,0))</f>
        <v>1.8600000000000002E-2</v>
      </c>
      <c r="BZ99" s="404">
        <f>BZ98/'Income Statement'!BZ8</f>
        <v>1.9423282884982712E-2</v>
      </c>
    </row>
    <row r="100" spans="1:78" s="248" customFormat="1" ht="14.1" customHeight="1" x14ac:dyDescent="0.2">
      <c r="A100"/>
      <c r="B100"/>
      <c r="C100" s="802" t="str">
        <f>C93</f>
        <v>Growth %</v>
      </c>
      <c r="D100" s="805"/>
      <c r="E100" s="803">
        <f t="shared" ref="E100:O100" si="54">IFERROR(E98/D98-1,"NM")</f>
        <v>0.15598892222478655</v>
      </c>
      <c r="F100" s="803">
        <f t="shared" si="54"/>
        <v>8.6006907704286428E-2</v>
      </c>
      <c r="G100" s="803">
        <f t="shared" si="54"/>
        <v>3.4873246686398129E-2</v>
      </c>
      <c r="H100" s="803">
        <f t="shared" si="54"/>
        <v>4.9756634810104172E-2</v>
      </c>
      <c r="I100" s="803">
        <f t="shared" si="54"/>
        <v>8.0023690667569092E-2</v>
      </c>
      <c r="J100" s="803">
        <f t="shared" si="54"/>
        <v>8.9590122837803987E-2</v>
      </c>
      <c r="K100" s="803">
        <f t="shared" si="54"/>
        <v>0.12759859656499106</v>
      </c>
      <c r="L100" s="803">
        <f t="shared" si="54"/>
        <v>7.5916179235838044E-2</v>
      </c>
      <c r="M100" s="803">
        <f t="shared" si="54"/>
        <v>7.7569257279150428E-2</v>
      </c>
      <c r="N100" s="803">
        <f t="shared" si="54"/>
        <v>-1.9760345374750798E-3</v>
      </c>
      <c r="O100" s="804">
        <f t="shared" si="54"/>
        <v>2.9295470394477663E-2</v>
      </c>
      <c r="R100" s="412" t="str">
        <f>C100</f>
        <v>Growth %</v>
      </c>
      <c r="S100" s="405"/>
      <c r="T100" s="406"/>
      <c r="U100" s="406"/>
      <c r="V100" s="406"/>
      <c r="W100" s="404"/>
      <c r="X100" s="405">
        <f t="shared" ref="X100:BC100" si="55">IFERROR(X98/S98-1,"NM")</f>
        <v>0.1481761481761481</v>
      </c>
      <c r="Y100" s="406">
        <f t="shared" si="55"/>
        <v>0.17645977011494263</v>
      </c>
      <c r="Z100" s="406">
        <f t="shared" si="55"/>
        <v>0.16320195654218783</v>
      </c>
      <c r="AA100" s="406">
        <f t="shared" si="55"/>
        <v>0.13671944493862287</v>
      </c>
      <c r="AB100" s="404">
        <f t="shared" si="55"/>
        <v>0.15598892222478655</v>
      </c>
      <c r="AC100" s="405">
        <f t="shared" si="55"/>
        <v>8.6584362139917603E-2</v>
      </c>
      <c r="AD100" s="406">
        <f t="shared" si="55"/>
        <v>5.7448804126934538E-2</v>
      </c>
      <c r="AE100" s="406">
        <f t="shared" si="55"/>
        <v>0.10253922044315056</v>
      </c>
      <c r="AF100" s="406">
        <f t="shared" si="55"/>
        <v>9.8051490726974055E-2</v>
      </c>
      <c r="AG100" s="404">
        <f t="shared" si="55"/>
        <v>8.6006907704286428E-2</v>
      </c>
      <c r="AH100" s="405">
        <f t="shared" si="55"/>
        <v>9.0440842296621859E-2</v>
      </c>
      <c r="AI100" s="406">
        <f t="shared" si="55"/>
        <v>1.5817872717865278E-2</v>
      </c>
      <c r="AJ100" s="406">
        <f t="shared" si="55"/>
        <v>3.1318761918732507E-2</v>
      </c>
      <c r="AK100" s="406">
        <f t="shared" si="55"/>
        <v>4.4184720638538177E-3</v>
      </c>
      <c r="AL100" s="404">
        <f t="shared" si="55"/>
        <v>3.4873246686398129E-2</v>
      </c>
      <c r="AM100" s="405">
        <f t="shared" si="55"/>
        <v>-4.0288969158100985E-3</v>
      </c>
      <c r="AN100" s="406">
        <f t="shared" si="55"/>
        <v>5.937568216546607E-2</v>
      </c>
      <c r="AO100" s="406">
        <f t="shared" si="55"/>
        <v>3.6341654220894526E-2</v>
      </c>
      <c r="AP100" s="406">
        <f t="shared" si="55"/>
        <v>0.10869873705122823</v>
      </c>
      <c r="AQ100" s="404">
        <f t="shared" si="55"/>
        <v>4.9756634810104172E-2</v>
      </c>
      <c r="AR100" s="405">
        <f t="shared" si="55"/>
        <v>0.15587948109917704</v>
      </c>
      <c r="AS100" s="406">
        <f t="shared" si="55"/>
        <v>9.7534171302974038E-2</v>
      </c>
      <c r="AT100" s="406">
        <f t="shared" si="55"/>
        <v>0.11590721932473236</v>
      </c>
      <c r="AU100" s="406">
        <f t="shared" si="55"/>
        <v>-3.9357481121208848E-2</v>
      </c>
      <c r="AV100" s="404">
        <f t="shared" si="55"/>
        <v>8.0023690667569092E-2</v>
      </c>
      <c r="AW100" s="405">
        <f t="shared" si="55"/>
        <v>2.9686840041030615E-2</v>
      </c>
      <c r="AX100" s="406">
        <f t="shared" si="55"/>
        <v>9.2496401527004224E-2</v>
      </c>
      <c r="AY100" s="406">
        <f t="shared" si="55"/>
        <v>4.6553102515220601E-2</v>
      </c>
      <c r="AZ100" s="406">
        <f t="shared" si="55"/>
        <v>0.19925388048764248</v>
      </c>
      <c r="BA100" s="404">
        <f t="shared" si="55"/>
        <v>8.9590122837803987E-2</v>
      </c>
      <c r="BB100" s="406">
        <f t="shared" si="55"/>
        <v>0.1582771755054202</v>
      </c>
      <c r="BC100" s="406">
        <f t="shared" si="55"/>
        <v>0.12808615455118288</v>
      </c>
      <c r="BD100" s="406">
        <f t="shared" ref="BD100:BZ100" si="56">IFERROR(BD98/AY98-1,"NM")</f>
        <v>0.17181807497943358</v>
      </c>
      <c r="BE100" s="406">
        <f t="shared" si="56"/>
        <v>5.6241617727064153E-2</v>
      </c>
      <c r="BF100" s="404">
        <f t="shared" si="56"/>
        <v>0.12759859656499106</v>
      </c>
      <c r="BG100" s="405">
        <f t="shared" si="56"/>
        <v>8.0987995449999239E-2</v>
      </c>
      <c r="BH100" s="406">
        <f t="shared" si="56"/>
        <v>8.8280163883932339E-2</v>
      </c>
      <c r="BI100" s="406">
        <f t="shared" si="56"/>
        <v>6.1699220066165461E-2</v>
      </c>
      <c r="BJ100" s="406">
        <f t="shared" si="56"/>
        <v>7.2749175590830717E-2</v>
      </c>
      <c r="BK100" s="404">
        <f t="shared" si="56"/>
        <v>7.5916179235838044E-2</v>
      </c>
      <c r="BL100" s="405">
        <f t="shared" si="56"/>
        <v>7.1704526303501881E-2</v>
      </c>
      <c r="BM100" s="406">
        <f t="shared" si="56"/>
        <v>7.0305841974249272E-2</v>
      </c>
      <c r="BN100" s="406">
        <f t="shared" si="56"/>
        <v>7.6497719652174112E-2</v>
      </c>
      <c r="BO100" s="406">
        <f t="shared" si="56"/>
        <v>9.2456366809485768E-2</v>
      </c>
      <c r="BP100" s="404">
        <f t="shared" si="56"/>
        <v>7.7569257279150428E-2</v>
      </c>
      <c r="BQ100" s="405">
        <f t="shared" si="56"/>
        <v>2.4620773662542561E-4</v>
      </c>
      <c r="BR100" s="406">
        <f t="shared" si="56"/>
        <v>-3.0417890410960879E-4</v>
      </c>
      <c r="BS100" s="406">
        <f t="shared" si="56"/>
        <v>-1.7075891666664678E-3</v>
      </c>
      <c r="BT100" s="406">
        <f t="shared" si="56"/>
        <v>-6.255171830986006E-3</v>
      </c>
      <c r="BU100" s="404">
        <f t="shared" si="56"/>
        <v>-1.9760345374750798E-3</v>
      </c>
      <c r="BV100" s="405">
        <f t="shared" si="56"/>
        <v>3.0336055357142788E-2</v>
      </c>
      <c r="BW100" s="406">
        <f t="shared" si="56"/>
        <v>2.6331223880596832E-2</v>
      </c>
      <c r="BX100" s="406">
        <f t="shared" si="56"/>
        <v>3.9080746192893256E-2</v>
      </c>
      <c r="BY100" s="406">
        <f t="shared" si="56"/>
        <v>2.1234430769230705E-2</v>
      </c>
      <c r="BZ100" s="404">
        <f t="shared" si="56"/>
        <v>2.9295470394477663E-2</v>
      </c>
    </row>
    <row r="101" spans="1:78" s="248" customFormat="1" ht="14.1" customHeight="1" x14ac:dyDescent="0.2">
      <c r="A101"/>
      <c r="B101"/>
      <c r="C101" s="427" t="str">
        <f t="shared" si="44"/>
        <v>Reversed</v>
      </c>
      <c r="D101" s="401"/>
      <c r="E101" s="432"/>
      <c r="F101" s="432"/>
      <c r="G101" s="432"/>
      <c r="H101" s="432"/>
      <c r="I101" s="432"/>
      <c r="J101" s="432"/>
      <c r="K101" s="432"/>
      <c r="L101" s="432"/>
      <c r="M101" s="432"/>
      <c r="N101" s="432"/>
      <c r="O101" s="433"/>
      <c r="R101" s="409" t="str">
        <f>R94</f>
        <v>Reversed</v>
      </c>
      <c r="S101" s="398"/>
      <c r="T101" s="263"/>
      <c r="U101" s="263"/>
      <c r="V101" s="263"/>
      <c r="W101" s="264"/>
      <c r="X101" s="398"/>
      <c r="Y101" s="263"/>
      <c r="Z101" s="263"/>
      <c r="AA101" s="263"/>
      <c r="AB101" s="264"/>
      <c r="AC101" s="398"/>
      <c r="AD101" s="263"/>
      <c r="AE101" s="263"/>
      <c r="AF101" s="263"/>
      <c r="AG101" s="264"/>
      <c r="AH101" s="398"/>
      <c r="AI101" s="263"/>
      <c r="AJ101" s="263"/>
      <c r="AK101" s="263"/>
      <c r="AL101" s="264"/>
      <c r="AM101" s="398"/>
      <c r="AN101" s="263"/>
      <c r="AO101" s="263"/>
      <c r="AP101" s="263"/>
      <c r="AQ101" s="264"/>
      <c r="AR101" s="398"/>
      <c r="AS101" s="263"/>
      <c r="AT101" s="263"/>
      <c r="AU101" s="263"/>
      <c r="AV101" s="264"/>
      <c r="AW101" s="398"/>
      <c r="AX101" s="263"/>
      <c r="AY101" s="263"/>
      <c r="AZ101" s="263"/>
      <c r="BA101" s="264"/>
      <c r="BB101" s="398"/>
      <c r="BC101" s="263"/>
      <c r="BD101" s="263"/>
      <c r="BE101" s="1198">
        <v>2.41E-2</v>
      </c>
      <c r="BF101" s="1199"/>
      <c r="BG101" s="1200">
        <v>2.6700000000000002E-2</v>
      </c>
      <c r="BH101" s="1198">
        <v>2.4299999999999999E-2</v>
      </c>
      <c r="BI101" s="1198">
        <v>2.4E-2</v>
      </c>
      <c r="BJ101" s="1198">
        <v>2.3900000000000001E-2</v>
      </c>
      <c r="BK101" s="1199"/>
      <c r="BL101" s="1200">
        <v>2.5100000000000001E-2</v>
      </c>
      <c r="BM101" s="1198">
        <v>2.2700000000000001E-2</v>
      </c>
      <c r="BN101" s="1198">
        <v>2.24E-2</v>
      </c>
      <c r="BO101" s="1198">
        <v>2.2100000000000002E-2</v>
      </c>
      <c r="BP101" s="1199"/>
      <c r="BQ101" s="1200">
        <v>2.4299999999999999E-2</v>
      </c>
      <c r="BR101" s="1198">
        <v>2.1999999999999999E-2</v>
      </c>
      <c r="BS101" s="1198">
        <v>2.1600000000000001E-2</v>
      </c>
      <c r="BT101" s="1198">
        <v>2.1399999999999999E-2</v>
      </c>
      <c r="BU101" s="1199"/>
      <c r="BV101" s="1200">
        <v>2.3900000000000001E-2</v>
      </c>
      <c r="BW101" s="1198">
        <v>2.1499999999999998E-2</v>
      </c>
      <c r="BX101" s="1198">
        <v>2.1399999999999999E-2</v>
      </c>
      <c r="BY101" s="1198">
        <v>2.1100000000000001E-2</v>
      </c>
      <c r="BZ101" s="264"/>
    </row>
    <row r="102" spans="1:78" s="248" customFormat="1" ht="14.1" customHeight="1" x14ac:dyDescent="0.2">
      <c r="A102"/>
      <c r="B102"/>
      <c r="C102" s="409" t="str">
        <f t="shared" si="44"/>
        <v>Base</v>
      </c>
      <c r="D102" s="382"/>
      <c r="E102" s="434"/>
      <c r="F102" s="434"/>
      <c r="G102" s="434"/>
      <c r="H102" s="434"/>
      <c r="I102" s="434"/>
      <c r="J102" s="434"/>
      <c r="K102" s="434"/>
      <c r="L102" s="434"/>
      <c r="M102" s="434"/>
      <c r="N102" s="434"/>
      <c r="O102" s="435"/>
      <c r="R102" s="409" t="str">
        <f>R95</f>
        <v>Base</v>
      </c>
      <c r="S102" s="398"/>
      <c r="T102" s="263"/>
      <c r="U102" s="263"/>
      <c r="V102" s="263"/>
      <c r="W102" s="264"/>
      <c r="X102" s="398"/>
      <c r="Y102" s="263"/>
      <c r="Z102" s="263"/>
      <c r="AA102" s="263"/>
      <c r="AB102" s="264"/>
      <c r="AC102" s="398"/>
      <c r="AD102" s="263"/>
      <c r="AE102" s="263"/>
      <c r="AF102" s="263"/>
      <c r="AG102" s="264"/>
      <c r="AH102" s="398"/>
      <c r="AI102" s="263"/>
      <c r="AJ102" s="263"/>
      <c r="AK102" s="263"/>
      <c r="AL102" s="264"/>
      <c r="AM102" s="398"/>
      <c r="AN102" s="263"/>
      <c r="AO102" s="263"/>
      <c r="AP102" s="263"/>
      <c r="AQ102" s="264"/>
      <c r="AR102" s="398"/>
      <c r="AS102" s="263"/>
      <c r="AT102" s="263"/>
      <c r="AU102" s="263"/>
      <c r="AV102" s="264"/>
      <c r="AW102" s="398"/>
      <c r="AX102" s="263"/>
      <c r="AY102" s="263"/>
      <c r="AZ102" s="263"/>
      <c r="BA102" s="264"/>
      <c r="BB102" s="398"/>
      <c r="BC102" s="263"/>
      <c r="BD102" s="263"/>
      <c r="BE102" s="1198">
        <v>2.41E-2</v>
      </c>
      <c r="BF102" s="1199"/>
      <c r="BG102" s="1200">
        <v>2.5700000000000001E-2</v>
      </c>
      <c r="BH102" s="1198">
        <v>2.3299999999999998E-2</v>
      </c>
      <c r="BI102" s="1198">
        <v>2.3E-2</v>
      </c>
      <c r="BJ102" s="1198">
        <v>2.29E-2</v>
      </c>
      <c r="BK102" s="1199"/>
      <c r="BL102" s="1200">
        <v>2.4300000000000002E-2</v>
      </c>
      <c r="BM102" s="1198">
        <v>2.1900000000000003E-2</v>
      </c>
      <c r="BN102" s="1198">
        <v>2.1600000000000001E-2</v>
      </c>
      <c r="BO102" s="1198">
        <v>2.1300000000000003E-2</v>
      </c>
      <c r="BP102" s="1199"/>
      <c r="BQ102" s="1200">
        <v>2.24E-2</v>
      </c>
      <c r="BR102" s="1198">
        <v>2.01E-2</v>
      </c>
      <c r="BS102" s="1198">
        <v>1.9700000000000002E-2</v>
      </c>
      <c r="BT102" s="1198">
        <v>1.95E-2</v>
      </c>
      <c r="BU102" s="1199"/>
      <c r="BV102" s="1200">
        <v>2.1400000000000002E-2</v>
      </c>
      <c r="BW102" s="1198">
        <v>1.9E-2</v>
      </c>
      <c r="BX102" s="1198">
        <v>1.89E-2</v>
      </c>
      <c r="BY102" s="1198">
        <v>1.8600000000000002E-2</v>
      </c>
      <c r="BZ102" s="264"/>
    </row>
    <row r="103" spans="1:78" s="248" customFormat="1" ht="14.1" customHeight="1" x14ac:dyDescent="0.2">
      <c r="A103"/>
      <c r="B103"/>
      <c r="C103" s="409" t="str">
        <f t="shared" si="44"/>
        <v>Bull</v>
      </c>
      <c r="D103" s="382"/>
      <c r="E103" s="434"/>
      <c r="F103" s="434"/>
      <c r="G103" s="434"/>
      <c r="H103" s="434"/>
      <c r="I103" s="434"/>
      <c r="J103" s="434"/>
      <c r="K103" s="434"/>
      <c r="L103" s="434"/>
      <c r="M103" s="434"/>
      <c r="N103" s="434"/>
      <c r="O103" s="435"/>
      <c r="R103" s="409" t="str">
        <f>R96</f>
        <v>Bull</v>
      </c>
      <c r="S103" s="398"/>
      <c r="T103" s="263"/>
      <c r="U103" s="263"/>
      <c r="V103" s="263"/>
      <c r="W103" s="264"/>
      <c r="X103" s="398"/>
      <c r="Y103" s="263"/>
      <c r="Z103" s="263"/>
      <c r="AA103" s="263"/>
      <c r="AB103" s="264"/>
      <c r="AC103" s="398"/>
      <c r="AD103" s="263"/>
      <c r="AE103" s="263"/>
      <c r="AF103" s="263"/>
      <c r="AG103" s="264"/>
      <c r="AH103" s="398"/>
      <c r="AI103" s="263"/>
      <c r="AJ103" s="263"/>
      <c r="AK103" s="263"/>
      <c r="AL103" s="264"/>
      <c r="AM103" s="398"/>
      <c r="AN103" s="263"/>
      <c r="AO103" s="263"/>
      <c r="AP103" s="263"/>
      <c r="AQ103" s="264"/>
      <c r="AR103" s="398"/>
      <c r="AS103" s="263"/>
      <c r="AT103" s="263"/>
      <c r="AU103" s="263"/>
      <c r="AV103" s="264"/>
      <c r="AW103" s="398"/>
      <c r="AX103" s="263"/>
      <c r="AY103" s="263"/>
      <c r="AZ103" s="263"/>
      <c r="BA103" s="264"/>
      <c r="BB103" s="398"/>
      <c r="BC103" s="263"/>
      <c r="BD103" s="263"/>
      <c r="BE103" s="1198">
        <f>BE102</f>
        <v>2.41E-2</v>
      </c>
      <c r="BF103" s="1199"/>
      <c r="BG103" s="1200">
        <v>2.6200000000000001E-2</v>
      </c>
      <c r="BH103" s="1198">
        <v>2.3799999999999998E-2</v>
      </c>
      <c r="BI103" s="1198">
        <v>2.35E-2</v>
      </c>
      <c r="BJ103" s="1198">
        <v>2.3400000000000001E-2</v>
      </c>
      <c r="BK103" s="1199"/>
      <c r="BL103" s="1200">
        <v>2.5800000000000003E-2</v>
      </c>
      <c r="BM103" s="1198">
        <v>2.3400000000000004E-2</v>
      </c>
      <c r="BN103" s="1198">
        <v>2.3100000000000002E-2</v>
      </c>
      <c r="BO103" s="1198">
        <v>2.2800000000000004E-2</v>
      </c>
      <c r="BP103" s="1199"/>
      <c r="BQ103" s="1200">
        <v>2.4750000000000001E-2</v>
      </c>
      <c r="BR103" s="1198">
        <v>2.2449999999999998E-2</v>
      </c>
      <c r="BS103" s="1198">
        <v>2.205E-2</v>
      </c>
      <c r="BT103" s="1198">
        <v>2.1850000000000001E-2</v>
      </c>
      <c r="BU103" s="1199"/>
      <c r="BV103" s="1200">
        <v>2.2900000000000004E-2</v>
      </c>
      <c r="BW103" s="1198">
        <v>2.0500000000000001E-2</v>
      </c>
      <c r="BX103" s="1198">
        <v>2.0400000000000001E-2</v>
      </c>
      <c r="BY103" s="1198">
        <v>2.0100000000000003E-2</v>
      </c>
      <c r="BZ103" s="264"/>
    </row>
    <row r="104" spans="1:78" s="248" customFormat="1" ht="14.1" customHeight="1" x14ac:dyDescent="0.2">
      <c r="A104"/>
      <c r="B104"/>
      <c r="C104" s="410" t="str">
        <f t="shared" si="44"/>
        <v>Bear</v>
      </c>
      <c r="D104" s="428"/>
      <c r="E104" s="436"/>
      <c r="F104" s="436"/>
      <c r="G104" s="436"/>
      <c r="H104" s="436"/>
      <c r="I104" s="436"/>
      <c r="J104" s="436"/>
      <c r="K104" s="436"/>
      <c r="L104" s="436"/>
      <c r="M104" s="436"/>
      <c r="N104" s="436"/>
      <c r="O104" s="437"/>
      <c r="R104" s="409" t="str">
        <f>R97</f>
        <v>Bear</v>
      </c>
      <c r="S104" s="399"/>
      <c r="T104" s="267"/>
      <c r="U104" s="267"/>
      <c r="V104" s="267"/>
      <c r="W104" s="268"/>
      <c r="X104" s="399"/>
      <c r="Y104" s="267"/>
      <c r="Z104" s="267"/>
      <c r="AA104" s="267"/>
      <c r="AB104" s="268"/>
      <c r="AC104" s="399"/>
      <c r="AD104" s="267"/>
      <c r="AE104" s="267"/>
      <c r="AF104" s="267"/>
      <c r="AG104" s="268"/>
      <c r="AH104" s="399"/>
      <c r="AI104" s="267"/>
      <c r="AJ104" s="267"/>
      <c r="AK104" s="267"/>
      <c r="AL104" s="268"/>
      <c r="AM104" s="399"/>
      <c r="AN104" s="267"/>
      <c r="AO104" s="267"/>
      <c r="AP104" s="267"/>
      <c r="AQ104" s="268"/>
      <c r="AR104" s="399"/>
      <c r="AS104" s="267"/>
      <c r="AT104" s="267"/>
      <c r="AU104" s="267"/>
      <c r="AV104" s="268"/>
      <c r="AW104" s="399"/>
      <c r="AX104" s="267"/>
      <c r="AY104" s="267"/>
      <c r="AZ104" s="267"/>
      <c r="BA104" s="268"/>
      <c r="BB104" s="399"/>
      <c r="BC104" s="267"/>
      <c r="BD104" s="267"/>
      <c r="BE104" s="1201">
        <f>BE103</f>
        <v>2.41E-2</v>
      </c>
      <c r="BF104" s="1202"/>
      <c r="BG104" s="1203">
        <f>BG102</f>
        <v>2.5700000000000001E-2</v>
      </c>
      <c r="BH104" s="1201">
        <f>BH102</f>
        <v>2.3299999999999998E-2</v>
      </c>
      <c r="BI104" s="1201">
        <f>BI102</f>
        <v>2.3E-2</v>
      </c>
      <c r="BJ104" s="1201">
        <f>BJ102</f>
        <v>2.29E-2</v>
      </c>
      <c r="BK104" s="1202"/>
      <c r="BL104" s="1203">
        <f>BL102</f>
        <v>2.4300000000000002E-2</v>
      </c>
      <c r="BM104" s="1201">
        <f>BM102</f>
        <v>2.1900000000000003E-2</v>
      </c>
      <c r="BN104" s="1201">
        <f>BN102</f>
        <v>2.1600000000000001E-2</v>
      </c>
      <c r="BO104" s="1201">
        <f>BO102</f>
        <v>2.1300000000000003E-2</v>
      </c>
      <c r="BP104" s="1202"/>
      <c r="BQ104" s="1203">
        <f>BQ102+0.1%</f>
        <v>2.3400000000000001E-2</v>
      </c>
      <c r="BR104" s="1201">
        <f>BR102+0.1%</f>
        <v>2.1100000000000001E-2</v>
      </c>
      <c r="BS104" s="1201">
        <f>BS102+0.1%</f>
        <v>2.0700000000000003E-2</v>
      </c>
      <c r="BT104" s="1201">
        <f>BT102+0.1%</f>
        <v>2.0500000000000001E-2</v>
      </c>
      <c r="BU104" s="1202"/>
      <c r="BV104" s="1203">
        <f>BV102+0.17%</f>
        <v>2.3100000000000002E-2</v>
      </c>
      <c r="BW104" s="1201">
        <f>BW102+0.15%</f>
        <v>2.0500000000000001E-2</v>
      </c>
      <c r="BX104" s="1201">
        <f>BX102+0.2%</f>
        <v>2.0900000000000002E-2</v>
      </c>
      <c r="BY104" s="1201">
        <f>BY102+0.1%</f>
        <v>1.9600000000000003E-2</v>
      </c>
      <c r="BZ104" s="268"/>
    </row>
    <row r="105" spans="1:78" s="248" customFormat="1" ht="14.1" customHeight="1" x14ac:dyDescent="0.2">
      <c r="A105"/>
      <c r="B105"/>
      <c r="C105" s="408" t="str">
        <f t="shared" si="44"/>
        <v>Claims and insurance</v>
      </c>
      <c r="D105" s="401">
        <f>W105</f>
        <v>37.161999999999999</v>
      </c>
      <c r="E105" s="401">
        <f>AB105</f>
        <v>38.424999999999997</v>
      </c>
      <c r="F105" s="401">
        <f>AG105</f>
        <v>43.073</v>
      </c>
      <c r="G105" s="401">
        <f>AL105</f>
        <v>49.761000000000003</v>
      </c>
      <c r="H105" s="401">
        <f>AQ105</f>
        <v>61.344999999999999</v>
      </c>
      <c r="I105" s="401">
        <f>AV105</f>
        <v>56.600999999999999</v>
      </c>
      <c r="J105" s="401">
        <f>BA105</f>
        <v>67.983999999999995</v>
      </c>
      <c r="K105" s="401">
        <f>BF105</f>
        <v>75.762934316160113</v>
      </c>
      <c r="L105" s="401">
        <f>BK105</f>
        <v>79.413752282280697</v>
      </c>
      <c r="M105" s="401">
        <f>BP105</f>
        <v>87.061105558234914</v>
      </c>
      <c r="N105" s="401">
        <f>BU105</f>
        <v>90.788627672176872</v>
      </c>
      <c r="O105" s="407">
        <f>BZ105</f>
        <v>96.442948970968089</v>
      </c>
      <c r="R105" s="411" t="str">
        <f>'Income Statement'!R15</f>
        <v>Claims and insurance</v>
      </c>
      <c r="S105" s="400">
        <f>'Income Statement'!S15</f>
        <v>9.0489999999999995</v>
      </c>
      <c r="T105" s="401">
        <f>'Income Statement'!T15</f>
        <v>10.426</v>
      </c>
      <c r="U105" s="401">
        <f>'Income Statement'!U15</f>
        <v>8.5350000000000001</v>
      </c>
      <c r="V105" s="401">
        <f>'Income Statement'!V15</f>
        <v>9.1519999999999975</v>
      </c>
      <c r="W105" s="402">
        <f>'Income Statement'!W15</f>
        <v>37.161999999999999</v>
      </c>
      <c r="X105" s="400">
        <f>'Income Statement'!X15</f>
        <v>10.191000000000001</v>
      </c>
      <c r="Y105" s="401">
        <f>'Income Statement'!Y15</f>
        <v>9.91</v>
      </c>
      <c r="Z105" s="401">
        <f>'Income Statement'!Z15</f>
        <v>9.9849999999999994</v>
      </c>
      <c r="AA105" s="401">
        <f>'Income Statement'!AA15</f>
        <v>8.3389999999999986</v>
      </c>
      <c r="AB105" s="402">
        <f>'Income Statement'!AB15</f>
        <v>38.424999999999997</v>
      </c>
      <c r="AC105" s="400">
        <f>'Income Statement'!AC15</f>
        <v>9.5299999999999994</v>
      </c>
      <c r="AD105" s="401">
        <f>'Income Statement'!AD15</f>
        <v>13.156000000000001</v>
      </c>
      <c r="AE105" s="401">
        <f>'Income Statement'!AE15</f>
        <v>7.85</v>
      </c>
      <c r="AF105" s="401">
        <f>'Income Statement'!AF15</f>
        <v>12.536999999999999</v>
      </c>
      <c r="AG105" s="402">
        <f>'Income Statement'!AG15</f>
        <v>43.073</v>
      </c>
      <c r="AH105" s="400">
        <f>'Income Statement'!AH15</f>
        <v>10.420999999999999</v>
      </c>
      <c r="AI105" s="401">
        <f>'Income Statement'!AI15</f>
        <v>18.292999999999999</v>
      </c>
      <c r="AJ105" s="401">
        <f>'Income Statement'!AJ15</f>
        <v>11.938000000000001</v>
      </c>
      <c r="AK105" s="401">
        <f>'Income Statement'!AK15</f>
        <v>9.1090000000000018</v>
      </c>
      <c r="AL105" s="402">
        <f>'Income Statement'!AL15</f>
        <v>49.761000000000003</v>
      </c>
      <c r="AM105" s="400">
        <f>'Income Statement'!AM15</f>
        <v>11.48</v>
      </c>
      <c r="AN105" s="401">
        <f>'Income Statement'!AN15</f>
        <v>17.327999999999999</v>
      </c>
      <c r="AO105" s="401">
        <f>'Income Statement'!AO15</f>
        <v>15.518000000000001</v>
      </c>
      <c r="AP105" s="401">
        <f>'Income Statement'!AP15</f>
        <v>17.018999999999998</v>
      </c>
      <c r="AQ105" s="402">
        <f>'Income Statement'!AQ15</f>
        <v>61.344999999999999</v>
      </c>
      <c r="AR105" s="400">
        <f>'Income Statement'!AR15</f>
        <v>10.736000000000001</v>
      </c>
      <c r="AS105" s="401">
        <f>'Income Statement'!AS15</f>
        <v>14.215999999999999</v>
      </c>
      <c r="AT105" s="401">
        <f>'Income Statement'!AT15</f>
        <v>15.988</v>
      </c>
      <c r="AU105" s="401">
        <f>'Income Statement'!AU15</f>
        <v>15.661000000000001</v>
      </c>
      <c r="AV105" s="402">
        <f>'Income Statement'!AV15</f>
        <v>56.600999999999999</v>
      </c>
      <c r="AW105" s="400">
        <f>'Income Statement'!AW15</f>
        <v>14.058999999999999</v>
      </c>
      <c r="AX105" s="401">
        <f>'Income Statement'!AX15</f>
        <v>16.956</v>
      </c>
      <c r="AY105" s="401">
        <f>'Income Statement'!AY15</f>
        <v>18.024000000000001</v>
      </c>
      <c r="AZ105" s="401">
        <f>'Income Statement'!AZ15</f>
        <v>18.944999999999993</v>
      </c>
      <c r="BA105" s="402">
        <f>'Income Statement'!BA15</f>
        <v>67.983999999999995</v>
      </c>
      <c r="BB105" s="400">
        <f>'Income Statement'!BB15</f>
        <v>17.463000000000001</v>
      </c>
      <c r="BC105" s="401">
        <f>'Income Statement'!BC15</f>
        <v>18.827999999999999</v>
      </c>
      <c r="BD105" s="401">
        <f>'Income Statement'!BD15</f>
        <v>19.274000000000001</v>
      </c>
      <c r="BE105" s="401">
        <f>BE106*BE11</f>
        <v>20.197934316160111</v>
      </c>
      <c r="BF105" s="402">
        <f>'Income Statement'!BF15</f>
        <v>75.762934316160113</v>
      </c>
      <c r="BG105" s="401">
        <f>BG106*BG11</f>
        <v>18.373792710864961</v>
      </c>
      <c r="BH105" s="401">
        <f>BH106*BH11</f>
        <v>19.867829501077757</v>
      </c>
      <c r="BI105" s="401">
        <f>BI106*BI11</f>
        <v>19.883650708073244</v>
      </c>
      <c r="BJ105" s="401">
        <f>BJ106*BJ11</f>
        <v>21.288479362264734</v>
      </c>
      <c r="BK105" s="402">
        <f>SUM(BG105:BJ105)</f>
        <v>79.413752282280697</v>
      </c>
      <c r="BL105" s="401">
        <f>BL106*BL11</f>
        <v>19.789177692676212</v>
      </c>
      <c r="BM105" s="401">
        <f>BM106*BM11</f>
        <v>21.576629076714958</v>
      </c>
      <c r="BN105" s="401">
        <f>BN106*BN11</f>
        <v>21.842378004481144</v>
      </c>
      <c r="BO105" s="401">
        <f>BO106*BO11</f>
        <v>23.852920784362603</v>
      </c>
      <c r="BP105" s="402">
        <f>SUM(BL105:BO105)</f>
        <v>87.061105558234914</v>
      </c>
      <c r="BQ105" s="401">
        <f>BQ106*BQ11</f>
        <v>20.348232844657357</v>
      </c>
      <c r="BR105" s="401">
        <f>BR106*BR11</f>
        <v>22.474939719940465</v>
      </c>
      <c r="BS105" s="401">
        <f>BS106*BS11</f>
        <v>22.868625268907195</v>
      </c>
      <c r="BT105" s="401">
        <f>BT106*BT11</f>
        <v>25.096829838671855</v>
      </c>
      <c r="BU105" s="402">
        <f>SUM(BQ105:BT105)</f>
        <v>90.788627672176872</v>
      </c>
      <c r="BV105" s="401">
        <f>BV106*BV11</f>
        <v>21.393827750552884</v>
      </c>
      <c r="BW105" s="401">
        <f>BW106*BW11</f>
        <v>23.78283025306111</v>
      </c>
      <c r="BX105" s="401">
        <f>BX106*BX11</f>
        <v>24.517978436187949</v>
      </c>
      <c r="BY105" s="401">
        <f>BY106*BY11</f>
        <v>26.748312531166153</v>
      </c>
      <c r="BZ105" s="402">
        <f>SUM(BV105:BY105)</f>
        <v>96.442948970968089</v>
      </c>
    </row>
    <row r="106" spans="1:78" s="248" customFormat="1" ht="14.1" customHeight="1" x14ac:dyDescent="0.2">
      <c r="A106"/>
      <c r="B106"/>
      <c r="C106" s="412" t="str">
        <f t="shared" si="44"/>
        <v>As a % of Revenue</v>
      </c>
      <c r="D106" s="430">
        <f>W106</f>
        <v>2.6455414418563923E-2</v>
      </c>
      <c r="E106" s="430">
        <f>AB106</f>
        <v>2.3233680946688602E-2</v>
      </c>
      <c r="F106" s="430">
        <f>AG106</f>
        <v>2.410710038142198E-2</v>
      </c>
      <c r="G106" s="430">
        <f>AL106</f>
        <v>2.7305711366432429E-2</v>
      </c>
      <c r="H106" s="430">
        <f>AQ106</f>
        <v>2.680337868068566E-2</v>
      </c>
      <c r="I106" s="430">
        <f>AV106</f>
        <v>2.0272150604375198E-2</v>
      </c>
      <c r="J106" s="430">
        <f>BA106</f>
        <v>2.3593815993639276E-2</v>
      </c>
      <c r="K106" s="430">
        <f>BF106</f>
        <v>2.3608751483317331E-2</v>
      </c>
      <c r="L106" s="430">
        <f>BK106</f>
        <v>2.229176107966108E-2</v>
      </c>
      <c r="M106" s="430">
        <f>BP106</f>
        <v>2.1280511379877111E-2</v>
      </c>
      <c r="N106" s="430">
        <f>BU106</f>
        <v>2.0383761150313696E-2</v>
      </c>
      <c r="O106" s="431">
        <f>BZ106</f>
        <v>2.0057959539578955E-2</v>
      </c>
      <c r="R106" s="412" t="str">
        <f>R99</f>
        <v>As a % of Revenue</v>
      </c>
      <c r="S106" s="405">
        <f>S105/'Income Statement'!S8</f>
        <v>2.800767587978582E-2</v>
      </c>
      <c r="T106" s="406">
        <f>T105/'Income Statement'!T8</f>
        <v>2.9109895018985928E-2</v>
      </c>
      <c r="U106" s="406">
        <f>U105/'Income Statement'!U8</f>
        <v>2.4381395295690476E-2</v>
      </c>
      <c r="V106" s="406">
        <f>V105/'Income Statement'!V8</f>
        <v>2.4510499717454344E-2</v>
      </c>
      <c r="W106" s="404">
        <f>W105/'Income Statement'!W8</f>
        <v>2.6455414418563923E-2</v>
      </c>
      <c r="X106" s="405">
        <f>X105/'Income Statement'!X8</f>
        <v>2.594417077175698E-2</v>
      </c>
      <c r="Y106" s="406">
        <f>Y105/'Income Statement'!Y8</f>
        <v>2.3114673035835906E-2</v>
      </c>
      <c r="Z106" s="406">
        <f>Z105/'Income Statement'!Z8</f>
        <v>2.3463091159455024E-2</v>
      </c>
      <c r="AA106" s="406">
        <f>AA105/'Income Statement'!AA8</f>
        <v>2.0501536570374932E-2</v>
      </c>
      <c r="AB106" s="404">
        <f>AB105/'Income Statement'!AB8</f>
        <v>2.3233680946688602E-2</v>
      </c>
      <c r="AC106" s="405">
        <f>AC105/'Income Statement'!AC8</f>
        <v>2.3210841143347035E-2</v>
      </c>
      <c r="AD106" s="406">
        <f>AD105/'Income Statement'!AD8</f>
        <v>2.8341537500403927E-2</v>
      </c>
      <c r="AE106" s="406">
        <f>AE105/'Income Statement'!AE8</f>
        <v>1.6741630784126799E-2</v>
      </c>
      <c r="AF106" s="406">
        <f>AF105/'Income Statement'!AF8</f>
        <v>2.8296073939489699E-2</v>
      </c>
      <c r="AG106" s="404">
        <f>AG105/'Income Statement'!AG8</f>
        <v>2.410710038142198E-2</v>
      </c>
      <c r="AH106" s="405">
        <f>AH105/'Income Statement'!AH8</f>
        <v>2.3344743232466238E-2</v>
      </c>
      <c r="AI106" s="406">
        <f>AI105/'Income Statement'!AI8</f>
        <v>4.375122574226168E-2</v>
      </c>
      <c r="AJ106" s="406">
        <f>AJ105/'Income Statement'!AJ8</f>
        <v>2.4799843780511619E-2</v>
      </c>
      <c r="AK106" s="406">
        <f>AK105/'Income Statement'!AK8</f>
        <v>1.9117196452331887E-2</v>
      </c>
      <c r="AL106" s="404">
        <f>AL105/'Income Statement'!AL8</f>
        <v>2.7305711366432429E-2</v>
      </c>
      <c r="AM106" s="405">
        <f>AM105/'Income Statement'!AM8</f>
        <v>2.3715382358895542E-2</v>
      </c>
      <c r="AN106" s="406">
        <f>AN105/'Income Statement'!AN8</f>
        <v>3.0329072537381877E-2</v>
      </c>
      <c r="AO106" s="406">
        <f>AO105/'Income Statement'!AO8</f>
        <v>2.5182728134290573E-2</v>
      </c>
      <c r="AP106" s="406">
        <f>AP105/'Income Statement'!AP8</f>
        <v>2.7579847702327562E-2</v>
      </c>
      <c r="AQ106" s="404">
        <f>AQ105/'Income Statement'!AQ8</f>
        <v>2.680337868068566E-2</v>
      </c>
      <c r="AR106" s="405">
        <f>AR105/'Income Statement'!AR8</f>
        <v>1.6236751681749987E-2</v>
      </c>
      <c r="AS106" s="406">
        <f>AS105/'Income Statement'!AS8</f>
        <v>1.9067699992220549E-2</v>
      </c>
      <c r="AT106" s="406">
        <f>AT105/'Income Statement'!AT8</f>
        <v>2.191454861211057E-2</v>
      </c>
      <c r="AU106" s="406">
        <f>AU105/'Income Statement'!AU8</f>
        <v>2.3883451319606071E-2</v>
      </c>
      <c r="AV106" s="404">
        <f>AV105/'Income Statement'!AV8</f>
        <v>2.0272150604375198E-2</v>
      </c>
      <c r="AW106" s="405">
        <f>AW105/'Income Statement'!AW8</f>
        <v>2.1284261999742631E-2</v>
      </c>
      <c r="AX106" s="406">
        <f>AX105/'Income Statement'!AX8</f>
        <v>2.4410398749247792E-2</v>
      </c>
      <c r="AY106" s="406">
        <f>AY105/'Income Statement'!AY8</f>
        <v>2.3252453737628107E-2</v>
      </c>
      <c r="AZ106" s="406">
        <f>AZ105/'Income Statement'!AZ8</f>
        <v>2.5221931697757508E-2</v>
      </c>
      <c r="BA106" s="404">
        <f>BA105/'Income Statement'!BA8</f>
        <v>2.3593815993639276E-2</v>
      </c>
      <c r="BB106" s="405">
        <f>BB105/'Income Statement'!BB8</f>
        <v>2.3136696366466831E-2</v>
      </c>
      <c r="BC106" s="406">
        <f>BC105/'Income Statement'!BC8</f>
        <v>2.2870497689627862E-2</v>
      </c>
      <c r="BD106" s="406">
        <f>BD105/'Income Statement'!BD8</f>
        <v>2.2887936511329376E-2</v>
      </c>
      <c r="BE106" s="406">
        <f>INDEX($BE$108:$BZ$111,MATCH($O$3,$C$46:$C$49,0),MATCH(BE$75,$BE$75:$BZ$75,0))</f>
        <v>2.5600000000000001E-2</v>
      </c>
      <c r="BF106" s="404">
        <f>BF105/'Income Statement'!BF8</f>
        <v>2.3608751483317331E-2</v>
      </c>
      <c r="BG106" s="405">
        <f>INDEX($BE$108:$BZ$111,MATCH($O$3,$C$46:$C$49,0),MATCH(BG$75,$BE$75:$BZ$75,0))</f>
        <v>2.2100000000000002E-2</v>
      </c>
      <c r="BH106" s="406">
        <f>INDEX($BE$108:$BZ$111,MATCH($O$3,$C$46:$C$49,0),MATCH(BH$75,$BE$75:$BZ$75,0))</f>
        <v>2.1600000000000001E-2</v>
      </c>
      <c r="BI106" s="406">
        <f>INDEX($BE$108:$BZ$111,MATCH($O$3,$C$46:$C$49,0),MATCH(BI$75,$BE$75:$BZ$75,0))</f>
        <v>2.1600000000000001E-2</v>
      </c>
      <c r="BJ106" s="406">
        <f>INDEX($BE$108:$BZ$111,MATCH($O$3,$C$46:$C$49,0),MATCH(BJ$75,$BE$75:$BZ$75,0))</f>
        <v>2.3900000000000001E-2</v>
      </c>
      <c r="BK106" s="404">
        <f>BK105/'Income Statement'!BK8</f>
        <v>2.229176107966108E-2</v>
      </c>
      <c r="BL106" s="405">
        <f>INDEX($BE$108:$BZ$111,MATCH($O$3,$C$46:$C$49,0),MATCH(BL$75,$BE$75:$BZ$75,0))</f>
        <v>2.1000000000000001E-2</v>
      </c>
      <c r="BM106" s="406">
        <f>INDEX($BE$108:$BZ$111,MATCH($O$3,$C$46:$C$49,0),MATCH(BM$75,$BE$75:$BZ$75,0))</f>
        <v>2.06E-2</v>
      </c>
      <c r="BN106" s="406">
        <f>INDEX($BE$108:$BZ$111,MATCH($O$3,$C$46:$C$49,0),MATCH(BN$75,$BE$75:$BZ$75,0))</f>
        <v>2.07E-2</v>
      </c>
      <c r="BO106" s="406">
        <f>INDEX($BE$108:$BZ$111,MATCH($O$3,$C$46:$C$49,0),MATCH(BO$75,$BE$75:$BZ$75,0))</f>
        <v>2.2800000000000001E-2</v>
      </c>
      <c r="BP106" s="404">
        <f>BP105/'Income Statement'!BP8</f>
        <v>2.1280511379877111E-2</v>
      </c>
      <c r="BQ106" s="405">
        <f>INDEX($BE$108:$BZ$111,MATCH($O$3,$C$46:$C$49,0),MATCH(BQ$75,$BE$75:$BZ$75,0))</f>
        <v>1.9899999999999998E-2</v>
      </c>
      <c r="BR106" s="406">
        <f>INDEX($BE$108:$BZ$111,MATCH($O$3,$C$46:$C$49,0),MATCH(BR$75,$BE$75:$BZ$75,0))</f>
        <v>1.9699999999999999E-2</v>
      </c>
      <c r="BS106" s="406">
        <f>INDEX($BE$108:$BZ$111,MATCH($O$3,$C$46:$C$49,0),MATCH(BS$75,$BE$75:$BZ$75,0))</f>
        <v>1.9799999999999998E-2</v>
      </c>
      <c r="BT106" s="406">
        <f>INDEX($BE$108:$BZ$111,MATCH($O$3,$C$46:$C$49,0),MATCH(BT$75,$BE$75:$BZ$75,0))</f>
        <v>2.2099999999999998E-2</v>
      </c>
      <c r="BU106" s="404">
        <f>BU105/'Income Statement'!BU8</f>
        <v>2.0383761150313696E-2</v>
      </c>
      <c r="BV106" s="405">
        <f>INDEX($BE$108:$BZ$111,MATCH($O$3,$C$46:$C$49,0),MATCH(BV$75,$BE$75:$BZ$75,0))</f>
        <v>1.9400000000000001E-2</v>
      </c>
      <c r="BW106" s="406">
        <f>INDEX($BE$108:$BZ$111,MATCH($O$3,$C$46:$C$49,0),MATCH(BW$75,$BE$75:$BZ$75,0))</f>
        <v>1.9199999999999998E-2</v>
      </c>
      <c r="BX106" s="406">
        <f>INDEX($BE$108:$BZ$111,MATCH($O$3,$C$46:$C$49,0),MATCH(BX$75,$BE$75:$BZ$75,0))</f>
        <v>1.9599999999999999E-2</v>
      </c>
      <c r="BY106" s="406">
        <f>INDEX($BE$108:$BZ$111,MATCH($O$3,$C$46:$C$49,0),MATCH(BY$75,$BE$75:$BZ$75,0))</f>
        <v>2.1999999999999999E-2</v>
      </c>
      <c r="BZ106" s="404">
        <f>BZ105/'Income Statement'!BZ8</f>
        <v>2.0057959539578955E-2</v>
      </c>
    </row>
    <row r="107" spans="1:78" s="248" customFormat="1" ht="14.1" customHeight="1" x14ac:dyDescent="0.2">
      <c r="A107"/>
      <c r="B107"/>
      <c r="C107" s="802" t="str">
        <f>C100</f>
        <v>Growth %</v>
      </c>
      <c r="D107" s="805"/>
      <c r="E107" s="803">
        <f t="shared" ref="E107:O107" si="57">IFERROR(E105/D105-1,"NM")</f>
        <v>3.3986330122167674E-2</v>
      </c>
      <c r="F107" s="803">
        <f t="shared" si="57"/>
        <v>0.12096291476903076</v>
      </c>
      <c r="G107" s="803">
        <f t="shared" si="57"/>
        <v>0.15527128363475962</v>
      </c>
      <c r="H107" s="803">
        <f t="shared" si="57"/>
        <v>0.23279274934185401</v>
      </c>
      <c r="I107" s="803">
        <f t="shared" si="57"/>
        <v>-7.733311598337278E-2</v>
      </c>
      <c r="J107" s="803">
        <f t="shared" si="57"/>
        <v>0.20110952103319724</v>
      </c>
      <c r="K107" s="803">
        <f t="shared" si="57"/>
        <v>0.11442301594728344</v>
      </c>
      <c r="L107" s="803">
        <f t="shared" si="57"/>
        <v>4.8187388715511759E-2</v>
      </c>
      <c r="M107" s="803">
        <f t="shared" si="57"/>
        <v>9.6297594008293075E-2</v>
      </c>
      <c r="N107" s="803">
        <f t="shared" si="57"/>
        <v>4.2815010101711071E-2</v>
      </c>
      <c r="O107" s="804">
        <f t="shared" si="57"/>
        <v>6.2280061322306457E-2</v>
      </c>
      <c r="R107" s="412" t="str">
        <f>C107</f>
        <v>Growth %</v>
      </c>
      <c r="S107" s="405"/>
      <c r="T107" s="406"/>
      <c r="U107" s="406"/>
      <c r="V107" s="406"/>
      <c r="W107" s="404"/>
      <c r="X107" s="405">
        <f t="shared" ref="X107:BC107" si="58">IFERROR(X105/S105-1,"NM")</f>
        <v>0.12620179025306677</v>
      </c>
      <c r="Y107" s="406">
        <f t="shared" si="58"/>
        <v>-4.9491655476692875E-2</v>
      </c>
      <c r="Z107" s="406">
        <f t="shared" si="58"/>
        <v>0.1698886936145283</v>
      </c>
      <c r="AA107" s="406">
        <f t="shared" si="58"/>
        <v>-8.883304195804187E-2</v>
      </c>
      <c r="AB107" s="404">
        <f t="shared" si="58"/>
        <v>3.3986330122167674E-2</v>
      </c>
      <c r="AC107" s="405">
        <f t="shared" si="58"/>
        <v>-6.4861151996860156E-2</v>
      </c>
      <c r="AD107" s="406">
        <f t="shared" si="58"/>
        <v>0.32754793138244209</v>
      </c>
      <c r="AE107" s="406">
        <f t="shared" si="58"/>
        <v>-0.21382073109664501</v>
      </c>
      <c r="AF107" s="406">
        <f t="shared" si="58"/>
        <v>0.50341767598033349</v>
      </c>
      <c r="AG107" s="404">
        <f t="shared" si="58"/>
        <v>0.12096291476903076</v>
      </c>
      <c r="AH107" s="405">
        <f t="shared" si="58"/>
        <v>9.3494228751311637E-2</v>
      </c>
      <c r="AI107" s="406">
        <f t="shared" si="58"/>
        <v>0.39046822742474907</v>
      </c>
      <c r="AJ107" s="406">
        <f t="shared" si="58"/>
        <v>0.52076433121019128</v>
      </c>
      <c r="AK107" s="406">
        <f t="shared" si="58"/>
        <v>-0.27343064528994154</v>
      </c>
      <c r="AL107" s="404">
        <f t="shared" si="58"/>
        <v>0.15527128363475962</v>
      </c>
      <c r="AM107" s="405">
        <f t="shared" si="58"/>
        <v>0.10162172536224934</v>
      </c>
      <c r="AN107" s="406">
        <f t="shared" si="58"/>
        <v>-5.2752418958071368E-2</v>
      </c>
      <c r="AO107" s="406">
        <f t="shared" si="58"/>
        <v>0.29988272742502931</v>
      </c>
      <c r="AP107" s="406">
        <f t="shared" si="58"/>
        <v>0.8683719398397185</v>
      </c>
      <c r="AQ107" s="404">
        <f t="shared" si="58"/>
        <v>0.23279274934185401</v>
      </c>
      <c r="AR107" s="405">
        <f t="shared" si="58"/>
        <v>-6.4808362369337957E-2</v>
      </c>
      <c r="AS107" s="406">
        <f t="shared" si="58"/>
        <v>-0.17959372114496774</v>
      </c>
      <c r="AT107" s="406">
        <f t="shared" si="58"/>
        <v>3.0287408171155938E-2</v>
      </c>
      <c r="AU107" s="406">
        <f t="shared" si="58"/>
        <v>-7.9793172336799834E-2</v>
      </c>
      <c r="AV107" s="404">
        <f t="shared" si="58"/>
        <v>-7.733311598337278E-2</v>
      </c>
      <c r="AW107" s="405">
        <f t="shared" si="58"/>
        <v>0.30951937406855423</v>
      </c>
      <c r="AX107" s="406">
        <f t="shared" si="58"/>
        <v>0.19274057400112543</v>
      </c>
      <c r="AY107" s="406">
        <f t="shared" si="58"/>
        <v>0.12734550913184894</v>
      </c>
      <c r="AZ107" s="406">
        <f t="shared" si="58"/>
        <v>0.20969286763297301</v>
      </c>
      <c r="BA107" s="404">
        <f t="shared" si="58"/>
        <v>0.20110952103319724</v>
      </c>
      <c r="BB107" s="405">
        <f t="shared" si="58"/>
        <v>0.24212248381819479</v>
      </c>
      <c r="BC107" s="406">
        <f t="shared" si="58"/>
        <v>0.11040339702760082</v>
      </c>
      <c r="BD107" s="406">
        <f t="shared" ref="BD107:BZ107" si="59">IFERROR(BD105/AY105-1,"NM")</f>
        <v>6.9351975144252176E-2</v>
      </c>
      <c r="BE107" s="406">
        <f t="shared" si="59"/>
        <v>6.6135355827929176E-2</v>
      </c>
      <c r="BF107" s="404">
        <f t="shared" si="59"/>
        <v>0.11442301594728344</v>
      </c>
      <c r="BG107" s="405">
        <f t="shared" si="59"/>
        <v>5.2155569539309443E-2</v>
      </c>
      <c r="BH107" s="406">
        <f t="shared" si="59"/>
        <v>5.5227825636167349E-2</v>
      </c>
      <c r="BI107" s="406">
        <f t="shared" si="59"/>
        <v>3.1630730936663021E-2</v>
      </c>
      <c r="BJ107" s="406">
        <f t="shared" si="59"/>
        <v>5.399289991908196E-2</v>
      </c>
      <c r="BK107" s="404">
        <f t="shared" si="59"/>
        <v>4.8187388715511759E-2</v>
      </c>
      <c r="BL107" s="405">
        <f t="shared" si="59"/>
        <v>7.7032815384615372E-2</v>
      </c>
      <c r="BM107" s="406">
        <f t="shared" si="59"/>
        <v>8.6008367222222493E-2</v>
      </c>
      <c r="BN107" s="406">
        <f t="shared" si="59"/>
        <v>9.850944000000017E-2</v>
      </c>
      <c r="BO107" s="406">
        <f t="shared" si="59"/>
        <v>0.12046146549309267</v>
      </c>
      <c r="BP107" s="404">
        <f t="shared" si="59"/>
        <v>9.6297594008293075E-2</v>
      </c>
      <c r="BQ107" s="405">
        <f t="shared" si="59"/>
        <v>2.8250549904761613E-2</v>
      </c>
      <c r="BR107" s="406">
        <f t="shared" si="59"/>
        <v>4.1633502621359231E-2</v>
      </c>
      <c r="BS107" s="406">
        <f t="shared" si="59"/>
        <v>4.69842278260868E-2</v>
      </c>
      <c r="BT107" s="406">
        <f t="shared" si="59"/>
        <v>5.2149129473683997E-2</v>
      </c>
      <c r="BU107" s="404">
        <f t="shared" si="59"/>
        <v>4.2815010101711071E-2</v>
      </c>
      <c r="BV107" s="405">
        <f t="shared" si="59"/>
        <v>5.1385047236180981E-2</v>
      </c>
      <c r="BW107" s="406">
        <f t="shared" si="59"/>
        <v>5.8193283248730854E-2</v>
      </c>
      <c r="BX107" s="406">
        <f t="shared" si="59"/>
        <v>7.2122969696969852E-2</v>
      </c>
      <c r="BY107" s="406">
        <f t="shared" si="59"/>
        <v>6.5804434389140187E-2</v>
      </c>
      <c r="BZ107" s="404">
        <f t="shared" si="59"/>
        <v>6.2280061322306457E-2</v>
      </c>
    </row>
    <row r="108" spans="1:78" s="248" customFormat="1" ht="14.1" customHeight="1" x14ac:dyDescent="0.2">
      <c r="A108"/>
      <c r="B108"/>
      <c r="C108" s="427" t="str">
        <f t="shared" si="44"/>
        <v>Reversed</v>
      </c>
      <c r="D108" s="401"/>
      <c r="E108" s="432"/>
      <c r="F108" s="432"/>
      <c r="G108" s="432"/>
      <c r="H108" s="432"/>
      <c r="I108" s="432"/>
      <c r="J108" s="432"/>
      <c r="K108" s="432"/>
      <c r="L108" s="432"/>
      <c r="M108" s="432"/>
      <c r="N108" s="432"/>
      <c r="O108" s="433"/>
      <c r="R108" s="409" t="str">
        <f>R101</f>
        <v>Reversed</v>
      </c>
      <c r="S108" s="398"/>
      <c r="T108" s="263"/>
      <c r="U108" s="263"/>
      <c r="V108" s="263"/>
      <c r="W108" s="264"/>
      <c r="X108" s="398"/>
      <c r="Y108" s="263"/>
      <c r="Z108" s="263"/>
      <c r="AA108" s="263"/>
      <c r="AB108" s="264"/>
      <c r="AC108" s="398"/>
      <c r="AD108" s="263"/>
      <c r="AE108" s="263"/>
      <c r="AF108" s="263"/>
      <c r="AG108" s="264"/>
      <c r="AH108" s="398"/>
      <c r="AI108" s="263"/>
      <c r="AJ108" s="263"/>
      <c r="AK108" s="263"/>
      <c r="AL108" s="264"/>
      <c r="AM108" s="398"/>
      <c r="AN108" s="263"/>
      <c r="AO108" s="263"/>
      <c r="AP108" s="263"/>
      <c r="AQ108" s="264"/>
      <c r="AR108" s="398"/>
      <c r="AS108" s="263"/>
      <c r="AT108" s="263"/>
      <c r="AU108" s="263"/>
      <c r="AV108" s="264"/>
      <c r="AW108" s="398"/>
      <c r="AX108" s="263"/>
      <c r="AY108" s="263"/>
      <c r="AZ108" s="263"/>
      <c r="BA108" s="264"/>
      <c r="BB108" s="398"/>
      <c r="BC108" s="263"/>
      <c r="BD108" s="263"/>
      <c r="BE108" s="1198">
        <v>2.5600000000000001E-2</v>
      </c>
      <c r="BF108" s="1199"/>
      <c r="BG108" s="1200">
        <v>2.2800000000000001E-2</v>
      </c>
      <c r="BH108" s="1198">
        <v>2.23E-2</v>
      </c>
      <c r="BI108" s="1198">
        <v>2.23E-2</v>
      </c>
      <c r="BJ108" s="1198">
        <v>2.46E-2</v>
      </c>
      <c r="BK108" s="1199"/>
      <c r="BL108" s="1200">
        <v>2.18E-2</v>
      </c>
      <c r="BM108" s="1198">
        <v>2.1399999999999999E-2</v>
      </c>
      <c r="BN108" s="1198">
        <v>2.1499999999999998E-2</v>
      </c>
      <c r="BO108" s="1198">
        <v>2.3599999999999999E-2</v>
      </c>
      <c r="BP108" s="1199"/>
      <c r="BQ108" s="1200">
        <v>2.1499999999999998E-2</v>
      </c>
      <c r="BR108" s="1198">
        <v>2.1299999999999999E-2</v>
      </c>
      <c r="BS108" s="1198">
        <v>2.1399999999999999E-2</v>
      </c>
      <c r="BT108" s="1198">
        <v>2.3699999999999999E-2</v>
      </c>
      <c r="BU108" s="1199"/>
      <c r="BV108" s="1200">
        <v>2.1600000000000001E-2</v>
      </c>
      <c r="BW108" s="1198">
        <v>2.1399999999999999E-2</v>
      </c>
      <c r="BX108" s="1198">
        <v>2.18E-2</v>
      </c>
      <c r="BY108" s="1198">
        <v>2.4199999999999999E-2</v>
      </c>
      <c r="BZ108" s="264"/>
    </row>
    <row r="109" spans="1:78" s="248" customFormat="1" ht="14.1" customHeight="1" x14ac:dyDescent="0.2">
      <c r="A109"/>
      <c r="B109"/>
      <c r="C109" s="409" t="str">
        <f t="shared" si="44"/>
        <v>Base</v>
      </c>
      <c r="D109" s="382"/>
      <c r="E109" s="434"/>
      <c r="F109" s="434"/>
      <c r="G109" s="434"/>
      <c r="H109" s="434"/>
      <c r="I109" s="434"/>
      <c r="J109" s="434"/>
      <c r="K109" s="434"/>
      <c r="L109" s="434"/>
      <c r="M109" s="434"/>
      <c r="N109" s="434"/>
      <c r="O109" s="435"/>
      <c r="R109" s="409" t="str">
        <f>R102</f>
        <v>Base</v>
      </c>
      <c r="S109" s="398"/>
      <c r="T109" s="263"/>
      <c r="U109" s="263"/>
      <c r="V109" s="263"/>
      <c r="W109" s="264"/>
      <c r="X109" s="398"/>
      <c r="Y109" s="263"/>
      <c r="Z109" s="263"/>
      <c r="AA109" s="263"/>
      <c r="AB109" s="264"/>
      <c r="AC109" s="398"/>
      <c r="AD109" s="263"/>
      <c r="AE109" s="263"/>
      <c r="AF109" s="263"/>
      <c r="AG109" s="264"/>
      <c r="AH109" s="398"/>
      <c r="AI109" s="263"/>
      <c r="AJ109" s="263"/>
      <c r="AK109" s="263"/>
      <c r="AL109" s="264"/>
      <c r="AM109" s="398"/>
      <c r="AN109" s="263"/>
      <c r="AO109" s="263"/>
      <c r="AP109" s="263"/>
      <c r="AQ109" s="264"/>
      <c r="AR109" s="398"/>
      <c r="AS109" s="263"/>
      <c r="AT109" s="263"/>
      <c r="AU109" s="263"/>
      <c r="AV109" s="264"/>
      <c r="AW109" s="398"/>
      <c r="AX109" s="263"/>
      <c r="AY109" s="263"/>
      <c r="AZ109" s="263"/>
      <c r="BA109" s="264"/>
      <c r="BB109" s="398"/>
      <c r="BC109" s="263"/>
      <c r="BD109" s="263"/>
      <c r="BE109" s="1198">
        <v>2.5600000000000001E-2</v>
      </c>
      <c r="BF109" s="1199"/>
      <c r="BG109" s="1200">
        <v>2.2100000000000002E-2</v>
      </c>
      <c r="BH109" s="1198">
        <v>2.1600000000000001E-2</v>
      </c>
      <c r="BI109" s="1198">
        <v>2.1600000000000001E-2</v>
      </c>
      <c r="BJ109" s="1198">
        <v>2.3900000000000001E-2</v>
      </c>
      <c r="BK109" s="1199"/>
      <c r="BL109" s="1200">
        <v>2.1000000000000001E-2</v>
      </c>
      <c r="BM109" s="1198">
        <v>2.06E-2</v>
      </c>
      <c r="BN109" s="1198">
        <v>2.07E-2</v>
      </c>
      <c r="BO109" s="1198">
        <v>2.2800000000000001E-2</v>
      </c>
      <c r="BP109" s="1199"/>
      <c r="BQ109" s="1200">
        <v>1.9899999999999998E-2</v>
      </c>
      <c r="BR109" s="1198">
        <v>1.9699999999999999E-2</v>
      </c>
      <c r="BS109" s="1198">
        <v>1.9799999999999998E-2</v>
      </c>
      <c r="BT109" s="1198">
        <v>2.2099999999999998E-2</v>
      </c>
      <c r="BU109" s="1199"/>
      <c r="BV109" s="1200">
        <v>1.9400000000000001E-2</v>
      </c>
      <c r="BW109" s="1198">
        <v>1.9199999999999998E-2</v>
      </c>
      <c r="BX109" s="1198">
        <v>1.9599999999999999E-2</v>
      </c>
      <c r="BY109" s="1198">
        <v>2.1999999999999999E-2</v>
      </c>
      <c r="BZ109" s="264"/>
    </row>
    <row r="110" spans="1:78" s="248" customFormat="1" ht="14.1" customHeight="1" x14ac:dyDescent="0.2">
      <c r="A110"/>
      <c r="B110"/>
      <c r="C110" s="409" t="str">
        <f t="shared" si="44"/>
        <v>Bull</v>
      </c>
      <c r="D110" s="382"/>
      <c r="E110" s="434"/>
      <c r="F110" s="434"/>
      <c r="G110" s="434"/>
      <c r="H110" s="434"/>
      <c r="I110" s="434"/>
      <c r="J110" s="434"/>
      <c r="K110" s="434"/>
      <c r="L110" s="434"/>
      <c r="M110" s="434"/>
      <c r="N110" s="434"/>
      <c r="O110" s="435"/>
      <c r="R110" s="409" t="str">
        <f>R103</f>
        <v>Bull</v>
      </c>
      <c r="S110" s="398"/>
      <c r="T110" s="263"/>
      <c r="U110" s="263"/>
      <c r="V110" s="263"/>
      <c r="W110" s="264"/>
      <c r="X110" s="398"/>
      <c r="Y110" s="263"/>
      <c r="Z110" s="263"/>
      <c r="AA110" s="263"/>
      <c r="AB110" s="264"/>
      <c r="AC110" s="398"/>
      <c r="AD110" s="263"/>
      <c r="AE110" s="263"/>
      <c r="AF110" s="263"/>
      <c r="AG110" s="264"/>
      <c r="AH110" s="398"/>
      <c r="AI110" s="263"/>
      <c r="AJ110" s="263"/>
      <c r="AK110" s="263"/>
      <c r="AL110" s="264"/>
      <c r="AM110" s="398"/>
      <c r="AN110" s="263"/>
      <c r="AO110" s="263"/>
      <c r="AP110" s="263"/>
      <c r="AQ110" s="264"/>
      <c r="AR110" s="398"/>
      <c r="AS110" s="263"/>
      <c r="AT110" s="263"/>
      <c r="AU110" s="263"/>
      <c r="AV110" s="264"/>
      <c r="AW110" s="398"/>
      <c r="AX110" s="263"/>
      <c r="AY110" s="263"/>
      <c r="AZ110" s="263"/>
      <c r="BA110" s="264"/>
      <c r="BB110" s="398"/>
      <c r="BC110" s="263"/>
      <c r="BD110" s="263"/>
      <c r="BE110" s="1198">
        <f>BE109</f>
        <v>2.5600000000000001E-2</v>
      </c>
      <c r="BF110" s="1199"/>
      <c r="BG110" s="1200">
        <v>2.2600000000000002E-2</v>
      </c>
      <c r="BH110" s="1198">
        <v>2.3100000000000002E-2</v>
      </c>
      <c r="BI110" s="1198">
        <v>2.3100000000000002E-2</v>
      </c>
      <c r="BJ110" s="1198">
        <v>2.64E-2</v>
      </c>
      <c r="BK110" s="1199"/>
      <c r="BL110" s="1200">
        <v>2.1500000000000002E-2</v>
      </c>
      <c r="BM110" s="1198">
        <v>2.41E-2</v>
      </c>
      <c r="BN110" s="1198">
        <v>2.3199999999999998E-2</v>
      </c>
      <c r="BO110" s="1198">
        <v>2.4300000000000002E-2</v>
      </c>
      <c r="BP110" s="1199"/>
      <c r="BQ110" s="1200">
        <v>2.0399999999999998E-2</v>
      </c>
      <c r="BR110" s="1198">
        <v>2.12E-2</v>
      </c>
      <c r="BS110" s="1198">
        <v>2.1299999999999999E-2</v>
      </c>
      <c r="BT110" s="1198">
        <v>2.4599999999999997E-2</v>
      </c>
      <c r="BU110" s="1199"/>
      <c r="BV110" s="1200">
        <v>1.9900000000000001E-2</v>
      </c>
      <c r="BW110" s="1198">
        <v>2.07E-2</v>
      </c>
      <c r="BX110" s="1198">
        <v>2.1100000000000001E-2</v>
      </c>
      <c r="BY110" s="1198">
        <v>2.4499999999999997E-2</v>
      </c>
      <c r="BZ110" s="264"/>
    </row>
    <row r="111" spans="1:78" s="248" customFormat="1" ht="14.1" customHeight="1" x14ac:dyDescent="0.2">
      <c r="A111"/>
      <c r="B111"/>
      <c r="C111" s="410" t="str">
        <f t="shared" si="44"/>
        <v>Bear</v>
      </c>
      <c r="D111" s="428"/>
      <c r="E111" s="436"/>
      <c r="F111" s="436"/>
      <c r="G111" s="436"/>
      <c r="H111" s="436"/>
      <c r="I111" s="436"/>
      <c r="J111" s="436"/>
      <c r="K111" s="436"/>
      <c r="L111" s="436"/>
      <c r="M111" s="436"/>
      <c r="N111" s="436"/>
      <c r="O111" s="437"/>
      <c r="R111" s="410" t="str">
        <f>R104</f>
        <v>Bear</v>
      </c>
      <c r="S111" s="399"/>
      <c r="T111" s="267"/>
      <c r="U111" s="267"/>
      <c r="V111" s="267"/>
      <c r="W111" s="268"/>
      <c r="X111" s="399"/>
      <c r="Y111" s="267"/>
      <c r="Z111" s="267"/>
      <c r="AA111" s="267"/>
      <c r="AB111" s="268"/>
      <c r="AC111" s="399"/>
      <c r="AD111" s="267"/>
      <c r="AE111" s="267"/>
      <c r="AF111" s="267"/>
      <c r="AG111" s="268"/>
      <c r="AH111" s="399"/>
      <c r="AI111" s="267"/>
      <c r="AJ111" s="267"/>
      <c r="AK111" s="267"/>
      <c r="AL111" s="268"/>
      <c r="AM111" s="399"/>
      <c r="AN111" s="267"/>
      <c r="AO111" s="267"/>
      <c r="AP111" s="267"/>
      <c r="AQ111" s="268"/>
      <c r="AR111" s="399"/>
      <c r="AS111" s="267"/>
      <c r="AT111" s="267"/>
      <c r="AU111" s="267"/>
      <c r="AV111" s="268"/>
      <c r="AW111" s="399"/>
      <c r="AX111" s="267"/>
      <c r="AY111" s="267"/>
      <c r="AZ111" s="267"/>
      <c r="BA111" s="268"/>
      <c r="BB111" s="399"/>
      <c r="BC111" s="267"/>
      <c r="BD111" s="267"/>
      <c r="BE111" s="1201">
        <f>BE110</f>
        <v>2.5600000000000001E-2</v>
      </c>
      <c r="BF111" s="1202"/>
      <c r="BG111" s="1203">
        <f>BG109+0.05%</f>
        <v>2.2600000000000002E-2</v>
      </c>
      <c r="BH111" s="1201">
        <f>BH109+0.1%</f>
        <v>2.2600000000000002E-2</v>
      </c>
      <c r="BI111" s="1201">
        <f>BI109+0.06%</f>
        <v>2.2200000000000001E-2</v>
      </c>
      <c r="BJ111" s="1201">
        <f>BJ109+0.9%</f>
        <v>3.2899999999999999E-2</v>
      </c>
      <c r="BK111" s="1202"/>
      <c r="BL111" s="1203">
        <f>BL109+0.05%</f>
        <v>2.1500000000000002E-2</v>
      </c>
      <c r="BM111" s="1201">
        <f>BM109+0.1%</f>
        <v>2.1600000000000001E-2</v>
      </c>
      <c r="BN111" s="1201">
        <f>BN109+0.06%</f>
        <v>2.1299999999999999E-2</v>
      </c>
      <c r="BO111" s="1201">
        <f>BO109+0.9%</f>
        <v>3.1800000000000002E-2</v>
      </c>
      <c r="BP111" s="1202"/>
      <c r="BQ111" s="1203">
        <f>BQ109+0.5%</f>
        <v>2.4899999999999999E-2</v>
      </c>
      <c r="BR111" s="1201">
        <f>BR109+0.1%</f>
        <v>2.07E-2</v>
      </c>
      <c r="BS111" s="1201">
        <f>BS109+0.6%</f>
        <v>2.5799999999999997E-2</v>
      </c>
      <c r="BT111" s="1201">
        <f>BT109+0.9%</f>
        <v>3.1099999999999999E-2</v>
      </c>
      <c r="BU111" s="1202"/>
      <c r="BV111" s="1203">
        <f>BV109+0.5%</f>
        <v>2.4400000000000002E-2</v>
      </c>
      <c r="BW111" s="1201">
        <f>BW109+0.1%</f>
        <v>2.0199999999999999E-2</v>
      </c>
      <c r="BX111" s="1201">
        <f>BX109+0.6%</f>
        <v>2.5599999999999998E-2</v>
      </c>
      <c r="BY111" s="1201">
        <f>BY109+0.9%</f>
        <v>3.1E-2</v>
      </c>
      <c r="BZ111" s="268"/>
    </row>
    <row r="112" spans="1:78" s="248" customFormat="1" ht="14.1" customHeight="1" x14ac:dyDescent="0.2">
      <c r="A112"/>
      <c r="B112"/>
      <c r="C112" s="807"/>
      <c r="D112" s="382"/>
      <c r="E112" s="382"/>
      <c r="F112" s="382"/>
      <c r="G112" s="382"/>
      <c r="H112" s="382"/>
      <c r="I112" s="382"/>
      <c r="J112" s="382"/>
      <c r="K112" s="382"/>
      <c r="L112" s="382"/>
      <c r="M112" s="382"/>
      <c r="N112" s="382"/>
      <c r="O112" s="382"/>
      <c r="R112" s="807"/>
      <c r="S112" s="263"/>
      <c r="T112" s="263"/>
      <c r="U112" s="263"/>
      <c r="V112" s="263"/>
      <c r="W112" s="263"/>
      <c r="X112" s="263"/>
      <c r="Y112" s="263"/>
      <c r="Z112" s="263"/>
      <c r="AA112" s="263"/>
      <c r="AB112" s="263"/>
      <c r="AC112" s="263"/>
      <c r="AD112" s="263"/>
      <c r="AE112" s="263"/>
      <c r="AF112" s="263"/>
      <c r="AG112" s="263"/>
      <c r="AH112" s="263"/>
      <c r="AI112" s="263"/>
      <c r="AJ112" s="263"/>
      <c r="AK112" s="263"/>
      <c r="AL112" s="263"/>
      <c r="AM112" s="263"/>
      <c r="AN112" s="263"/>
      <c r="AO112" s="263"/>
      <c r="AP112" s="263"/>
      <c r="AQ112" s="263"/>
      <c r="AR112" s="263"/>
      <c r="AS112" s="263"/>
      <c r="AT112" s="263"/>
      <c r="AU112" s="263"/>
      <c r="AV112" s="263"/>
      <c r="AW112" s="263"/>
      <c r="AX112" s="263"/>
      <c r="AY112" s="263"/>
      <c r="AZ112" s="263"/>
      <c r="BA112" s="263"/>
      <c r="BB112" s="263"/>
      <c r="BC112" s="263"/>
      <c r="BD112" s="263"/>
      <c r="BE112" s="263"/>
      <c r="BF112" s="263"/>
      <c r="BG112" s="263"/>
      <c r="BH112" s="263"/>
      <c r="BI112" s="263"/>
      <c r="BJ112" s="263"/>
      <c r="BK112" s="263"/>
      <c r="BL112" s="263"/>
      <c r="BM112" s="263"/>
      <c r="BN112" s="263"/>
      <c r="BO112" s="263"/>
      <c r="BP112" s="263"/>
      <c r="BQ112" s="263"/>
      <c r="BR112" s="263"/>
      <c r="BS112" s="263"/>
      <c r="BT112" s="263"/>
      <c r="BU112" s="263"/>
      <c r="BV112" s="263"/>
      <c r="BW112" s="263"/>
      <c r="BX112" s="263"/>
      <c r="BY112" s="263"/>
      <c r="BZ112" s="263"/>
    </row>
    <row r="113" spans="1:78" s="248" customFormat="1" ht="14.1" customHeight="1" x14ac:dyDescent="0.2">
      <c r="A113"/>
      <c r="B113"/>
      <c r="R113" s="806"/>
      <c r="S113" s="1367">
        <f>S74</f>
        <v>43100</v>
      </c>
      <c r="T113" s="1368"/>
      <c r="U113" s="1368"/>
      <c r="V113" s="1368"/>
      <c r="W113" s="1368"/>
      <c r="X113" s="1368">
        <f>X74</f>
        <v>43465</v>
      </c>
      <c r="Y113" s="1368"/>
      <c r="Z113" s="1368"/>
      <c r="AA113" s="1368"/>
      <c r="AB113" s="1368"/>
      <c r="AC113" s="1368">
        <f>AC74</f>
        <v>43830</v>
      </c>
      <c r="AD113" s="1368"/>
      <c r="AE113" s="1368"/>
      <c r="AF113" s="1368"/>
      <c r="AG113" s="1368"/>
      <c r="AH113" s="1368">
        <f>AH74</f>
        <v>44196</v>
      </c>
      <c r="AI113" s="1368"/>
      <c r="AJ113" s="1368"/>
      <c r="AK113" s="1368"/>
      <c r="AL113" s="1368"/>
      <c r="AM113" s="1368">
        <f>AM74</f>
        <v>44561</v>
      </c>
      <c r="AN113" s="1368"/>
      <c r="AO113" s="1368"/>
      <c r="AP113" s="1368"/>
      <c r="AQ113" s="1368"/>
      <c r="AR113" s="1368">
        <f>AR74</f>
        <v>44926</v>
      </c>
      <c r="AS113" s="1368"/>
      <c r="AT113" s="1368"/>
      <c r="AU113" s="1368"/>
      <c r="AV113" s="1368"/>
      <c r="AW113" s="1368">
        <f>AW74</f>
        <v>45291</v>
      </c>
      <c r="AX113" s="1368"/>
      <c r="AY113" s="1368"/>
      <c r="AZ113" s="1368"/>
      <c r="BA113" s="1368"/>
      <c r="BB113" s="1369">
        <f>BB74</f>
        <v>45657</v>
      </c>
      <c r="BC113" s="1369"/>
      <c r="BD113" s="1369"/>
      <c r="BE113" s="1369"/>
      <c r="BF113" s="1369"/>
      <c r="BG113" s="1365">
        <f>BG74</f>
        <v>46022</v>
      </c>
      <c r="BH113" s="1365"/>
      <c r="BI113" s="1365"/>
      <c r="BJ113" s="1365"/>
      <c r="BK113" s="1365"/>
      <c r="BL113" s="1365">
        <f>BL74</f>
        <v>46387</v>
      </c>
      <c r="BM113" s="1365"/>
      <c r="BN113" s="1365"/>
      <c r="BO113" s="1365"/>
      <c r="BP113" s="1365"/>
      <c r="BQ113" s="1365">
        <f>BQ74</f>
        <v>46752</v>
      </c>
      <c r="BR113" s="1365"/>
      <c r="BS113" s="1365"/>
      <c r="BT113" s="1365"/>
      <c r="BU113" s="1365"/>
      <c r="BV113" s="1365">
        <f>BV74</f>
        <v>47118</v>
      </c>
      <c r="BW113" s="1365"/>
      <c r="BX113" s="1365"/>
      <c r="BY113" s="1365"/>
      <c r="BZ113" s="1366"/>
    </row>
    <row r="114" spans="1:78" s="248" customFormat="1" ht="14.1" customHeight="1" x14ac:dyDescent="0.2">
      <c r="A114"/>
      <c r="B114"/>
      <c r="C114" s="811" t="str">
        <f>C37</f>
        <v>Model Case: Base</v>
      </c>
      <c r="D114" s="97">
        <f>D74</f>
        <v>43100</v>
      </c>
      <c r="E114" s="98">
        <f t="shared" ref="E114:O114" si="60">E74</f>
        <v>43465</v>
      </c>
      <c r="F114" s="98">
        <f t="shared" si="60"/>
        <v>43830</v>
      </c>
      <c r="G114" s="98">
        <f t="shared" si="60"/>
        <v>44196</v>
      </c>
      <c r="H114" s="98">
        <f t="shared" si="60"/>
        <v>44561</v>
      </c>
      <c r="I114" s="98">
        <f t="shared" si="60"/>
        <v>44926</v>
      </c>
      <c r="J114" s="98">
        <f t="shared" si="60"/>
        <v>45291</v>
      </c>
      <c r="K114" s="137">
        <f t="shared" si="60"/>
        <v>45657</v>
      </c>
      <c r="L114" s="138">
        <f t="shared" si="60"/>
        <v>46022</v>
      </c>
      <c r="M114" s="138">
        <f t="shared" si="60"/>
        <v>46387</v>
      </c>
      <c r="N114" s="138">
        <f t="shared" si="60"/>
        <v>46752</v>
      </c>
      <c r="O114" s="139">
        <f t="shared" si="60"/>
        <v>47118</v>
      </c>
      <c r="R114" s="170" t="str">
        <f>C114</f>
        <v>Model Case: Base</v>
      </c>
      <c r="S114" s="96" t="str">
        <f>S75</f>
        <v>2017 Q1</v>
      </c>
      <c r="T114" s="140" t="str">
        <f t="shared" ref="T114:BZ114" si="61">T75</f>
        <v>2017 Q2</v>
      </c>
      <c r="U114" s="140" t="str">
        <f t="shared" si="61"/>
        <v>2017 Q3</v>
      </c>
      <c r="V114" s="140" t="str">
        <f t="shared" si="61"/>
        <v>2017 Q4</v>
      </c>
      <c r="W114" s="140" t="str">
        <f t="shared" si="61"/>
        <v>2017 FY</v>
      </c>
      <c r="X114" s="140" t="str">
        <f t="shared" si="61"/>
        <v>2018 Q1</v>
      </c>
      <c r="Y114" s="140" t="str">
        <f t="shared" si="61"/>
        <v>2018 Q2</v>
      </c>
      <c r="Z114" s="140" t="str">
        <f t="shared" si="61"/>
        <v>2018 Q3</v>
      </c>
      <c r="AA114" s="140" t="str">
        <f t="shared" si="61"/>
        <v>2018 Q4</v>
      </c>
      <c r="AB114" s="140" t="str">
        <f t="shared" si="61"/>
        <v>2018 FY</v>
      </c>
      <c r="AC114" s="140" t="str">
        <f t="shared" si="61"/>
        <v>2019 Q1</v>
      </c>
      <c r="AD114" s="140" t="str">
        <f t="shared" si="61"/>
        <v>2019 Q2</v>
      </c>
      <c r="AE114" s="140" t="str">
        <f t="shared" si="61"/>
        <v>2019 Q3</v>
      </c>
      <c r="AF114" s="140" t="str">
        <f t="shared" si="61"/>
        <v>2019 Q4</v>
      </c>
      <c r="AG114" s="140" t="str">
        <f t="shared" si="61"/>
        <v>2019 FY</v>
      </c>
      <c r="AH114" s="140" t="str">
        <f t="shared" si="61"/>
        <v>2020 Q1</v>
      </c>
      <c r="AI114" s="140" t="str">
        <f t="shared" si="61"/>
        <v>2020 Q2</v>
      </c>
      <c r="AJ114" s="140" t="str">
        <f t="shared" si="61"/>
        <v>2020 Q3</v>
      </c>
      <c r="AK114" s="140" t="str">
        <f t="shared" si="61"/>
        <v>2020 Q4</v>
      </c>
      <c r="AL114" s="140" t="str">
        <f t="shared" si="61"/>
        <v>2020 FY</v>
      </c>
      <c r="AM114" s="140" t="str">
        <f t="shared" si="61"/>
        <v>2021 Q1</v>
      </c>
      <c r="AN114" s="140" t="str">
        <f t="shared" si="61"/>
        <v>2021 Q2</v>
      </c>
      <c r="AO114" s="140" t="str">
        <f t="shared" si="61"/>
        <v>2021 Q3</v>
      </c>
      <c r="AP114" s="140" t="str">
        <f t="shared" si="61"/>
        <v>2021 Q4</v>
      </c>
      <c r="AQ114" s="140" t="str">
        <f t="shared" si="61"/>
        <v>2021 FY</v>
      </c>
      <c r="AR114" s="140" t="str">
        <f t="shared" si="61"/>
        <v>2022 Q1</v>
      </c>
      <c r="AS114" s="140" t="str">
        <f t="shared" si="61"/>
        <v>2022 Q2</v>
      </c>
      <c r="AT114" s="140" t="str">
        <f t="shared" si="61"/>
        <v>2022 Q3</v>
      </c>
      <c r="AU114" s="140" t="str">
        <f t="shared" si="61"/>
        <v>2022 Q4</v>
      </c>
      <c r="AV114" s="140" t="str">
        <f t="shared" si="61"/>
        <v>2022 FY</v>
      </c>
      <c r="AW114" s="140" t="str">
        <f t="shared" si="61"/>
        <v>2023 Q1</v>
      </c>
      <c r="AX114" s="140" t="str">
        <f t="shared" si="61"/>
        <v>2023 Q2</v>
      </c>
      <c r="AY114" s="140" t="str">
        <f t="shared" si="61"/>
        <v>2023 Q3</v>
      </c>
      <c r="AZ114" s="140" t="str">
        <f t="shared" si="61"/>
        <v>2023 Q4</v>
      </c>
      <c r="BA114" s="140" t="str">
        <f t="shared" si="61"/>
        <v>2023 FY</v>
      </c>
      <c r="BB114" s="140" t="str">
        <f t="shared" si="61"/>
        <v>2024 Q1</v>
      </c>
      <c r="BC114" s="140" t="str">
        <f t="shared" si="61"/>
        <v>2024 Q2</v>
      </c>
      <c r="BD114" s="140" t="str">
        <f t="shared" si="61"/>
        <v>2024 Q3</v>
      </c>
      <c r="BE114" s="141" t="str">
        <f t="shared" si="61"/>
        <v>2024 Q4</v>
      </c>
      <c r="BF114" s="141" t="str">
        <f t="shared" si="61"/>
        <v>2024 FY</v>
      </c>
      <c r="BG114" s="141" t="str">
        <f t="shared" si="61"/>
        <v>2025 Q1</v>
      </c>
      <c r="BH114" s="141" t="str">
        <f t="shared" si="61"/>
        <v>2025 Q2</v>
      </c>
      <c r="BI114" s="141" t="str">
        <f t="shared" si="61"/>
        <v>2025 Q3</v>
      </c>
      <c r="BJ114" s="141" t="str">
        <f t="shared" si="61"/>
        <v>2025 Q4</v>
      </c>
      <c r="BK114" s="141" t="str">
        <f t="shared" si="61"/>
        <v>2025 FY</v>
      </c>
      <c r="BL114" s="141" t="str">
        <f t="shared" si="61"/>
        <v>2026 Q1</v>
      </c>
      <c r="BM114" s="141" t="str">
        <f t="shared" si="61"/>
        <v>2026 Q2</v>
      </c>
      <c r="BN114" s="141" t="str">
        <f t="shared" si="61"/>
        <v>2026 Q3</v>
      </c>
      <c r="BO114" s="141" t="str">
        <f t="shared" si="61"/>
        <v>2026 Q4</v>
      </c>
      <c r="BP114" s="141" t="str">
        <f t="shared" si="61"/>
        <v>2026 FY</v>
      </c>
      <c r="BQ114" s="141" t="str">
        <f t="shared" si="61"/>
        <v>2027 Q1</v>
      </c>
      <c r="BR114" s="141" t="str">
        <f t="shared" si="61"/>
        <v>2027 Q2</v>
      </c>
      <c r="BS114" s="141" t="str">
        <f t="shared" si="61"/>
        <v>2027 Q3</v>
      </c>
      <c r="BT114" s="141" t="str">
        <f t="shared" si="61"/>
        <v>2027 Q4</v>
      </c>
      <c r="BU114" s="141" t="str">
        <f t="shared" si="61"/>
        <v>2027 FY</v>
      </c>
      <c r="BV114" s="141" t="str">
        <f t="shared" si="61"/>
        <v>2028 Q1</v>
      </c>
      <c r="BW114" s="141" t="str">
        <f t="shared" si="61"/>
        <v>2028 Q2</v>
      </c>
      <c r="BX114" s="141" t="str">
        <f t="shared" si="61"/>
        <v>2028 Q3</v>
      </c>
      <c r="BY114" s="141" t="str">
        <f t="shared" si="61"/>
        <v>2028 Q4</v>
      </c>
      <c r="BZ114" s="142" t="str">
        <f t="shared" si="61"/>
        <v>2028 FY</v>
      </c>
    </row>
    <row r="115" spans="1:78" ht="14.1" customHeight="1" x14ac:dyDescent="0.2">
      <c r="C115" s="813" t="str">
        <f>C106</f>
        <v>As a % of Revenue</v>
      </c>
      <c r="D115" s="812"/>
      <c r="E115" s="812"/>
      <c r="F115" s="812"/>
      <c r="G115" s="812"/>
      <c r="H115" s="812"/>
      <c r="I115" s="812"/>
      <c r="J115" s="812"/>
      <c r="K115" s="815"/>
      <c r="L115" s="814"/>
      <c r="M115" s="814"/>
      <c r="N115" s="814"/>
      <c r="O115" s="814"/>
      <c r="R115" s="818" t="str">
        <f>C115</f>
        <v>As a % of Revenue</v>
      </c>
      <c r="S115" s="816"/>
      <c r="T115" s="816"/>
      <c r="U115" s="816"/>
      <c r="V115" s="816"/>
      <c r="W115" s="816"/>
      <c r="X115" s="816"/>
      <c r="Y115" s="816"/>
      <c r="Z115" s="816"/>
      <c r="AA115" s="816"/>
      <c r="AB115" s="816"/>
      <c r="AC115" s="816"/>
      <c r="AD115" s="816"/>
      <c r="AE115" s="816"/>
      <c r="AF115" s="816"/>
      <c r="AG115" s="816"/>
      <c r="AH115" s="816"/>
      <c r="AI115" s="816"/>
      <c r="AJ115" s="816"/>
      <c r="AK115" s="816"/>
      <c r="AL115" s="816"/>
      <c r="AM115" s="816"/>
      <c r="AN115" s="816"/>
      <c r="AO115" s="816"/>
      <c r="AP115" s="816"/>
      <c r="AQ115" s="816"/>
      <c r="AR115" s="816"/>
      <c r="AS115" s="816"/>
      <c r="AT115" s="816"/>
      <c r="AU115" s="816"/>
      <c r="AV115" s="816"/>
      <c r="AW115" s="816"/>
      <c r="AX115" s="816"/>
      <c r="AY115" s="816"/>
      <c r="AZ115" s="816"/>
      <c r="BA115" s="816"/>
      <c r="BB115" s="1370"/>
      <c r="BC115" s="1370"/>
      <c r="BD115" s="1370"/>
      <c r="BE115" s="1370"/>
      <c r="BF115" s="1370"/>
      <c r="BG115" s="817"/>
      <c r="BH115" s="817"/>
      <c r="BI115" s="817"/>
      <c r="BJ115" s="817"/>
      <c r="BK115" s="817"/>
      <c r="BL115" s="817"/>
      <c r="BM115" s="817"/>
      <c r="BN115" s="817"/>
      <c r="BO115" s="817"/>
      <c r="BP115" s="817"/>
      <c r="BQ115" s="817"/>
      <c r="BR115" s="817"/>
      <c r="BS115" s="817"/>
      <c r="BT115" s="817"/>
      <c r="BU115" s="817"/>
      <c r="BV115" s="817"/>
      <c r="BW115" s="817"/>
      <c r="BX115" s="817"/>
      <c r="BY115" s="817"/>
      <c r="BZ115" s="817"/>
    </row>
    <row r="116" spans="1:78" ht="14.1" customHeight="1" x14ac:dyDescent="0.2">
      <c r="C116" s="792" t="str">
        <f t="shared" ref="C116:C121" si="62">R116</f>
        <v>Salaries, Wages and employees’ benefits</v>
      </c>
      <c r="D116" s="442">
        <f t="shared" ref="D116:D121" si="63">W116</f>
        <v>0</v>
      </c>
      <c r="E116" s="442">
        <f t="shared" ref="E116:E121" si="64">AB116</f>
        <v>0.5276914639728294</v>
      </c>
      <c r="F116" s="442">
        <f t="shared" ref="F116:F121" si="65">AG116</f>
        <v>0.53052691081777659</v>
      </c>
      <c r="G116" s="442">
        <f t="shared" ref="G116:G121" si="66">AL116</f>
        <v>0.52857658670102492</v>
      </c>
      <c r="H116" s="442">
        <f t="shared" ref="H116:H121" si="67">AQ116</f>
        <v>0.46476215360308709</v>
      </c>
      <c r="I116" s="442">
        <f t="shared" ref="I116:I121" si="68">AV116</f>
        <v>0.41888077499850473</v>
      </c>
      <c r="J116" s="442">
        <f t="shared" ref="J116:J121" si="69">BA116</f>
        <v>0.45160862667984991</v>
      </c>
      <c r="K116" s="442">
        <f t="shared" ref="K116:K121" si="70">BF116</f>
        <v>0.46718350758144372</v>
      </c>
      <c r="L116" s="442">
        <f t="shared" ref="L116:L121" si="71">BK116</f>
        <v>0.46606464470975106</v>
      </c>
      <c r="M116" s="442">
        <f t="shared" ref="M116:M121" si="72">BP116</f>
        <v>0.455008019734914</v>
      </c>
      <c r="N116" s="442">
        <f t="shared" ref="N116:N121" si="73">BU116</f>
        <v>0.44988475984985743</v>
      </c>
      <c r="O116" s="443">
        <f t="shared" ref="O116:O121" si="74">BZ116</f>
        <v>0.44568683701371259</v>
      </c>
      <c r="R116" s="440" t="str">
        <f>'Income Statement'!R11</f>
        <v>Salaries, Wages and employees’ benefits</v>
      </c>
      <c r="S116" s="441"/>
      <c r="T116" s="442"/>
      <c r="U116" s="442"/>
      <c r="V116" s="442"/>
      <c r="W116" s="442"/>
      <c r="X116" s="446">
        <f>'Revenue Build'!X78</f>
        <v>0.53747788342816405</v>
      </c>
      <c r="Y116" s="442">
        <f>'Revenue Build'!Y78</f>
        <v>0.51408805500872334</v>
      </c>
      <c r="Z116" s="442">
        <f>'Revenue Build'!Z78</f>
        <v>0.52785493065640254</v>
      </c>
      <c r="AA116" s="442">
        <f>'Revenue Build'!AA78</f>
        <v>0.53240811309157998</v>
      </c>
      <c r="AB116" s="795">
        <f>'Revenue Build'!AB78</f>
        <v>0.5276914639728294</v>
      </c>
      <c r="AC116" s="446">
        <f>'Revenue Build'!AC78</f>
        <v>0.5366794614500322</v>
      </c>
      <c r="AD116" s="442">
        <f>'Revenue Build'!AD78</f>
        <v>0.5120455842910846</v>
      </c>
      <c r="AE116" s="442">
        <f>'Revenue Build'!AE78</f>
        <v>0.53351845098327755</v>
      </c>
      <c r="AF116" s="442">
        <f>'Revenue Build'!AF78</f>
        <v>0.54102219764594373</v>
      </c>
      <c r="AG116" s="795">
        <f>'Revenue Build'!AG78</f>
        <v>0.53052691081777659</v>
      </c>
      <c r="AH116" s="446">
        <f>'Revenue Build'!AH78</f>
        <v>0.53460380469359048</v>
      </c>
      <c r="AI116" s="442">
        <f>'Revenue Build'!AI78</f>
        <v>0.5364015555566185</v>
      </c>
      <c r="AJ116" s="442">
        <f>'Revenue Build'!AJ78</f>
        <v>0.52369259660887379</v>
      </c>
      <c r="AK116" s="442">
        <f>'Revenue Build'!AK78</f>
        <v>0.5209976452415831</v>
      </c>
      <c r="AL116" s="795">
        <f>'Revenue Build'!AL78</f>
        <v>0.52857658670102492</v>
      </c>
      <c r="AM116" s="446">
        <f>'Revenue Build'!AM78</f>
        <v>0.50495791965691195</v>
      </c>
      <c r="AN116" s="442">
        <f>'Revenue Build'!AN78</f>
        <v>0.47045418346218409</v>
      </c>
      <c r="AO116" s="442">
        <f>'Revenue Build'!AO78</f>
        <v>0.44965401742246225</v>
      </c>
      <c r="AP116" s="442">
        <f>'Revenue Build'!AP78</f>
        <v>0.44304718505350171</v>
      </c>
      <c r="AQ116" s="795">
        <f>'Revenue Build'!AQ78</f>
        <v>0.46476215360308709</v>
      </c>
      <c r="AR116" s="446">
        <f>'Revenue Build'!AR78</f>
        <v>0.43777373808256309</v>
      </c>
      <c r="AS116" s="442">
        <f>'Revenue Build'!AS78</f>
        <v>0.39574866475131248</v>
      </c>
      <c r="AT116" s="442">
        <f>'Revenue Build'!AT78</f>
        <v>0.40743268897323187</v>
      </c>
      <c r="AU116" s="442">
        <f>'Revenue Build'!AU78</f>
        <v>0.43886775878949436</v>
      </c>
      <c r="AV116" s="795">
        <f>'Revenue Build'!AV78</f>
        <v>0.41888077499850473</v>
      </c>
      <c r="AW116" s="446">
        <f>'Revenue Build'!AW78</f>
        <v>0.45259675868803323</v>
      </c>
      <c r="AX116" s="442">
        <f>'Revenue Build'!AX78</f>
        <v>0.44900391867807238</v>
      </c>
      <c r="AY116" s="442">
        <f>'Revenue Build'!AY78</f>
        <v>0.44456900911314545</v>
      </c>
      <c r="AZ116" s="442">
        <f>'Revenue Build'!AZ78</f>
        <v>0.46041308318644375</v>
      </c>
      <c r="BA116" s="795">
        <f>'Revenue Build'!BA78</f>
        <v>0.45160862667984991</v>
      </c>
      <c r="BB116" s="446">
        <f>'Revenue Build'!BB78</f>
        <v>0.45273492100294793</v>
      </c>
      <c r="BC116" s="442">
        <f>'Revenue Build'!BC78</f>
        <v>0.4521624208618587</v>
      </c>
      <c r="BD116" s="442">
        <f>'Revenue Build'!BD78</f>
        <v>0.47278539561075072</v>
      </c>
      <c r="BE116" s="442">
        <f>'Revenue Build'!BE78</f>
        <v>0.49070000000000003</v>
      </c>
      <c r="BF116" s="795">
        <f>'Revenue Build'!BF78</f>
        <v>0.46718350758144372</v>
      </c>
      <c r="BG116" s="446">
        <f>'Revenue Build'!BG78</f>
        <v>0.46</v>
      </c>
      <c r="BH116" s="442">
        <f>'Revenue Build'!BH78</f>
        <v>0.44950000000000001</v>
      </c>
      <c r="BI116" s="442">
        <f>'Revenue Build'!BI78</f>
        <v>0.47189999999999999</v>
      </c>
      <c r="BJ116" s="442">
        <f>'Revenue Build'!BJ78</f>
        <v>0.48280000000000001</v>
      </c>
      <c r="BK116" s="795">
        <f>'Revenue Build'!BK78</f>
        <v>0.46606464470975106</v>
      </c>
      <c r="BL116" s="446">
        <f>'Revenue Build'!BL78</f>
        <v>0.46080000000000004</v>
      </c>
      <c r="BM116" s="442">
        <f>'Revenue Build'!BM78</f>
        <v>0.44780000000000003</v>
      </c>
      <c r="BN116" s="442">
        <f>'Revenue Build'!BN78</f>
        <v>0.45680000000000004</v>
      </c>
      <c r="BO116" s="442">
        <f>'Revenue Build'!BO78</f>
        <v>0.45519999999999999</v>
      </c>
      <c r="BP116" s="795">
        <f>'Revenue Build'!BP78</f>
        <v>0.455008019734914</v>
      </c>
      <c r="BQ116" s="446">
        <f>'Revenue Build'!BQ78</f>
        <v>0.4496</v>
      </c>
      <c r="BR116" s="442">
        <f>'Revenue Build'!BR78</f>
        <v>0.44130000000000003</v>
      </c>
      <c r="BS116" s="442">
        <f>'Revenue Build'!BS78</f>
        <v>0.4587</v>
      </c>
      <c r="BT116" s="442">
        <f>'Revenue Build'!BT78</f>
        <v>0.44979999999999998</v>
      </c>
      <c r="BU116" s="795">
        <f>'Revenue Build'!BU78</f>
        <v>0.44988475984985743</v>
      </c>
      <c r="BV116" s="446">
        <f>'Revenue Build'!BV78</f>
        <v>0.45119999999999999</v>
      </c>
      <c r="BW116" s="442">
        <f>'Revenue Build'!BW78</f>
        <v>0.43759999999999999</v>
      </c>
      <c r="BX116" s="442">
        <f>'Revenue Build'!BX78</f>
        <v>0.45650000000000002</v>
      </c>
      <c r="BY116" s="442">
        <f>'Revenue Build'!BY78</f>
        <v>0.43780000000000002</v>
      </c>
      <c r="BZ116" s="795">
        <f>'Revenue Build'!BZ78</f>
        <v>0.44568683701371259</v>
      </c>
    </row>
    <row r="117" spans="1:78" ht="14.1" customHeight="1" x14ac:dyDescent="0.2">
      <c r="C117" s="793" t="str">
        <f t="shared" si="62"/>
        <v>Purchased transportation</v>
      </c>
      <c r="D117" s="272">
        <f t="shared" si="63"/>
        <v>0</v>
      </c>
      <c r="E117" s="272">
        <f t="shared" si="64"/>
        <v>7.4918568744788666E-2</v>
      </c>
      <c r="F117" s="272">
        <f t="shared" si="65"/>
        <v>7.2747217690368182E-2</v>
      </c>
      <c r="G117" s="272">
        <f t="shared" si="66"/>
        <v>7.757442796891513E-2</v>
      </c>
      <c r="H117" s="272">
        <f t="shared" si="67"/>
        <v>0.10910541511702693</v>
      </c>
      <c r="I117" s="272">
        <f t="shared" si="68"/>
        <v>0.113140956649524</v>
      </c>
      <c r="J117" s="272">
        <f t="shared" si="69"/>
        <v>8.2836560836222803E-2</v>
      </c>
      <c r="K117" s="272">
        <f t="shared" si="70"/>
        <v>7.3523545603587301E-2</v>
      </c>
      <c r="L117" s="272">
        <f t="shared" si="71"/>
        <v>6.0031665941289017E-2</v>
      </c>
      <c r="M117" s="272">
        <f t="shared" si="72"/>
        <v>5.4794426864058936E-2</v>
      </c>
      <c r="N117" s="272">
        <f t="shared" si="73"/>
        <v>4.8789175477609081E-2</v>
      </c>
      <c r="O117" s="294">
        <f t="shared" si="74"/>
        <v>4.888105905952967E-2</v>
      </c>
      <c r="R117" s="364" t="str">
        <f>'Income Statement'!R12</f>
        <v>Purchased transportation</v>
      </c>
      <c r="S117" s="444"/>
      <c r="T117" s="272"/>
      <c r="U117" s="272"/>
      <c r="V117" s="272"/>
      <c r="W117" s="272"/>
      <c r="X117" s="384">
        <f>X85</f>
        <v>7.6159926681177686E-2</v>
      </c>
      <c r="Y117" s="272">
        <f t="shared" ref="Y117:BZ117" si="75">Y85</f>
        <v>7.9567188826586296E-2</v>
      </c>
      <c r="Z117" s="272">
        <f t="shared" si="75"/>
        <v>7.3352413984331302E-2</v>
      </c>
      <c r="AA117" s="272">
        <f t="shared" si="75"/>
        <v>7.0458512599877093E-2</v>
      </c>
      <c r="AB117" s="796">
        <f t="shared" si="75"/>
        <v>7.4918568744788666E-2</v>
      </c>
      <c r="AC117" s="384">
        <f t="shared" si="75"/>
        <v>6.9213607934064642E-2</v>
      </c>
      <c r="AD117" s="272">
        <f t="shared" si="75"/>
        <v>7.3576837320522628E-2</v>
      </c>
      <c r="AE117" s="272">
        <f t="shared" si="75"/>
        <v>7.6442072891141022E-2</v>
      </c>
      <c r="AF117" s="272">
        <f t="shared" si="75"/>
        <v>7.1242368501235706E-2</v>
      </c>
      <c r="AG117" s="796">
        <f t="shared" si="75"/>
        <v>7.2747217690368182E-2</v>
      </c>
      <c r="AH117" s="384">
        <f t="shared" si="75"/>
        <v>6.7337072912839718E-2</v>
      </c>
      <c r="AI117" s="272">
        <f t="shared" si="75"/>
        <v>6.3155024706180618E-2</v>
      </c>
      <c r="AJ117" s="272">
        <f t="shared" si="75"/>
        <v>8.3205574044298181E-2</v>
      </c>
      <c r="AK117" s="272">
        <f t="shared" si="75"/>
        <v>9.4129473936056349E-2</v>
      </c>
      <c r="AL117" s="796">
        <f t="shared" si="75"/>
        <v>7.757442796891513E-2</v>
      </c>
      <c r="AM117" s="384">
        <f t="shared" si="75"/>
        <v>9.3025033362667681E-2</v>
      </c>
      <c r="AN117" s="272">
        <f t="shared" si="75"/>
        <v>0.10936004046676807</v>
      </c>
      <c r="AO117" s="272">
        <f t="shared" si="75"/>
        <v>0.11715534812468355</v>
      </c>
      <c r="AP117" s="272">
        <f t="shared" si="75"/>
        <v>0.11344539857814454</v>
      </c>
      <c r="AQ117" s="796">
        <f t="shared" si="75"/>
        <v>0.10910541511702693</v>
      </c>
      <c r="AR117" s="384">
        <f t="shared" si="75"/>
        <v>0.11833954411266516</v>
      </c>
      <c r="AS117" s="272">
        <f t="shared" si="75"/>
        <v>0.12315539853585389</v>
      </c>
      <c r="AT117" s="272">
        <f t="shared" si="75"/>
        <v>0.11712797147873857</v>
      </c>
      <c r="AU117" s="272">
        <f t="shared" si="75"/>
        <v>9.2076568566748979E-2</v>
      </c>
      <c r="AV117" s="796">
        <f t="shared" si="75"/>
        <v>0.113140956649524</v>
      </c>
      <c r="AW117" s="384">
        <f t="shared" si="75"/>
        <v>7.0741141650328895E-2</v>
      </c>
      <c r="AX117" s="272">
        <f t="shared" si="75"/>
        <v>7.1651920037084926E-2</v>
      </c>
      <c r="AY117" s="272">
        <f t="shared" si="75"/>
        <v>9.9008700318908474E-2</v>
      </c>
      <c r="AZ117" s="272">
        <f t="shared" si="75"/>
        <v>8.7127162735710917E-2</v>
      </c>
      <c r="BA117" s="796">
        <f t="shared" si="75"/>
        <v>8.2836560836222803E-2</v>
      </c>
      <c r="BB117" s="384">
        <f t="shared" si="75"/>
        <v>6.9566427080918147E-2</v>
      </c>
      <c r="BC117" s="272">
        <f t="shared" si="75"/>
        <v>7.4154199726933934E-2</v>
      </c>
      <c r="BD117" s="272">
        <f t="shared" si="75"/>
        <v>7.7881209305750015E-2</v>
      </c>
      <c r="BE117" s="272">
        <f t="shared" si="75"/>
        <v>7.1999999999999995E-2</v>
      </c>
      <c r="BF117" s="796">
        <f t="shared" si="75"/>
        <v>7.3523545603587301E-2</v>
      </c>
      <c r="BG117" s="384">
        <f t="shared" si="75"/>
        <v>4.7500000000000001E-2</v>
      </c>
      <c r="BH117" s="272">
        <f t="shared" si="75"/>
        <v>5.11E-2</v>
      </c>
      <c r="BI117" s="272">
        <f t="shared" si="75"/>
        <v>6.8500000000000005E-2</v>
      </c>
      <c r="BJ117" s="272">
        <f t="shared" si="75"/>
        <v>7.22E-2</v>
      </c>
      <c r="BK117" s="796">
        <f t="shared" si="75"/>
        <v>6.0031665941289017E-2</v>
      </c>
      <c r="BL117" s="384">
        <f t="shared" si="75"/>
        <v>4.4199999999999996E-2</v>
      </c>
      <c r="BM117" s="272">
        <f t="shared" si="75"/>
        <v>5.21E-2</v>
      </c>
      <c r="BN117" s="272">
        <f t="shared" si="75"/>
        <v>5.8200000000000002E-2</v>
      </c>
      <c r="BO117" s="272">
        <f t="shared" si="75"/>
        <v>6.3600000000000004E-2</v>
      </c>
      <c r="BP117" s="796">
        <f t="shared" si="75"/>
        <v>5.4794426864058936E-2</v>
      </c>
      <c r="BQ117" s="384">
        <f t="shared" si="75"/>
        <v>4.3099999999999999E-2</v>
      </c>
      <c r="BR117" s="272">
        <f t="shared" si="75"/>
        <v>4.7E-2</v>
      </c>
      <c r="BS117" s="272">
        <f t="shared" si="75"/>
        <v>4.87E-2</v>
      </c>
      <c r="BT117" s="272">
        <f t="shared" si="75"/>
        <v>5.5799999999999995E-2</v>
      </c>
      <c r="BU117" s="796">
        <f t="shared" si="75"/>
        <v>4.8789175477609081E-2</v>
      </c>
      <c r="BV117" s="384">
        <f t="shared" si="75"/>
        <v>4.2900000000000001E-2</v>
      </c>
      <c r="BW117" s="272">
        <f t="shared" si="75"/>
        <v>4.7E-2</v>
      </c>
      <c r="BX117" s="272">
        <f t="shared" si="75"/>
        <v>4.8999999999999995E-2</v>
      </c>
      <c r="BY117" s="272">
        <f t="shared" si="75"/>
        <v>5.6099999999999997E-2</v>
      </c>
      <c r="BZ117" s="796">
        <f t="shared" si="75"/>
        <v>4.888105905952967E-2</v>
      </c>
    </row>
    <row r="118" spans="1:78" ht="14.1" customHeight="1" x14ac:dyDescent="0.2">
      <c r="C118" s="793" t="str">
        <f t="shared" si="62"/>
        <v>Fuel, operating expenses and supplies</v>
      </c>
      <c r="D118" s="272">
        <f t="shared" si="63"/>
        <v>0</v>
      </c>
      <c r="E118" s="272">
        <f t="shared" si="64"/>
        <v>0.19651128972475723</v>
      </c>
      <c r="F118" s="272">
        <f t="shared" si="65"/>
        <v>0.19032257161806312</v>
      </c>
      <c r="G118" s="272">
        <f t="shared" si="66"/>
        <v>0.16420082464225078</v>
      </c>
      <c r="H118" s="272">
        <f t="shared" si="67"/>
        <v>0.1668647409188781</v>
      </c>
      <c r="I118" s="272">
        <f t="shared" si="68"/>
        <v>0.20001597388591996</v>
      </c>
      <c r="J118" s="272">
        <f t="shared" si="69"/>
        <v>0.1956276616530733</v>
      </c>
      <c r="K118" s="272">
        <f t="shared" si="70"/>
        <v>0.19256208661250368</v>
      </c>
      <c r="L118" s="272">
        <f t="shared" si="71"/>
        <v>0.17650582085109134</v>
      </c>
      <c r="M118" s="272">
        <f t="shared" si="72"/>
        <v>0.17632383740058924</v>
      </c>
      <c r="N118" s="272">
        <f t="shared" si="73"/>
        <v>0.17580669675977656</v>
      </c>
      <c r="O118" s="294">
        <f t="shared" si="74"/>
        <v>0.16854097544861676</v>
      </c>
      <c r="R118" s="364" t="str">
        <f>'Income Statement'!R13</f>
        <v>Fuel, operating expenses and supplies</v>
      </c>
      <c r="S118" s="444"/>
      <c r="T118" s="272"/>
      <c r="U118" s="272"/>
      <c r="V118" s="272"/>
      <c r="W118" s="272"/>
      <c r="X118" s="384">
        <f>X92</f>
        <v>0.20059316963887933</v>
      </c>
      <c r="Y118" s="272">
        <f t="shared" ref="Y118:BZ118" si="76">Y92</f>
        <v>0.19766427511825568</v>
      </c>
      <c r="Z118" s="272">
        <f t="shared" si="76"/>
        <v>0.19184748638271273</v>
      </c>
      <c r="AA118" s="272">
        <f t="shared" si="76"/>
        <v>0.19623355869698847</v>
      </c>
      <c r="AB118" s="796">
        <f t="shared" si="76"/>
        <v>0.19651128972475723</v>
      </c>
      <c r="AC118" s="384">
        <f t="shared" si="76"/>
        <v>0.20347358883931183</v>
      </c>
      <c r="AD118" s="272">
        <f t="shared" si="76"/>
        <v>0.18381930007863076</v>
      </c>
      <c r="AE118" s="272">
        <f t="shared" si="76"/>
        <v>0.17969848003054015</v>
      </c>
      <c r="AF118" s="272">
        <f t="shared" si="76"/>
        <v>0.19619243226163208</v>
      </c>
      <c r="AG118" s="796">
        <f t="shared" si="76"/>
        <v>0.19032257161806312</v>
      </c>
      <c r="AH118" s="384">
        <f t="shared" si="76"/>
        <v>0.18570730920527961</v>
      </c>
      <c r="AI118" s="272">
        <f t="shared" si="76"/>
        <v>0.1576173005448275</v>
      </c>
      <c r="AJ118" s="272">
        <f t="shared" si="76"/>
        <v>0.15394682720711961</v>
      </c>
      <c r="AK118" s="272">
        <f t="shared" si="76"/>
        <v>0.16018863251917176</v>
      </c>
      <c r="AL118" s="796">
        <f t="shared" si="76"/>
        <v>0.16420082464225078</v>
      </c>
      <c r="AM118" s="384">
        <f t="shared" si="76"/>
        <v>0.17538847366311761</v>
      </c>
      <c r="AN118" s="272">
        <f t="shared" si="76"/>
        <v>0.15868854065842514</v>
      </c>
      <c r="AO118" s="272">
        <f t="shared" si="76"/>
        <v>0.16038856504861931</v>
      </c>
      <c r="AP118" s="272">
        <f t="shared" si="76"/>
        <v>0.17421537853215377</v>
      </c>
      <c r="AQ118" s="796">
        <f t="shared" si="76"/>
        <v>0.1668647409188781</v>
      </c>
      <c r="AR118" s="384">
        <f t="shared" si="76"/>
        <v>0.18567457532788076</v>
      </c>
      <c r="AS118" s="272">
        <f t="shared" si="76"/>
        <v>0.19519712857821164</v>
      </c>
      <c r="AT118" s="272">
        <f t="shared" si="76"/>
        <v>0.19938154588855492</v>
      </c>
      <c r="AU118" s="272">
        <f t="shared" si="76"/>
        <v>0.22066228882185562</v>
      </c>
      <c r="AV118" s="796">
        <f t="shared" si="76"/>
        <v>0.20001597388591996</v>
      </c>
      <c r="AW118" s="384">
        <f t="shared" si="76"/>
        <v>0.21440953166751195</v>
      </c>
      <c r="AX118" s="272">
        <f t="shared" si="76"/>
        <v>0.19217646432160226</v>
      </c>
      <c r="AY118" s="272">
        <f t="shared" si="76"/>
        <v>0.18613573735976802</v>
      </c>
      <c r="AZ118" s="272">
        <f t="shared" si="76"/>
        <v>0.19209805999478111</v>
      </c>
      <c r="BA118" s="796">
        <f t="shared" si="76"/>
        <v>0.1956276616530733</v>
      </c>
      <c r="BB118" s="384">
        <f t="shared" si="76"/>
        <v>0.20711470305720248</v>
      </c>
      <c r="BC118" s="272">
        <f t="shared" si="76"/>
        <v>0.19541836928055353</v>
      </c>
      <c r="BD118" s="272">
        <f t="shared" si="76"/>
        <v>0.18849594408284973</v>
      </c>
      <c r="BE118" s="272">
        <f t="shared" si="76"/>
        <v>0.18</v>
      </c>
      <c r="BF118" s="796">
        <f t="shared" si="76"/>
        <v>0.19256208661250368</v>
      </c>
      <c r="BG118" s="384">
        <f t="shared" si="76"/>
        <v>0.185</v>
      </c>
      <c r="BH118" s="272">
        <f t="shared" si="76"/>
        <v>0.17199999999999999</v>
      </c>
      <c r="BI118" s="272">
        <f t="shared" si="76"/>
        <v>0.17460000000000001</v>
      </c>
      <c r="BJ118" s="272">
        <f t="shared" si="76"/>
        <v>0.17519999999999999</v>
      </c>
      <c r="BK118" s="796">
        <f t="shared" si="76"/>
        <v>0.17650582085109134</v>
      </c>
      <c r="BL118" s="384">
        <f t="shared" si="76"/>
        <v>0.1898</v>
      </c>
      <c r="BM118" s="272">
        <f t="shared" si="76"/>
        <v>0.17729999999999999</v>
      </c>
      <c r="BN118" s="272">
        <f t="shared" si="76"/>
        <v>0.16839999999999999</v>
      </c>
      <c r="BO118" s="272">
        <f t="shared" si="76"/>
        <v>0.17119999999999999</v>
      </c>
      <c r="BP118" s="796">
        <f t="shared" si="76"/>
        <v>0.17632383740058924</v>
      </c>
      <c r="BQ118" s="384">
        <f t="shared" si="76"/>
        <v>0.189</v>
      </c>
      <c r="BR118" s="272">
        <f t="shared" si="76"/>
        <v>0.1764</v>
      </c>
      <c r="BS118" s="272">
        <f t="shared" si="76"/>
        <v>0.1663</v>
      </c>
      <c r="BT118" s="272">
        <f t="shared" si="76"/>
        <v>0.17299999999999999</v>
      </c>
      <c r="BU118" s="796">
        <f t="shared" si="76"/>
        <v>0.17580669675977656</v>
      </c>
      <c r="BV118" s="384">
        <f t="shared" si="76"/>
        <v>0.1817</v>
      </c>
      <c r="BW118" s="272">
        <f t="shared" si="76"/>
        <v>0.1681</v>
      </c>
      <c r="BX118" s="272">
        <f t="shared" si="76"/>
        <v>0.158</v>
      </c>
      <c r="BY118" s="272">
        <f t="shared" si="76"/>
        <v>0.16789999999999999</v>
      </c>
      <c r="BZ118" s="796">
        <f t="shared" si="76"/>
        <v>0.16854097544861676</v>
      </c>
    </row>
    <row r="119" spans="1:78" ht="14.1" customHeight="1" x14ac:dyDescent="0.2">
      <c r="C119" s="793" t="str">
        <f t="shared" si="62"/>
        <v>Operating taxes and licenses</v>
      </c>
      <c r="D119" s="272">
        <f t="shared" si="63"/>
        <v>0</v>
      </c>
      <c r="E119" s="272">
        <f t="shared" si="64"/>
        <v>3.0286319972379582E-2</v>
      </c>
      <c r="F119" s="272">
        <f t="shared" si="65"/>
        <v>3.0444917685051226E-2</v>
      </c>
      <c r="G119" s="272">
        <f t="shared" si="66"/>
        <v>3.0890611435902555E-2</v>
      </c>
      <c r="H119" s="272">
        <f t="shared" si="67"/>
        <v>2.5820289561253876E-2</v>
      </c>
      <c r="I119" s="272">
        <f t="shared" si="68"/>
        <v>2.2859132173877542E-2</v>
      </c>
      <c r="J119" s="272">
        <f t="shared" si="69"/>
        <v>2.4134519178478208E-2</v>
      </c>
      <c r="K119" s="272">
        <f t="shared" si="70"/>
        <v>2.4435314737063576E-2</v>
      </c>
      <c r="L119" s="272">
        <f t="shared" si="71"/>
        <v>2.368256862990567E-2</v>
      </c>
      <c r="M119" s="272">
        <f t="shared" si="72"/>
        <v>2.2222003746675458E-2</v>
      </c>
      <c r="N119" s="272">
        <f t="shared" si="73"/>
        <v>2.0371320174896231E-2</v>
      </c>
      <c r="O119" s="294">
        <f t="shared" si="74"/>
        <v>1.9423282884982712E-2</v>
      </c>
      <c r="R119" s="364" t="str">
        <f>'Income Statement'!R14</f>
        <v>Operating taxes and licenses</v>
      </c>
      <c r="S119" s="444"/>
      <c r="T119" s="272"/>
      <c r="U119" s="272"/>
      <c r="V119" s="272"/>
      <c r="W119" s="272"/>
      <c r="X119" s="384">
        <f>X99</f>
        <v>3.0931378164738229E-2</v>
      </c>
      <c r="Y119" s="272">
        <f t="shared" ref="Y119:BZ119" si="77">Y99</f>
        <v>2.9841486056557474E-2</v>
      </c>
      <c r="Z119" s="272">
        <f t="shared" si="77"/>
        <v>2.9058045596176349E-2</v>
      </c>
      <c r="AA119" s="272">
        <f t="shared" si="77"/>
        <v>3.1417332513829145E-2</v>
      </c>
      <c r="AB119" s="796">
        <f t="shared" si="77"/>
        <v>3.0286319972379582E-2</v>
      </c>
      <c r="AC119" s="384">
        <f t="shared" si="77"/>
        <v>3.2154199871402687E-2</v>
      </c>
      <c r="AD119" s="272">
        <f t="shared" si="77"/>
        <v>2.9145079115457943E-2</v>
      </c>
      <c r="AE119" s="272">
        <f t="shared" si="77"/>
        <v>2.9077120268889783E-2</v>
      </c>
      <c r="AF119" s="272">
        <f t="shared" si="77"/>
        <v>3.1670296683330892E-2</v>
      </c>
      <c r="AG119" s="796">
        <f t="shared" si="77"/>
        <v>3.0444917685051226E-2</v>
      </c>
      <c r="AH119" s="384">
        <f t="shared" si="77"/>
        <v>3.224939291570713E-2</v>
      </c>
      <c r="AI119" s="272">
        <f t="shared" si="77"/>
        <v>3.286902615076271E-2</v>
      </c>
      <c r="AJ119" s="272">
        <f t="shared" si="77"/>
        <v>2.9210135985740817E-2</v>
      </c>
      <c r="AK119" s="272">
        <f t="shared" si="77"/>
        <v>2.9579291557708359E-2</v>
      </c>
      <c r="AL119" s="796">
        <f t="shared" si="77"/>
        <v>3.0890611435902555E-2</v>
      </c>
      <c r="AM119" s="384">
        <f t="shared" si="77"/>
        <v>2.9619438350334863E-2</v>
      </c>
      <c r="AN119" s="272">
        <f t="shared" si="77"/>
        <v>2.548251195012366E-2</v>
      </c>
      <c r="AO119" s="272">
        <f t="shared" si="77"/>
        <v>2.3647552157035841E-2</v>
      </c>
      <c r="AP119" s="272">
        <f t="shared" si="77"/>
        <v>2.5322445513635976E-2</v>
      </c>
      <c r="AQ119" s="796">
        <f t="shared" si="77"/>
        <v>2.5820289561253876E-2</v>
      </c>
      <c r="AR119" s="384">
        <f t="shared" si="77"/>
        <v>2.5064426753133622E-2</v>
      </c>
      <c r="AS119" s="272">
        <f t="shared" si="77"/>
        <v>2.1432384508700913E-2</v>
      </c>
      <c r="AT119" s="272">
        <f t="shared" si="77"/>
        <v>2.2288746246030146E-2</v>
      </c>
      <c r="AU119" s="272">
        <f t="shared" si="77"/>
        <v>2.2892183625477722E-2</v>
      </c>
      <c r="AV119" s="796">
        <f t="shared" si="77"/>
        <v>2.2859132173877542E-2</v>
      </c>
      <c r="AW119" s="384">
        <f t="shared" si="77"/>
        <v>2.5835118502426067E-2</v>
      </c>
      <c r="AX119" s="272">
        <f t="shared" si="77"/>
        <v>2.5131654338618706E-2</v>
      </c>
      <c r="AY119" s="272">
        <f t="shared" si="77"/>
        <v>2.1954630365454676E-2</v>
      </c>
      <c r="AZ119" s="272">
        <f t="shared" si="77"/>
        <v>2.3966493239537118E-2</v>
      </c>
      <c r="BA119" s="796">
        <f t="shared" si="77"/>
        <v>2.4134519178478208E-2</v>
      </c>
      <c r="BB119" s="384">
        <f t="shared" si="77"/>
        <v>2.6187936802358317E-2</v>
      </c>
      <c r="BC119" s="272">
        <f t="shared" si="77"/>
        <v>2.3921218982464496E-2</v>
      </c>
      <c r="BD119" s="272">
        <f t="shared" si="77"/>
        <v>2.3681188643194479E-2</v>
      </c>
      <c r="BE119" s="272">
        <f t="shared" si="77"/>
        <v>2.41E-2</v>
      </c>
      <c r="BF119" s="796">
        <f t="shared" si="77"/>
        <v>2.4435314737063576E-2</v>
      </c>
      <c r="BG119" s="384">
        <f t="shared" si="77"/>
        <v>2.5700000000000001E-2</v>
      </c>
      <c r="BH119" s="272">
        <f t="shared" si="77"/>
        <v>2.3299999999999998E-2</v>
      </c>
      <c r="BI119" s="272">
        <f t="shared" si="77"/>
        <v>2.3E-2</v>
      </c>
      <c r="BJ119" s="272">
        <f t="shared" si="77"/>
        <v>2.29E-2</v>
      </c>
      <c r="BK119" s="796">
        <f t="shared" si="77"/>
        <v>2.368256862990567E-2</v>
      </c>
      <c r="BL119" s="384">
        <f t="shared" si="77"/>
        <v>2.4300000000000002E-2</v>
      </c>
      <c r="BM119" s="272">
        <f t="shared" si="77"/>
        <v>2.1900000000000003E-2</v>
      </c>
      <c r="BN119" s="272">
        <f t="shared" si="77"/>
        <v>2.1600000000000001E-2</v>
      </c>
      <c r="BO119" s="272">
        <f t="shared" si="77"/>
        <v>2.1300000000000003E-2</v>
      </c>
      <c r="BP119" s="796">
        <f t="shared" si="77"/>
        <v>2.2222003746675458E-2</v>
      </c>
      <c r="BQ119" s="384">
        <f t="shared" si="77"/>
        <v>2.24E-2</v>
      </c>
      <c r="BR119" s="272">
        <f t="shared" si="77"/>
        <v>2.01E-2</v>
      </c>
      <c r="BS119" s="272">
        <f t="shared" si="77"/>
        <v>1.9700000000000002E-2</v>
      </c>
      <c r="BT119" s="272">
        <f t="shared" si="77"/>
        <v>1.95E-2</v>
      </c>
      <c r="BU119" s="796">
        <f t="shared" si="77"/>
        <v>2.0371320174896231E-2</v>
      </c>
      <c r="BV119" s="384">
        <f t="shared" si="77"/>
        <v>2.1400000000000002E-2</v>
      </c>
      <c r="BW119" s="272">
        <f t="shared" si="77"/>
        <v>1.9E-2</v>
      </c>
      <c r="BX119" s="272">
        <f t="shared" si="77"/>
        <v>1.89E-2</v>
      </c>
      <c r="BY119" s="272">
        <f t="shared" si="77"/>
        <v>1.8600000000000002E-2</v>
      </c>
      <c r="BZ119" s="796">
        <f t="shared" si="77"/>
        <v>1.9423282884982712E-2</v>
      </c>
    </row>
    <row r="120" spans="1:78" ht="14.1" customHeight="1" x14ac:dyDescent="0.2">
      <c r="C120" s="793" t="str">
        <f t="shared" si="62"/>
        <v>Claims and insurance</v>
      </c>
      <c r="D120" s="272">
        <f t="shared" si="63"/>
        <v>0</v>
      </c>
      <c r="E120" s="272">
        <f t="shared" si="64"/>
        <v>2.3233680946688602E-2</v>
      </c>
      <c r="F120" s="272">
        <f t="shared" si="65"/>
        <v>2.410710038142198E-2</v>
      </c>
      <c r="G120" s="272">
        <f t="shared" si="66"/>
        <v>2.7305711366432429E-2</v>
      </c>
      <c r="H120" s="272">
        <f t="shared" si="67"/>
        <v>2.680337868068566E-2</v>
      </c>
      <c r="I120" s="272">
        <f t="shared" si="68"/>
        <v>2.0272150604375198E-2</v>
      </c>
      <c r="J120" s="272">
        <f t="shared" si="69"/>
        <v>2.3593815993639276E-2</v>
      </c>
      <c r="K120" s="272">
        <f t="shared" si="70"/>
        <v>2.3608751483317331E-2</v>
      </c>
      <c r="L120" s="272">
        <f t="shared" si="71"/>
        <v>2.229176107966108E-2</v>
      </c>
      <c r="M120" s="272">
        <f t="shared" si="72"/>
        <v>2.1280511379877111E-2</v>
      </c>
      <c r="N120" s="272">
        <f t="shared" si="73"/>
        <v>2.0383761150313696E-2</v>
      </c>
      <c r="O120" s="294">
        <f t="shared" si="74"/>
        <v>2.0057959539578955E-2</v>
      </c>
      <c r="R120" s="364" t="str">
        <f>'Income Statement'!R15</f>
        <v>Claims and insurance</v>
      </c>
      <c r="S120" s="444"/>
      <c r="T120" s="272"/>
      <c r="U120" s="272"/>
      <c r="V120" s="272"/>
      <c r="W120" s="272"/>
      <c r="X120" s="384">
        <f>X106</f>
        <v>2.594417077175698E-2</v>
      </c>
      <c r="Y120" s="272">
        <f t="shared" ref="Y120:BZ120" si="78">Y106</f>
        <v>2.3114673035835906E-2</v>
      </c>
      <c r="Z120" s="272">
        <f t="shared" si="78"/>
        <v>2.3463091159455024E-2</v>
      </c>
      <c r="AA120" s="272">
        <f t="shared" si="78"/>
        <v>2.0501536570374932E-2</v>
      </c>
      <c r="AB120" s="796">
        <f t="shared" si="78"/>
        <v>2.3233680946688602E-2</v>
      </c>
      <c r="AC120" s="384">
        <f t="shared" si="78"/>
        <v>2.3210841143347035E-2</v>
      </c>
      <c r="AD120" s="272">
        <f t="shared" si="78"/>
        <v>2.8341537500403927E-2</v>
      </c>
      <c r="AE120" s="272">
        <f t="shared" si="78"/>
        <v>1.6741630784126799E-2</v>
      </c>
      <c r="AF120" s="272">
        <f t="shared" si="78"/>
        <v>2.8296073939489699E-2</v>
      </c>
      <c r="AG120" s="796">
        <f t="shared" si="78"/>
        <v>2.410710038142198E-2</v>
      </c>
      <c r="AH120" s="384">
        <f t="shared" si="78"/>
        <v>2.3344743232466238E-2</v>
      </c>
      <c r="AI120" s="272">
        <f t="shared" si="78"/>
        <v>4.375122574226168E-2</v>
      </c>
      <c r="AJ120" s="272">
        <f t="shared" si="78"/>
        <v>2.4799843780511619E-2</v>
      </c>
      <c r="AK120" s="272">
        <f t="shared" si="78"/>
        <v>1.9117196452331887E-2</v>
      </c>
      <c r="AL120" s="796">
        <f t="shared" si="78"/>
        <v>2.7305711366432429E-2</v>
      </c>
      <c r="AM120" s="384">
        <f t="shared" si="78"/>
        <v>2.3715382358895542E-2</v>
      </c>
      <c r="AN120" s="272">
        <f t="shared" si="78"/>
        <v>3.0329072537381877E-2</v>
      </c>
      <c r="AO120" s="272">
        <f t="shared" si="78"/>
        <v>2.5182728134290573E-2</v>
      </c>
      <c r="AP120" s="272">
        <f t="shared" si="78"/>
        <v>2.7579847702327562E-2</v>
      </c>
      <c r="AQ120" s="796">
        <f t="shared" si="78"/>
        <v>2.680337868068566E-2</v>
      </c>
      <c r="AR120" s="384">
        <f t="shared" si="78"/>
        <v>1.6236751681749987E-2</v>
      </c>
      <c r="AS120" s="272">
        <f t="shared" si="78"/>
        <v>1.9067699992220549E-2</v>
      </c>
      <c r="AT120" s="272">
        <f t="shared" si="78"/>
        <v>2.191454861211057E-2</v>
      </c>
      <c r="AU120" s="272">
        <f t="shared" si="78"/>
        <v>2.3883451319606071E-2</v>
      </c>
      <c r="AV120" s="796">
        <f t="shared" si="78"/>
        <v>2.0272150604375198E-2</v>
      </c>
      <c r="AW120" s="384">
        <f t="shared" si="78"/>
        <v>2.1284261999742631E-2</v>
      </c>
      <c r="AX120" s="272">
        <f t="shared" si="78"/>
        <v>2.4410398749247792E-2</v>
      </c>
      <c r="AY120" s="272">
        <f t="shared" si="78"/>
        <v>2.3252453737628107E-2</v>
      </c>
      <c r="AZ120" s="272">
        <f t="shared" si="78"/>
        <v>2.5221931697757508E-2</v>
      </c>
      <c r="BA120" s="796">
        <f t="shared" si="78"/>
        <v>2.3593815993639276E-2</v>
      </c>
      <c r="BB120" s="384">
        <f t="shared" si="78"/>
        <v>2.3136696366466831E-2</v>
      </c>
      <c r="BC120" s="272">
        <f t="shared" si="78"/>
        <v>2.2870497689627862E-2</v>
      </c>
      <c r="BD120" s="272">
        <f t="shared" si="78"/>
        <v>2.2887936511329376E-2</v>
      </c>
      <c r="BE120" s="272">
        <f t="shared" si="78"/>
        <v>2.5600000000000001E-2</v>
      </c>
      <c r="BF120" s="796">
        <f t="shared" si="78"/>
        <v>2.3608751483317331E-2</v>
      </c>
      <c r="BG120" s="384">
        <f t="shared" si="78"/>
        <v>2.2100000000000002E-2</v>
      </c>
      <c r="BH120" s="272">
        <f t="shared" si="78"/>
        <v>2.1600000000000001E-2</v>
      </c>
      <c r="BI120" s="272">
        <f t="shared" si="78"/>
        <v>2.1600000000000001E-2</v>
      </c>
      <c r="BJ120" s="272">
        <f t="shared" si="78"/>
        <v>2.3900000000000001E-2</v>
      </c>
      <c r="BK120" s="796">
        <f t="shared" si="78"/>
        <v>2.229176107966108E-2</v>
      </c>
      <c r="BL120" s="384">
        <f t="shared" si="78"/>
        <v>2.1000000000000001E-2</v>
      </c>
      <c r="BM120" s="272">
        <f t="shared" si="78"/>
        <v>2.06E-2</v>
      </c>
      <c r="BN120" s="272">
        <f t="shared" si="78"/>
        <v>2.07E-2</v>
      </c>
      <c r="BO120" s="272">
        <f t="shared" si="78"/>
        <v>2.2800000000000001E-2</v>
      </c>
      <c r="BP120" s="796">
        <f t="shared" si="78"/>
        <v>2.1280511379877111E-2</v>
      </c>
      <c r="BQ120" s="384">
        <f t="shared" si="78"/>
        <v>1.9899999999999998E-2</v>
      </c>
      <c r="BR120" s="272">
        <f t="shared" si="78"/>
        <v>1.9699999999999999E-2</v>
      </c>
      <c r="BS120" s="272">
        <f t="shared" si="78"/>
        <v>1.9799999999999998E-2</v>
      </c>
      <c r="BT120" s="272">
        <f t="shared" si="78"/>
        <v>2.2099999999999998E-2</v>
      </c>
      <c r="BU120" s="796">
        <f t="shared" si="78"/>
        <v>2.0383761150313696E-2</v>
      </c>
      <c r="BV120" s="384">
        <f t="shared" si="78"/>
        <v>1.9400000000000001E-2</v>
      </c>
      <c r="BW120" s="272">
        <f t="shared" si="78"/>
        <v>1.9199999999999998E-2</v>
      </c>
      <c r="BX120" s="272">
        <f t="shared" si="78"/>
        <v>1.9599999999999999E-2</v>
      </c>
      <c r="BY120" s="272">
        <f t="shared" si="78"/>
        <v>2.1999999999999999E-2</v>
      </c>
      <c r="BZ120" s="796">
        <f t="shared" si="78"/>
        <v>2.0057959539578955E-2</v>
      </c>
    </row>
    <row r="121" spans="1:78" ht="14.1" customHeight="1" x14ac:dyDescent="0.2">
      <c r="C121" s="794" t="str">
        <f t="shared" si="62"/>
        <v xml:space="preserve">Depreciation and Amortization </v>
      </c>
      <c r="D121" s="323">
        <f t="shared" si="63"/>
        <v>0</v>
      </c>
      <c r="E121" s="323">
        <f t="shared" si="64"/>
        <v>6.1766823936163465E-2</v>
      </c>
      <c r="F121" s="323">
        <f t="shared" si="65"/>
        <v>6.667748714834601E-2</v>
      </c>
      <c r="G121" s="323">
        <f t="shared" si="66"/>
        <v>7.3890206467855532E-2</v>
      </c>
      <c r="H121" s="323">
        <f t="shared" si="67"/>
        <v>6.1912768099326075E-2</v>
      </c>
      <c r="I121" s="323">
        <f t="shared" si="68"/>
        <v>5.6303649961300939E-2</v>
      </c>
      <c r="J121" s="323">
        <f t="shared" si="69"/>
        <v>6.2068075155660395E-2</v>
      </c>
      <c r="K121" s="323">
        <f t="shared" si="70"/>
        <v>6.6141335520076283E-2</v>
      </c>
      <c r="L121" s="323">
        <f t="shared" si="71"/>
        <v>6.9022528094812158E-2</v>
      </c>
      <c r="M121" s="323">
        <f t="shared" si="72"/>
        <v>6.8671818155340028E-2</v>
      </c>
      <c r="N121" s="323">
        <f t="shared" si="73"/>
        <v>7.0387373576715956E-2</v>
      </c>
      <c r="O121" s="414">
        <f t="shared" si="74"/>
        <v>7.1255952638977119E-2</v>
      </c>
      <c r="R121" s="445" t="str">
        <f>'Income Statement'!R16</f>
        <v xml:space="preserve">Depreciation and Amortization </v>
      </c>
      <c r="S121" s="323"/>
      <c r="T121" s="323"/>
      <c r="U121" s="323"/>
      <c r="V121" s="323"/>
      <c r="W121" s="414"/>
      <c r="X121" s="447">
        <f>'Income Statement'!X16/'Income Statement'!X8</f>
        <v>5.8629599928717815E-2</v>
      </c>
      <c r="Y121" s="323">
        <f>'Income Statement'!Y16/'Income Statement'!Y8</f>
        <v>5.887360868794491E-2</v>
      </c>
      <c r="Z121" s="323">
        <f>'Income Statement'!Z16/'Income Statement'!Z8</f>
        <v>6.2726465238907611E-2</v>
      </c>
      <c r="AA121" s="323">
        <f>'Income Statement'!AA16/'Income Statement'!AA8</f>
        <v>6.6842040565457936E-2</v>
      </c>
      <c r="AB121" s="797">
        <f>'Income Statement'!AB16/'Income Statement'!AB8</f>
        <v>6.1766823936163465E-2</v>
      </c>
      <c r="AC121" s="447">
        <f>'Income Statement'!AC16/'Income Statement'!AC8</f>
        <v>6.5229039611869918E-2</v>
      </c>
      <c r="AD121" s="323">
        <f>'Income Statement'!AD16/'Income Statement'!AD8</f>
        <v>6.2781805060373341E-2</v>
      </c>
      <c r="AE121" s="323">
        <f>'Income Statement'!AE16/'Income Statement'!AE8</f>
        <v>6.6823632784591719E-2</v>
      </c>
      <c r="AF121" s="323">
        <f>'Income Statement'!AF16/'Income Statement'!AF8</f>
        <v>7.1946554117341743E-2</v>
      </c>
      <c r="AG121" s="797">
        <f>'Income Statement'!AG16/'Income Statement'!AG8</f>
        <v>6.667748714834601E-2</v>
      </c>
      <c r="AH121" s="447">
        <f>'Income Statement'!AH16/'Income Statement'!AH8</f>
        <v>7.3006926585363674E-2</v>
      </c>
      <c r="AI121" s="323">
        <f>'Income Statement'!AI16/'Income Statement'!AI8</f>
        <v>8.0513926823784915E-2</v>
      </c>
      <c r="AJ121" s="323">
        <f>'Income Statement'!AJ16/'Income Statement'!AJ8</f>
        <v>7.1096486307943504E-2</v>
      </c>
      <c r="AK121" s="323">
        <f>'Income Statement'!AK16/'Income Statement'!AK8</f>
        <v>7.1727788248034538E-2</v>
      </c>
      <c r="AL121" s="797">
        <f>'Income Statement'!AL16/'Income Statement'!AL8</f>
        <v>7.3890206467855532E-2</v>
      </c>
      <c r="AM121" s="447">
        <f>'Income Statement'!AM16/'Income Statement'!AM8</f>
        <v>7.30714725434541E-2</v>
      </c>
      <c r="AN121" s="323">
        <f>'Income Statement'!AN16/'Income Statement'!AN8</f>
        <v>6.0663395952973133E-2</v>
      </c>
      <c r="AO121" s="323">
        <f>'Income Statement'!AO16/'Income Statement'!AO8</f>
        <v>5.8002388772767983E-2</v>
      </c>
      <c r="AP121" s="323">
        <f>'Income Statement'!AP16/'Income Statement'!AP8</f>
        <v>5.8220881861538412E-2</v>
      </c>
      <c r="AQ121" s="797">
        <f>'Income Statement'!AQ16/'Income Statement'!AQ8</f>
        <v>6.1912768099326075E-2</v>
      </c>
      <c r="AR121" s="447">
        <f>'Income Statement'!AR16/'Income Statement'!AR8</f>
        <v>6.042201035667618E-2</v>
      </c>
      <c r="AS121" s="323">
        <f>'Income Statement'!AS16/'Income Statement'!AS8</f>
        <v>4.9552413373142659E-2</v>
      </c>
      <c r="AT121" s="323">
        <f>'Income Statement'!AT16/'Income Statement'!AT8</f>
        <v>5.5762300890535542E-2</v>
      </c>
      <c r="AU121" s="323">
        <f>'Income Statement'!AU16/'Income Statement'!AU8</f>
        <v>6.0429203661285388E-2</v>
      </c>
      <c r="AV121" s="797">
        <f>'Income Statement'!AV16/'Income Statement'!AV8</f>
        <v>5.6303649961300939E-2</v>
      </c>
      <c r="AW121" s="447">
        <f>'Income Statement'!AW16/'Income Statement'!AW8</f>
        <v>6.491707479543099E-2</v>
      </c>
      <c r="AX121" s="323">
        <f>'Income Statement'!AX16/'Income Statement'!AX8</f>
        <v>6.4291082056139898E-2</v>
      </c>
      <c r="AY121" s="323">
        <f>'Income Statement'!AY16/'Income Statement'!AY8</f>
        <v>5.8851000588277795E-2</v>
      </c>
      <c r="AZ121" s="323">
        <f>'Income Statement'!AZ16/'Income Statement'!AZ8</f>
        <v>6.0826858661327157E-2</v>
      </c>
      <c r="BA121" s="797">
        <f>'Income Statement'!BA16/'Income Statement'!BA8</f>
        <v>6.2068075155660395E-2</v>
      </c>
      <c r="BB121" s="447">
        <f>'Income Statement'!BB16/'Income Statement'!BB8</f>
        <v>6.4719949653870359E-2</v>
      </c>
      <c r="BC121" s="323">
        <f>'Income Statement'!BC16/'Income Statement'!BC8</f>
        <v>6.3815831029439635E-2</v>
      </c>
      <c r="BD121" s="323">
        <f>'Income Statement'!BD16/'Income Statement'!BD8</f>
        <v>6.4904174429968778E-2</v>
      </c>
      <c r="BE121" s="323">
        <f>'Income Statement'!BE16/'Income Statement'!BE8</f>
        <v>7.1248045401607923E-2</v>
      </c>
      <c r="BF121" s="797">
        <f>'Income Statement'!BF16/'Income Statement'!BF8</f>
        <v>6.6141335520076283E-2</v>
      </c>
      <c r="BG121" s="447">
        <f>'Income Statement'!BG16/'Income Statement'!BG8</f>
        <v>6.974863347325963E-2</v>
      </c>
      <c r="BH121" s="323">
        <f>'Income Statement'!BH16/'Income Statement'!BH8</f>
        <v>6.5543933109548369E-2</v>
      </c>
      <c r="BI121" s="323">
        <f>'Income Statement'!BI16/'Income Statement'!BI8</f>
        <v>6.8017489330507469E-2</v>
      </c>
      <c r="BJ121" s="323">
        <f>'Income Statement'!BJ16/'Income Statement'!BJ8</f>
        <v>7.2975610380680539E-2</v>
      </c>
      <c r="BK121" s="797">
        <f>'Income Statement'!BK16/'Income Statement'!BK8</f>
        <v>6.9022528094812158E-2</v>
      </c>
      <c r="BL121" s="447">
        <f>'Income Statement'!BL16/'Income Statement'!BL8</f>
        <v>7.0983805716453768E-2</v>
      </c>
      <c r="BM121" s="323">
        <f>'Income Statement'!BM16/'Income Statement'!BM8</f>
        <v>6.5972397344112324E-2</v>
      </c>
      <c r="BN121" s="323">
        <f>'Income Statement'!BN16/'Income Statement'!BN8</f>
        <v>6.7621226412611132E-2</v>
      </c>
      <c r="BO121" s="323">
        <f>'Income Statement'!BO16/'Income Statement'!BO8</f>
        <v>7.0351534360427306E-2</v>
      </c>
      <c r="BP121" s="797">
        <f>'Income Statement'!BP16/'Income Statement'!BP8</f>
        <v>6.8671818155340028E-2</v>
      </c>
      <c r="BQ121" s="447">
        <f>'Income Statement'!BQ16/'Income Statement'!BQ8</f>
        <v>7.3788800176743941E-2</v>
      </c>
      <c r="BR121" s="323">
        <f>'Income Statement'!BR16/'Income Statement'!BR8</f>
        <v>6.7866604103695979E-2</v>
      </c>
      <c r="BS121" s="323">
        <f>'Income Statement'!BS16/'Income Statement'!BS8</f>
        <v>6.8755367537795903E-2</v>
      </c>
      <c r="BT121" s="323">
        <f>'Income Statement'!BT16/'Income Statement'!BT8</f>
        <v>7.151694037696886E-2</v>
      </c>
      <c r="BU121" s="797">
        <f>'Income Statement'!BU16/'Income Statement'!BU8</f>
        <v>7.0387373576715956E-2</v>
      </c>
      <c r="BV121" s="447">
        <f>'Income Statement'!BV16/'Income Statement'!BV8</f>
        <v>7.5195205506662102E-2</v>
      </c>
      <c r="BW121" s="323">
        <f>'Income Statement'!BW16/'Income Statement'!BW8</f>
        <v>6.8428634062671523E-2</v>
      </c>
      <c r="BX121" s="323">
        <f>'Income Statement'!BX16/'Income Statement'!BX8</f>
        <v>6.9217859347203967E-2</v>
      </c>
      <c r="BY121" s="323">
        <f>'Income Statement'!BY16/'Income Statement'!BY8</f>
        <v>7.2660378637754403E-2</v>
      </c>
      <c r="BZ121" s="797">
        <f>'Income Statement'!BZ16/'Income Statement'!BZ8</f>
        <v>7.1255952638977119E-2</v>
      </c>
    </row>
    <row r="122" spans="1:78" ht="14.1" customHeight="1" x14ac:dyDescent="0.2">
      <c r="C122" s="813" t="str">
        <f>C107</f>
        <v>Growth %</v>
      </c>
      <c r="D122" s="812"/>
      <c r="E122" s="812"/>
      <c r="F122" s="812"/>
      <c r="G122" s="812"/>
      <c r="H122" s="812"/>
      <c r="I122" s="812"/>
      <c r="J122" s="812"/>
      <c r="K122" s="815"/>
      <c r="L122" s="814"/>
      <c r="M122" s="814"/>
      <c r="N122" s="814"/>
      <c r="O122" s="814"/>
      <c r="R122" s="818" t="str">
        <f>C122</f>
        <v>Growth %</v>
      </c>
      <c r="S122" s="816"/>
      <c r="T122" s="816"/>
      <c r="U122" s="816"/>
      <c r="V122" s="816"/>
      <c r="W122" s="816"/>
      <c r="X122" s="816"/>
      <c r="Y122" s="816"/>
      <c r="Z122" s="816"/>
      <c r="AA122" s="816"/>
      <c r="AB122" s="816"/>
      <c r="AC122" s="816"/>
      <c r="AD122" s="816"/>
      <c r="AE122" s="816"/>
      <c r="AF122" s="816"/>
      <c r="AG122" s="816"/>
      <c r="AH122" s="816"/>
      <c r="AI122" s="816"/>
      <c r="AJ122" s="816"/>
      <c r="AK122" s="816"/>
      <c r="AL122" s="816"/>
      <c r="AM122" s="816"/>
      <c r="AN122" s="816"/>
      <c r="AO122" s="816"/>
      <c r="AP122" s="816"/>
      <c r="AQ122" s="816"/>
      <c r="AR122" s="816"/>
      <c r="AS122" s="816"/>
      <c r="AT122" s="816"/>
      <c r="AU122" s="816"/>
      <c r="AV122" s="816"/>
      <c r="AW122" s="816"/>
      <c r="AX122" s="816"/>
      <c r="AY122" s="816"/>
      <c r="AZ122" s="816"/>
      <c r="BA122" s="816"/>
      <c r="BB122" s="1370"/>
      <c r="BC122" s="1370"/>
      <c r="BD122" s="1370"/>
      <c r="BE122" s="1370"/>
      <c r="BF122" s="1370"/>
      <c r="BG122" s="817"/>
      <c r="BH122" s="817"/>
      <c r="BI122" s="817"/>
      <c r="BJ122" s="817"/>
      <c r="BK122" s="817"/>
      <c r="BL122" s="817"/>
      <c r="BM122" s="817"/>
      <c r="BN122" s="817"/>
      <c r="BO122" s="817"/>
      <c r="BP122" s="817"/>
      <c r="BQ122" s="817"/>
      <c r="BR122" s="817"/>
      <c r="BS122" s="817"/>
      <c r="BT122" s="817"/>
      <c r="BU122" s="817"/>
      <c r="BV122" s="817"/>
      <c r="BW122" s="817"/>
      <c r="BX122" s="817"/>
      <c r="BY122" s="817"/>
      <c r="BZ122" s="817"/>
    </row>
    <row r="123" spans="1:78" ht="14.1" customHeight="1" x14ac:dyDescent="0.2">
      <c r="C123" s="792" t="str">
        <f>R123</f>
        <v>Salaries, Wages and employees’ benefits</v>
      </c>
      <c r="D123" s="442"/>
      <c r="E123" s="442">
        <f t="shared" ref="E123:E128" si="79">AB123</f>
        <v>0.13814994979068596</v>
      </c>
      <c r="F123" s="442">
        <f t="shared" ref="F123:F128" si="80">AG123</f>
        <v>8.6154583017272302E-2</v>
      </c>
      <c r="G123" s="442">
        <f t="shared" ref="G123:G128" si="81">AL123</f>
        <v>1.6192448447164498E-2</v>
      </c>
      <c r="H123" s="442">
        <f t="shared" ref="H123:H128" si="82">AQ123</f>
        <v>0.10427402778066153</v>
      </c>
      <c r="I123" s="442">
        <f t="shared" ref="I123:I128" si="83">AV123</f>
        <v>9.9497698135663892E-2</v>
      </c>
      <c r="J123" s="442">
        <f t="shared" ref="J123:J128" si="84">BA123</f>
        <v>0.11264352877501316</v>
      </c>
      <c r="K123" s="442">
        <f t="shared" ref="K123:K128" si="85">BF123</f>
        <v>0.15212742360345932</v>
      </c>
      <c r="L123" s="442">
        <f t="shared" ref="L123:L128" si="86">BK123</f>
        <v>0.10745535391229555</v>
      </c>
      <c r="M123" s="442">
        <f t="shared" ref="M123:M128" si="87">BP123</f>
        <v>0.12114987559129742</v>
      </c>
      <c r="N123" s="442">
        <f t="shared" ref="N123:N128" si="88">BU123</f>
        <v>7.643359139416428E-2</v>
      </c>
      <c r="O123" s="443">
        <f t="shared" ref="O123:O128" si="89">BZ123</f>
        <v>6.9461431898344195E-2</v>
      </c>
      <c r="R123" s="440" t="str">
        <f>R132</f>
        <v>Salaries, Wages and employees’ benefits</v>
      </c>
      <c r="S123" s="441"/>
      <c r="T123" s="442"/>
      <c r="U123" s="442"/>
      <c r="V123" s="442"/>
      <c r="W123" s="442"/>
      <c r="X123" s="446">
        <f>X79</f>
        <v>0.16705637828007269</v>
      </c>
      <c r="Y123" s="442">
        <f t="shared" ref="Y123:BZ123" si="90">Y79</f>
        <v>0.12229871478909105</v>
      </c>
      <c r="Z123" s="442">
        <f t="shared" si="90"/>
        <v>0.15244715780833173</v>
      </c>
      <c r="AA123" s="442">
        <f t="shared" si="90"/>
        <v>0.1129515518118609</v>
      </c>
      <c r="AB123" s="795">
        <f t="shared" si="90"/>
        <v>0.13814994979068596</v>
      </c>
      <c r="AC123" s="446">
        <f t="shared" si="90"/>
        <v>4.3708910403364998E-2</v>
      </c>
      <c r="AD123" s="442">
        <f t="shared" si="90"/>
        <v>7.8414380733736744E-2</v>
      </c>
      <c r="AE123" s="442">
        <f t="shared" si="90"/>
        <v>0.11363767890132892</v>
      </c>
      <c r="AF123" s="442">
        <f t="shared" si="90"/>
        <v>0.10690487954672423</v>
      </c>
      <c r="AG123" s="795">
        <f t="shared" si="90"/>
        <v>8.6154583017272302E-2</v>
      </c>
      <c r="AH123" s="446">
        <f t="shared" si="90"/>
        <v>8.301717252396168E-2</v>
      </c>
      <c r="AI123" s="442">
        <f t="shared" si="90"/>
        <v>-5.6426675193214648E-2</v>
      </c>
      <c r="AJ123" s="442">
        <f t="shared" si="90"/>
        <v>7.7150006795596582E-3</v>
      </c>
      <c r="AK123" s="442">
        <f t="shared" si="90"/>
        <v>3.5618335641697474E-2</v>
      </c>
      <c r="AL123" s="795">
        <f t="shared" si="90"/>
        <v>1.6192448447164498E-2</v>
      </c>
      <c r="AM123" s="446">
        <f t="shared" si="90"/>
        <v>2.4270359739361869E-2</v>
      </c>
      <c r="AN123" s="442">
        <f t="shared" si="90"/>
        <v>0.1984554813913153</v>
      </c>
      <c r="AO123" s="442">
        <f t="shared" si="90"/>
        <v>9.9138409786903248E-2</v>
      </c>
      <c r="AP123" s="442">
        <f t="shared" si="90"/>
        <v>0.10131079654858488</v>
      </c>
      <c r="AQ123" s="795">
        <f t="shared" si="90"/>
        <v>0.10427402778066153</v>
      </c>
      <c r="AR123" s="446">
        <f t="shared" si="90"/>
        <v>0.18420288254233208</v>
      </c>
      <c r="AS123" s="442">
        <f t="shared" si="90"/>
        <v>9.7720863437827932E-2</v>
      </c>
      <c r="AT123" s="442">
        <f t="shared" si="90"/>
        <v>7.2768546722293603E-2</v>
      </c>
      <c r="AU123" s="442">
        <f t="shared" si="90"/>
        <v>5.2601354811335321E-2</v>
      </c>
      <c r="AV123" s="795">
        <f t="shared" si="90"/>
        <v>9.9497698135663892E-2</v>
      </c>
      <c r="AW123" s="446">
        <f t="shared" si="90"/>
        <v>3.2795210441403544E-2</v>
      </c>
      <c r="AX123" s="442">
        <f t="shared" si="90"/>
        <v>5.7061128207908984E-2</v>
      </c>
      <c r="AY123" s="442">
        <f t="shared" si="90"/>
        <v>0.15932204530239158</v>
      </c>
      <c r="AZ123" s="442">
        <f>AZ79</f>
        <v>0.20173259155526724</v>
      </c>
      <c r="BA123" s="795">
        <f t="shared" si="90"/>
        <v>0.11264352877501316</v>
      </c>
      <c r="BB123" s="446">
        <f t="shared" si="90"/>
        <v>0.14302104657541581</v>
      </c>
      <c r="BC123" s="442">
        <f t="shared" si="90"/>
        <v>0.19350536089878423</v>
      </c>
      <c r="BD123" s="442">
        <f t="shared" si="90"/>
        <v>0.15533436833476011</v>
      </c>
      <c r="BE123" s="442">
        <f t="shared" si="90"/>
        <v>0.11948718821247883</v>
      </c>
      <c r="BF123" s="795">
        <f t="shared" si="90"/>
        <v>0.15212742360345932</v>
      </c>
      <c r="BG123" s="446">
        <f t="shared" si="90"/>
        <v>0.11918754701547152</v>
      </c>
      <c r="BH123" s="442">
        <f t="shared" si="90"/>
        <v>0.11071677182762074</v>
      </c>
      <c r="BI123" s="442">
        <f t="shared" si="90"/>
        <v>9.1096303275586488E-2</v>
      </c>
      <c r="BJ123" s="442">
        <f t="shared" si="90"/>
        <v>0.11078742137411735</v>
      </c>
      <c r="BK123" s="795">
        <f t="shared" si="90"/>
        <v>0.10745535391229555</v>
      </c>
      <c r="BL123" s="446">
        <f t="shared" si="90"/>
        <v>0.13542003533913038</v>
      </c>
      <c r="BM123" s="442">
        <f t="shared" si="90"/>
        <v>0.13442057645383776</v>
      </c>
      <c r="BN123" s="442">
        <f t="shared" si="90"/>
        <v>0.10959200020343318</v>
      </c>
      <c r="BO123" s="442">
        <f t="shared" si="90"/>
        <v>0.10737565338065336</v>
      </c>
      <c r="BP123" s="795">
        <f t="shared" si="90"/>
        <v>0.12114987559129742</v>
      </c>
      <c r="BQ123" s="446">
        <f t="shared" si="90"/>
        <v>5.8714840694444437E-2</v>
      </c>
      <c r="BR123" s="442">
        <f t="shared" si="90"/>
        <v>7.3410334671728528E-2</v>
      </c>
      <c r="BS123" s="442">
        <f t="shared" si="90"/>
        <v>9.9127159487740979E-2</v>
      </c>
      <c r="BT123" s="442">
        <f t="shared" si="90"/>
        <v>7.2598218312829532E-2</v>
      </c>
      <c r="BU123" s="795">
        <f t="shared" si="90"/>
        <v>7.643359139416428E-2</v>
      </c>
      <c r="BV123" s="446">
        <f t="shared" si="90"/>
        <v>8.2320616370106681E-2</v>
      </c>
      <c r="BW123" s="442">
        <f t="shared" si="90"/>
        <v>7.6647122229775322E-2</v>
      </c>
      <c r="BX123" s="442">
        <f t="shared" si="90"/>
        <v>7.7868453237410096E-2</v>
      </c>
      <c r="BY123" s="442">
        <f t="shared" si="90"/>
        <v>4.20856651845265E-2</v>
      </c>
      <c r="BZ123" s="795">
        <f t="shared" si="90"/>
        <v>6.9461431898344195E-2</v>
      </c>
    </row>
    <row r="124" spans="1:78" ht="14.1" customHeight="1" x14ac:dyDescent="0.2">
      <c r="C124" s="793" t="str">
        <f>R124</f>
        <v>Purchased transportation</v>
      </c>
      <c r="D124" s="272"/>
      <c r="E124" s="272">
        <f t="shared" si="79"/>
        <v>0.1504336038327978</v>
      </c>
      <c r="F124" s="272">
        <f t="shared" si="80"/>
        <v>4.9037964876033069E-2</v>
      </c>
      <c r="G124" s="272">
        <f t="shared" si="81"/>
        <v>8.7621172488075105E-2</v>
      </c>
      <c r="H124" s="272">
        <f t="shared" si="82"/>
        <v>0.76637027919840994</v>
      </c>
      <c r="I124" s="272">
        <f t="shared" si="83"/>
        <v>0.26505145969324428</v>
      </c>
      <c r="J124" s="272">
        <f t="shared" si="84"/>
        <v>-0.24440955251095309</v>
      </c>
      <c r="K124" s="272">
        <f t="shared" si="85"/>
        <v>-1.1493287202539171E-2</v>
      </c>
      <c r="L124" s="272">
        <f t="shared" si="86"/>
        <v>-9.3596603166449799E-2</v>
      </c>
      <c r="M124" s="272">
        <f t="shared" si="87"/>
        <v>4.8206319499004557E-2</v>
      </c>
      <c r="N124" s="272">
        <f t="shared" si="88"/>
        <v>-3.0624359734412354E-2</v>
      </c>
      <c r="O124" s="294">
        <f t="shared" si="89"/>
        <v>8.1567749517997834E-2</v>
      </c>
      <c r="R124" s="364" t="str">
        <f>'Income Statement'!R12</f>
        <v>Purchased transportation</v>
      </c>
      <c r="S124" s="444"/>
      <c r="T124" s="272"/>
      <c r="U124" s="272"/>
      <c r="V124" s="272"/>
      <c r="W124" s="272"/>
      <c r="X124" s="384">
        <f>X86</f>
        <v>0.43688760806916416</v>
      </c>
      <c r="Y124" s="272">
        <f t="shared" ref="Y124:BZ124" si="91">Y86</f>
        <v>0.52542145508205529</v>
      </c>
      <c r="Z124" s="272">
        <f t="shared" si="91"/>
        <v>0.35286469619485139</v>
      </c>
      <c r="AA124" s="272">
        <f t="shared" si="91"/>
        <v>-0.30850524791892875</v>
      </c>
      <c r="AB124" s="796">
        <f t="shared" si="91"/>
        <v>0.1504336038327978</v>
      </c>
      <c r="AC124" s="384">
        <f t="shared" si="91"/>
        <v>-5.0073539243214338E-2</v>
      </c>
      <c r="AD124" s="272">
        <f t="shared" si="91"/>
        <v>1.2018878433441849E-3</v>
      </c>
      <c r="AE124" s="272">
        <f t="shared" si="91"/>
        <v>0.148225269092773</v>
      </c>
      <c r="AF124" s="272">
        <f t="shared" si="91"/>
        <v>0.10139921141700659</v>
      </c>
      <c r="AG124" s="796">
        <f t="shared" si="91"/>
        <v>4.9037964876033069E-2</v>
      </c>
      <c r="AH124" s="384">
        <f t="shared" si="91"/>
        <v>5.7745091139418836E-2</v>
      </c>
      <c r="AI124" s="272">
        <f t="shared" si="91"/>
        <v>-0.22685483398723438</v>
      </c>
      <c r="AJ124" s="272">
        <f t="shared" si="91"/>
        <v>0.11745668610328353</v>
      </c>
      <c r="AK124" s="272">
        <f t="shared" si="91"/>
        <v>0.42090923491208687</v>
      </c>
      <c r="AL124" s="796">
        <f t="shared" si="91"/>
        <v>8.7621172488075105E-2</v>
      </c>
      <c r="AM124" s="384">
        <f t="shared" si="91"/>
        <v>0.49808709537908769</v>
      </c>
      <c r="AN124" s="272">
        <f t="shared" si="91"/>
        <v>1.3661667802772097</v>
      </c>
      <c r="AO124" s="272">
        <f t="shared" si="91"/>
        <v>0.80243677127805668</v>
      </c>
      <c r="AP124" s="272">
        <f t="shared" si="91"/>
        <v>0.56083476399634402</v>
      </c>
      <c r="AQ124" s="796">
        <f t="shared" si="91"/>
        <v>0.76637027919840994</v>
      </c>
      <c r="AR124" s="384">
        <f t="shared" si="91"/>
        <v>0.73764739845883964</v>
      </c>
      <c r="AS124" s="272">
        <f t="shared" si="91"/>
        <v>0.46955074342600156</v>
      </c>
      <c r="AT124" s="272">
        <f t="shared" si="91"/>
        <v>0.18366046569612005</v>
      </c>
      <c r="AU124" s="272">
        <f t="shared" si="91"/>
        <v>-0.13753303335476053</v>
      </c>
      <c r="AV124" s="796">
        <f t="shared" si="91"/>
        <v>0.26505145969324428</v>
      </c>
      <c r="AW124" s="384">
        <f t="shared" si="91"/>
        <v>-0.40283457724159089</v>
      </c>
      <c r="AX124" s="272">
        <f t="shared" si="91"/>
        <v>-0.4579444341585075</v>
      </c>
      <c r="AY124" s="272">
        <f t="shared" si="91"/>
        <v>-0.10188175818003098</v>
      </c>
      <c r="AZ124" s="272">
        <f t="shared" si="91"/>
        <v>8.3922685790946971E-2</v>
      </c>
      <c r="BA124" s="796">
        <f t="shared" si="91"/>
        <v>-0.24440955251095309</v>
      </c>
      <c r="BB124" s="384">
        <f t="shared" si="91"/>
        <v>0.12369722002268491</v>
      </c>
      <c r="BC124" s="272">
        <f t="shared" si="91"/>
        <v>0.22655763396355288</v>
      </c>
      <c r="BD124" s="272">
        <f t="shared" si="91"/>
        <v>-0.1454408047324941</v>
      </c>
      <c r="BE124" s="272">
        <f t="shared" si="91"/>
        <v>-0.13198016221196307</v>
      </c>
      <c r="BF124" s="796">
        <f t="shared" si="91"/>
        <v>-1.1493287202539171E-2</v>
      </c>
      <c r="BG124" s="384">
        <f t="shared" si="91"/>
        <v>-0.24788726401566141</v>
      </c>
      <c r="BH124" s="272">
        <f t="shared" si="91"/>
        <v>-0.23006644584024705</v>
      </c>
      <c r="BI124" s="272">
        <f t="shared" si="91"/>
        <v>-3.8531534408363211E-2</v>
      </c>
      <c r="BJ124" s="272">
        <f t="shared" si="91"/>
        <v>0.13209911481778103</v>
      </c>
      <c r="BK124" s="796">
        <f t="shared" si="91"/>
        <v>-9.3596603166449799E-2</v>
      </c>
      <c r="BL124" s="384">
        <f t="shared" si="91"/>
        <v>5.4703954610526129E-2</v>
      </c>
      <c r="BM124" s="272">
        <f t="shared" si="91"/>
        <v>0.1610115100195697</v>
      </c>
      <c r="BN124" s="272">
        <f t="shared" si="91"/>
        <v>-2.6088234978102087E-2</v>
      </c>
      <c r="BO124" s="272">
        <f t="shared" si="91"/>
        <v>3.4617683583685999E-2</v>
      </c>
      <c r="BP124" s="796">
        <f t="shared" si="91"/>
        <v>4.8206319499004557E-2</v>
      </c>
      <c r="BQ124" s="384">
        <f t="shared" si="91"/>
        <v>5.8084054570135768E-2</v>
      </c>
      <c r="BR124" s="272">
        <f t="shared" si="91"/>
        <v>-1.7401563531669773E-2</v>
      </c>
      <c r="BS124" s="272">
        <f t="shared" si="91"/>
        <v>-8.4093225876288757E-2</v>
      </c>
      <c r="BT124" s="272">
        <f t="shared" si="91"/>
        <v>-4.764918716981148E-2</v>
      </c>
      <c r="BU124" s="796">
        <f t="shared" si="91"/>
        <v>-3.0624359734412354E-2</v>
      </c>
      <c r="BV124" s="384">
        <f t="shared" si="91"/>
        <v>7.3478040371229625E-2</v>
      </c>
      <c r="BW124" s="272">
        <f t="shared" si="91"/>
        <v>8.5750399999999782E-2</v>
      </c>
      <c r="BX124" s="272">
        <f t="shared" si="91"/>
        <v>8.9734845995893098E-2</v>
      </c>
      <c r="BY124" s="272">
        <f t="shared" si="91"/>
        <v>7.6405177419354819E-2</v>
      </c>
      <c r="BZ124" s="796">
        <f t="shared" si="91"/>
        <v>8.1567749517997834E-2</v>
      </c>
    </row>
    <row r="125" spans="1:78" ht="14.1" customHeight="1" x14ac:dyDescent="0.2">
      <c r="C125" s="793" t="str">
        <f>R125</f>
        <v>Fuel, operating expenses and supplies</v>
      </c>
      <c r="D125" s="272"/>
      <c r="E125" s="272">
        <f t="shared" si="79"/>
        <v>0.21227945839083895</v>
      </c>
      <c r="F125" s="272">
        <f t="shared" si="80"/>
        <v>4.6326153846153684E-2</v>
      </c>
      <c r="G125" s="272">
        <f t="shared" si="81"/>
        <v>-0.12004493377561343</v>
      </c>
      <c r="H125" s="272">
        <f t="shared" si="82"/>
        <v>0.27627208138112658</v>
      </c>
      <c r="I125" s="272">
        <f t="shared" si="83"/>
        <v>0.46229418911558939</v>
      </c>
      <c r="J125" s="272">
        <f t="shared" si="84"/>
        <v>9.3686879539300882E-3</v>
      </c>
      <c r="K125" s="272">
        <f t="shared" si="85"/>
        <v>9.6265532813366139E-2</v>
      </c>
      <c r="L125" s="272">
        <f t="shared" si="86"/>
        <v>1.7550143785153516E-2</v>
      </c>
      <c r="M125" s="272">
        <f t="shared" si="87"/>
        <v>0.14720961276595013</v>
      </c>
      <c r="N125" s="272">
        <f t="shared" si="88"/>
        <v>8.5498923260954207E-2</v>
      </c>
      <c r="O125" s="294">
        <f t="shared" si="89"/>
        <v>3.4919785707537621E-2</v>
      </c>
      <c r="R125" s="364" t="str">
        <f>'Income Statement'!R13</f>
        <v>Fuel, operating expenses and supplies</v>
      </c>
      <c r="S125" s="444"/>
      <c r="T125" s="272"/>
      <c r="U125" s="272"/>
      <c r="V125" s="272"/>
      <c r="W125" s="272"/>
      <c r="X125" s="384">
        <f>X93</f>
        <v>0.2313486482262852</v>
      </c>
      <c r="Y125" s="272">
        <f t="shared" ref="Y125:BZ125" si="92">Y93</f>
        <v>0.28222780366761491</v>
      </c>
      <c r="Z125" s="272">
        <f t="shared" si="92"/>
        <v>0.2244184825807225</v>
      </c>
      <c r="AA125" s="272">
        <f t="shared" si="92"/>
        <v>0.11901190259221406</v>
      </c>
      <c r="AB125" s="796">
        <f t="shared" si="92"/>
        <v>0.21227945839083895</v>
      </c>
      <c r="AC125" s="384">
        <f t="shared" si="92"/>
        <v>6.0271086630961923E-2</v>
      </c>
      <c r="AD125" s="272">
        <f t="shared" si="92"/>
        <v>6.8794619151573144E-3</v>
      </c>
      <c r="AE125" s="272">
        <f t="shared" si="92"/>
        <v>3.2041938684271853E-2</v>
      </c>
      <c r="AF125" s="272">
        <f t="shared" si="92"/>
        <v>8.9052594652834882E-2</v>
      </c>
      <c r="AG125" s="796">
        <f t="shared" si="92"/>
        <v>4.6326153846153684E-2</v>
      </c>
      <c r="AH125" s="384">
        <f t="shared" si="92"/>
        <v>-7.7086051494440477E-3</v>
      </c>
      <c r="AI125" s="272">
        <f t="shared" si="92"/>
        <v>-0.22766266641665101</v>
      </c>
      <c r="AJ125" s="272">
        <f t="shared" si="92"/>
        <v>-0.1204975136187233</v>
      </c>
      <c r="AK125" s="272">
        <f t="shared" si="92"/>
        <v>-0.12193129788555768</v>
      </c>
      <c r="AL125" s="796">
        <f t="shared" si="92"/>
        <v>-0.12004493377561343</v>
      </c>
      <c r="AM125" s="384">
        <f t="shared" si="92"/>
        <v>2.4149869117842115E-2</v>
      </c>
      <c r="AN125" s="272">
        <f t="shared" si="92"/>
        <v>0.37573973475767053</v>
      </c>
      <c r="AO125" s="272">
        <f t="shared" si="92"/>
        <v>0.33368418211750739</v>
      </c>
      <c r="AP125" s="272">
        <f t="shared" si="92"/>
        <v>0.40847930614330452</v>
      </c>
      <c r="AQ125" s="796">
        <f t="shared" si="92"/>
        <v>0.27627208138112658</v>
      </c>
      <c r="AR125" s="384">
        <f t="shared" si="92"/>
        <v>0.44604892757446923</v>
      </c>
      <c r="AS125" s="272">
        <f t="shared" si="92"/>
        <v>0.60515750463248907</v>
      </c>
      <c r="AT125" s="272">
        <f t="shared" si="92"/>
        <v>0.47177084808871439</v>
      </c>
      <c r="AU125" s="272">
        <f t="shared" si="92"/>
        <v>0.34592809636761102</v>
      </c>
      <c r="AV125" s="796">
        <f t="shared" si="92"/>
        <v>0.46229418911558939</v>
      </c>
      <c r="AW125" s="384">
        <f t="shared" si="92"/>
        <v>0.15357046859600398</v>
      </c>
      <c r="AX125" s="272">
        <f t="shared" si="92"/>
        <v>-8.2732082732082657E-2</v>
      </c>
      <c r="AY125" s="272">
        <f t="shared" si="92"/>
        <v>-8.1052653288510301E-3</v>
      </c>
      <c r="AZ125" s="272">
        <f t="shared" si="92"/>
        <v>-2.7851880520275429E-3</v>
      </c>
      <c r="BA125" s="796">
        <f t="shared" si="92"/>
        <v>9.3686879539300882E-3</v>
      </c>
      <c r="BB125" s="384">
        <f t="shared" si="92"/>
        <v>0.10379523389232115</v>
      </c>
      <c r="BC125" s="272">
        <f t="shared" si="92"/>
        <v>0.20516143531350672</v>
      </c>
      <c r="BD125" s="272">
        <f t="shared" si="92"/>
        <v>0.10015802386992134</v>
      </c>
      <c r="BE125" s="272">
        <f t="shared" si="92"/>
        <v>-1.5761719992925083E-2</v>
      </c>
      <c r="BF125" s="796">
        <f t="shared" si="92"/>
        <v>9.6265532813366139E-2</v>
      </c>
      <c r="BG125" s="384">
        <f t="shared" si="92"/>
        <v>-1.6102561735791387E-2</v>
      </c>
      <c r="BH125" s="272">
        <f t="shared" si="92"/>
        <v>-1.6597832682452629E-2</v>
      </c>
      <c r="BI125" s="272">
        <f t="shared" si="92"/>
        <v>1.2556787542132852E-2</v>
      </c>
      <c r="BJ125" s="272">
        <f t="shared" si="92"/>
        <v>9.885742335775749E-2</v>
      </c>
      <c r="BK125" s="796">
        <f t="shared" si="92"/>
        <v>1.7550143785153516E-2</v>
      </c>
      <c r="BL125" s="384">
        <f t="shared" si="92"/>
        <v>0.16285722181621587</v>
      </c>
      <c r="BM125" s="272">
        <f t="shared" si="92"/>
        <v>0.17381590759302368</v>
      </c>
      <c r="BN125" s="272">
        <f t="shared" si="92"/>
        <v>0.10556694872852224</v>
      </c>
      <c r="BO125" s="272">
        <f t="shared" si="92"/>
        <v>0.14770331879575638</v>
      </c>
      <c r="BP125" s="796">
        <f t="shared" si="92"/>
        <v>0.14720961276595013</v>
      </c>
      <c r="BQ125" s="384">
        <f t="shared" si="92"/>
        <v>8.0514911907270781E-2</v>
      </c>
      <c r="BR125" s="272">
        <f t="shared" si="92"/>
        <v>8.3691780304568697E-2</v>
      </c>
      <c r="BS125" s="272">
        <f t="shared" si="92"/>
        <v>8.0924738990499012E-2</v>
      </c>
      <c r="BT125" s="272">
        <f t="shared" si="92"/>
        <v>9.688782570093446E-2</v>
      </c>
      <c r="BU125" s="796">
        <f t="shared" si="92"/>
        <v>8.5498923260954207E-2</v>
      </c>
      <c r="BV125" s="384">
        <f t="shared" si="92"/>
        <v>3.682692285714273E-2</v>
      </c>
      <c r="BW125" s="272">
        <f t="shared" si="92"/>
        <v>3.4663504761904607E-2</v>
      </c>
      <c r="BX125" s="272">
        <f t="shared" si="92"/>
        <v>2.9007540589296443E-2</v>
      </c>
      <c r="BY125" s="272">
        <f t="shared" si="92"/>
        <v>3.9086515028901703E-2</v>
      </c>
      <c r="BZ125" s="796">
        <f t="shared" si="92"/>
        <v>3.4919785707537621E-2</v>
      </c>
    </row>
    <row r="126" spans="1:78" ht="14.1" customHeight="1" x14ac:dyDescent="0.2">
      <c r="C126" s="793" t="str">
        <f>R126</f>
        <v>Operating taxes and licenses</v>
      </c>
      <c r="D126" s="272"/>
      <c r="E126" s="272">
        <f t="shared" si="79"/>
        <v>0.15598892222478655</v>
      </c>
      <c r="F126" s="272">
        <f t="shared" si="80"/>
        <v>8.6006907704286428E-2</v>
      </c>
      <c r="G126" s="272">
        <f t="shared" si="81"/>
        <v>3.4873246686398129E-2</v>
      </c>
      <c r="H126" s="272">
        <f t="shared" si="82"/>
        <v>4.9756634810104172E-2</v>
      </c>
      <c r="I126" s="272">
        <f t="shared" si="83"/>
        <v>8.0023690667569092E-2</v>
      </c>
      <c r="J126" s="272">
        <f t="shared" si="84"/>
        <v>8.9590122837803987E-2</v>
      </c>
      <c r="K126" s="272">
        <f t="shared" si="85"/>
        <v>0.12759859656499106</v>
      </c>
      <c r="L126" s="272">
        <f t="shared" si="86"/>
        <v>7.5916179235838044E-2</v>
      </c>
      <c r="M126" s="272">
        <f t="shared" si="87"/>
        <v>7.7569257279150428E-2</v>
      </c>
      <c r="N126" s="272">
        <f t="shared" si="88"/>
        <v>-1.9760345374750798E-3</v>
      </c>
      <c r="O126" s="294">
        <f t="shared" si="89"/>
        <v>2.9295470394477663E-2</v>
      </c>
      <c r="R126" s="364" t="str">
        <f>'Income Statement'!R14</f>
        <v>Operating taxes and licenses</v>
      </c>
      <c r="S126" s="444"/>
      <c r="T126" s="272"/>
      <c r="U126" s="272"/>
      <c r="V126" s="272"/>
      <c r="W126" s="272"/>
      <c r="X126" s="384">
        <f>X100</f>
        <v>0.1481761481761481</v>
      </c>
      <c r="Y126" s="272">
        <f t="shared" ref="Y126:BZ126" si="93">Y100</f>
        <v>0.17645977011494263</v>
      </c>
      <c r="Z126" s="272">
        <f t="shared" si="93"/>
        <v>0.16320195654218783</v>
      </c>
      <c r="AA126" s="272">
        <f t="shared" si="93"/>
        <v>0.13671944493862287</v>
      </c>
      <c r="AB126" s="796">
        <f t="shared" si="93"/>
        <v>0.15598892222478655</v>
      </c>
      <c r="AC126" s="384">
        <f t="shared" si="93"/>
        <v>8.6584362139917603E-2</v>
      </c>
      <c r="AD126" s="272">
        <f t="shared" si="93"/>
        <v>5.7448804126934538E-2</v>
      </c>
      <c r="AE126" s="272">
        <f t="shared" si="93"/>
        <v>0.10253922044315056</v>
      </c>
      <c r="AF126" s="272">
        <f t="shared" si="93"/>
        <v>9.8051490726974055E-2</v>
      </c>
      <c r="AG126" s="796">
        <f t="shared" si="93"/>
        <v>8.6006907704286428E-2</v>
      </c>
      <c r="AH126" s="384">
        <f t="shared" si="93"/>
        <v>9.0440842296621859E-2</v>
      </c>
      <c r="AI126" s="272">
        <f t="shared" si="93"/>
        <v>1.5817872717865278E-2</v>
      </c>
      <c r="AJ126" s="272">
        <f t="shared" si="93"/>
        <v>3.1318761918732507E-2</v>
      </c>
      <c r="AK126" s="272">
        <f t="shared" si="93"/>
        <v>4.4184720638538177E-3</v>
      </c>
      <c r="AL126" s="796">
        <f t="shared" si="93"/>
        <v>3.4873246686398129E-2</v>
      </c>
      <c r="AM126" s="384">
        <f t="shared" si="93"/>
        <v>-4.0288969158100985E-3</v>
      </c>
      <c r="AN126" s="272">
        <f t="shared" si="93"/>
        <v>5.937568216546607E-2</v>
      </c>
      <c r="AO126" s="272">
        <f t="shared" si="93"/>
        <v>3.6341654220894526E-2</v>
      </c>
      <c r="AP126" s="272">
        <f t="shared" si="93"/>
        <v>0.10869873705122823</v>
      </c>
      <c r="AQ126" s="796">
        <f t="shared" si="93"/>
        <v>4.9756634810104172E-2</v>
      </c>
      <c r="AR126" s="384">
        <f t="shared" si="93"/>
        <v>0.15587948109917704</v>
      </c>
      <c r="AS126" s="272">
        <f t="shared" si="93"/>
        <v>9.7534171302974038E-2</v>
      </c>
      <c r="AT126" s="272">
        <f t="shared" si="93"/>
        <v>0.11590721932473236</v>
      </c>
      <c r="AU126" s="272">
        <f t="shared" si="93"/>
        <v>-3.9357481121208848E-2</v>
      </c>
      <c r="AV126" s="796">
        <f t="shared" si="93"/>
        <v>8.0023690667569092E-2</v>
      </c>
      <c r="AW126" s="384">
        <f t="shared" si="93"/>
        <v>2.9686840041030615E-2</v>
      </c>
      <c r="AX126" s="272">
        <f t="shared" si="93"/>
        <v>9.2496401527004224E-2</v>
      </c>
      <c r="AY126" s="272">
        <f t="shared" si="93"/>
        <v>4.6553102515220601E-2</v>
      </c>
      <c r="AZ126" s="272">
        <f t="shared" si="93"/>
        <v>0.19925388048764248</v>
      </c>
      <c r="BA126" s="796">
        <f t="shared" si="93"/>
        <v>8.9590122837803987E-2</v>
      </c>
      <c r="BB126" s="384">
        <f t="shared" si="93"/>
        <v>0.1582771755054202</v>
      </c>
      <c r="BC126" s="272">
        <f t="shared" si="93"/>
        <v>0.12808615455118288</v>
      </c>
      <c r="BD126" s="272">
        <f t="shared" si="93"/>
        <v>0.17181807497943358</v>
      </c>
      <c r="BE126" s="272">
        <f t="shared" si="93"/>
        <v>5.6241617727064153E-2</v>
      </c>
      <c r="BF126" s="796">
        <f t="shared" si="93"/>
        <v>0.12759859656499106</v>
      </c>
      <c r="BG126" s="384">
        <f t="shared" si="93"/>
        <v>8.0987995449999239E-2</v>
      </c>
      <c r="BH126" s="272">
        <f t="shared" si="93"/>
        <v>8.8280163883932339E-2</v>
      </c>
      <c r="BI126" s="272">
        <f t="shared" si="93"/>
        <v>6.1699220066165461E-2</v>
      </c>
      <c r="BJ126" s="272">
        <f t="shared" si="93"/>
        <v>7.2749175590830717E-2</v>
      </c>
      <c r="BK126" s="796">
        <f t="shared" si="93"/>
        <v>7.5916179235838044E-2</v>
      </c>
      <c r="BL126" s="384">
        <f t="shared" si="93"/>
        <v>7.1704526303501881E-2</v>
      </c>
      <c r="BM126" s="272">
        <f t="shared" si="93"/>
        <v>7.0305841974249272E-2</v>
      </c>
      <c r="BN126" s="272">
        <f t="shared" si="93"/>
        <v>7.6497719652174112E-2</v>
      </c>
      <c r="BO126" s="272">
        <f t="shared" si="93"/>
        <v>9.2456366809485768E-2</v>
      </c>
      <c r="BP126" s="796">
        <f t="shared" si="93"/>
        <v>7.7569257279150428E-2</v>
      </c>
      <c r="BQ126" s="384">
        <f t="shared" si="93"/>
        <v>2.4620773662542561E-4</v>
      </c>
      <c r="BR126" s="272">
        <f t="shared" si="93"/>
        <v>-3.0417890410960879E-4</v>
      </c>
      <c r="BS126" s="272">
        <f t="shared" si="93"/>
        <v>-1.7075891666664678E-3</v>
      </c>
      <c r="BT126" s="272">
        <f t="shared" si="93"/>
        <v>-6.255171830986006E-3</v>
      </c>
      <c r="BU126" s="796">
        <f t="shared" si="93"/>
        <v>-1.9760345374750798E-3</v>
      </c>
      <c r="BV126" s="384">
        <f t="shared" si="93"/>
        <v>3.0336055357142788E-2</v>
      </c>
      <c r="BW126" s="272">
        <f t="shared" si="93"/>
        <v>2.6331223880596832E-2</v>
      </c>
      <c r="BX126" s="272">
        <f t="shared" si="93"/>
        <v>3.9080746192893256E-2</v>
      </c>
      <c r="BY126" s="272">
        <f t="shared" si="93"/>
        <v>2.1234430769230705E-2</v>
      </c>
      <c r="BZ126" s="796">
        <f t="shared" si="93"/>
        <v>2.9295470394477663E-2</v>
      </c>
    </row>
    <row r="127" spans="1:78" ht="14.1" customHeight="1" x14ac:dyDescent="0.2">
      <c r="C127" s="793" t="str">
        <f>R127</f>
        <v>Claims and insurance</v>
      </c>
      <c r="D127" s="272"/>
      <c r="E127" s="272">
        <f t="shared" si="79"/>
        <v>3.3986330122167674E-2</v>
      </c>
      <c r="F127" s="272">
        <f t="shared" si="80"/>
        <v>0.12096291476903076</v>
      </c>
      <c r="G127" s="272">
        <f t="shared" si="81"/>
        <v>0.15527128363475962</v>
      </c>
      <c r="H127" s="272">
        <f t="shared" si="82"/>
        <v>0.23279274934185401</v>
      </c>
      <c r="I127" s="272">
        <f t="shared" si="83"/>
        <v>-7.733311598337278E-2</v>
      </c>
      <c r="J127" s="272">
        <f t="shared" si="84"/>
        <v>0.20110952103319724</v>
      </c>
      <c r="K127" s="272">
        <f t="shared" si="85"/>
        <v>0.11442301594728344</v>
      </c>
      <c r="L127" s="272">
        <f t="shared" si="86"/>
        <v>4.8187388715511759E-2</v>
      </c>
      <c r="M127" s="272">
        <f t="shared" si="87"/>
        <v>9.6297594008293075E-2</v>
      </c>
      <c r="N127" s="272">
        <f t="shared" si="88"/>
        <v>4.2815010101711071E-2</v>
      </c>
      <c r="O127" s="294">
        <f t="shared" si="89"/>
        <v>6.2280061322306457E-2</v>
      </c>
      <c r="R127" s="364" t="str">
        <f>'Income Statement'!R15</f>
        <v>Claims and insurance</v>
      </c>
      <c r="S127" s="444"/>
      <c r="T127" s="272"/>
      <c r="U127" s="272"/>
      <c r="V127" s="272"/>
      <c r="W127" s="272"/>
      <c r="X127" s="384">
        <f>X107</f>
        <v>0.12620179025306677</v>
      </c>
      <c r="Y127" s="272">
        <f t="shared" ref="Y127:BZ127" si="94">Y107</f>
        <v>-4.9491655476692875E-2</v>
      </c>
      <c r="Z127" s="272">
        <f t="shared" si="94"/>
        <v>0.1698886936145283</v>
      </c>
      <c r="AA127" s="272">
        <f t="shared" si="94"/>
        <v>-8.883304195804187E-2</v>
      </c>
      <c r="AB127" s="796">
        <f t="shared" si="94"/>
        <v>3.3986330122167674E-2</v>
      </c>
      <c r="AC127" s="384">
        <f t="shared" si="94"/>
        <v>-6.4861151996860156E-2</v>
      </c>
      <c r="AD127" s="272">
        <f t="shared" si="94"/>
        <v>0.32754793138244209</v>
      </c>
      <c r="AE127" s="272">
        <f t="shared" si="94"/>
        <v>-0.21382073109664501</v>
      </c>
      <c r="AF127" s="272">
        <f t="shared" si="94"/>
        <v>0.50341767598033349</v>
      </c>
      <c r="AG127" s="796">
        <f t="shared" si="94"/>
        <v>0.12096291476903076</v>
      </c>
      <c r="AH127" s="384">
        <f t="shared" si="94"/>
        <v>9.3494228751311637E-2</v>
      </c>
      <c r="AI127" s="272">
        <f t="shared" si="94"/>
        <v>0.39046822742474907</v>
      </c>
      <c r="AJ127" s="272">
        <f t="shared" si="94"/>
        <v>0.52076433121019128</v>
      </c>
      <c r="AK127" s="272">
        <f t="shared" si="94"/>
        <v>-0.27343064528994154</v>
      </c>
      <c r="AL127" s="796">
        <f t="shared" si="94"/>
        <v>0.15527128363475962</v>
      </c>
      <c r="AM127" s="384">
        <f t="shared" si="94"/>
        <v>0.10162172536224934</v>
      </c>
      <c r="AN127" s="272">
        <f t="shared" si="94"/>
        <v>-5.2752418958071368E-2</v>
      </c>
      <c r="AO127" s="272">
        <f t="shared" si="94"/>
        <v>0.29988272742502931</v>
      </c>
      <c r="AP127" s="272">
        <f t="shared" si="94"/>
        <v>0.8683719398397185</v>
      </c>
      <c r="AQ127" s="796">
        <f t="shared" si="94"/>
        <v>0.23279274934185401</v>
      </c>
      <c r="AR127" s="384">
        <f t="shared" si="94"/>
        <v>-6.4808362369337957E-2</v>
      </c>
      <c r="AS127" s="272">
        <f t="shared" si="94"/>
        <v>-0.17959372114496774</v>
      </c>
      <c r="AT127" s="272">
        <f t="shared" si="94"/>
        <v>3.0287408171155938E-2</v>
      </c>
      <c r="AU127" s="272">
        <f t="shared" si="94"/>
        <v>-7.9793172336799834E-2</v>
      </c>
      <c r="AV127" s="796">
        <f t="shared" si="94"/>
        <v>-7.733311598337278E-2</v>
      </c>
      <c r="AW127" s="384">
        <f t="shared" si="94"/>
        <v>0.30951937406855423</v>
      </c>
      <c r="AX127" s="272">
        <f t="shared" si="94"/>
        <v>0.19274057400112543</v>
      </c>
      <c r="AY127" s="272">
        <f t="shared" si="94"/>
        <v>0.12734550913184894</v>
      </c>
      <c r="AZ127" s="272">
        <f t="shared" si="94"/>
        <v>0.20969286763297301</v>
      </c>
      <c r="BA127" s="796">
        <f t="shared" si="94"/>
        <v>0.20110952103319724</v>
      </c>
      <c r="BB127" s="384">
        <f t="shared" si="94"/>
        <v>0.24212248381819479</v>
      </c>
      <c r="BC127" s="272">
        <f t="shared" si="94"/>
        <v>0.11040339702760082</v>
      </c>
      <c r="BD127" s="272">
        <f t="shared" si="94"/>
        <v>6.9351975144252176E-2</v>
      </c>
      <c r="BE127" s="272">
        <f t="shared" si="94"/>
        <v>6.6135355827929176E-2</v>
      </c>
      <c r="BF127" s="796">
        <f t="shared" si="94"/>
        <v>0.11442301594728344</v>
      </c>
      <c r="BG127" s="384">
        <f t="shared" si="94"/>
        <v>5.2155569539309443E-2</v>
      </c>
      <c r="BH127" s="272">
        <f t="shared" si="94"/>
        <v>5.5227825636167349E-2</v>
      </c>
      <c r="BI127" s="272">
        <f t="shared" si="94"/>
        <v>3.1630730936663021E-2</v>
      </c>
      <c r="BJ127" s="272">
        <f t="shared" si="94"/>
        <v>5.399289991908196E-2</v>
      </c>
      <c r="BK127" s="796">
        <f t="shared" si="94"/>
        <v>4.8187388715511759E-2</v>
      </c>
      <c r="BL127" s="384">
        <f t="shared" si="94"/>
        <v>7.7032815384615372E-2</v>
      </c>
      <c r="BM127" s="272">
        <f t="shared" si="94"/>
        <v>8.6008367222222493E-2</v>
      </c>
      <c r="BN127" s="272">
        <f t="shared" si="94"/>
        <v>9.850944000000017E-2</v>
      </c>
      <c r="BO127" s="272">
        <f t="shared" si="94"/>
        <v>0.12046146549309267</v>
      </c>
      <c r="BP127" s="796">
        <f t="shared" si="94"/>
        <v>9.6297594008293075E-2</v>
      </c>
      <c r="BQ127" s="384">
        <f t="shared" si="94"/>
        <v>2.8250549904761613E-2</v>
      </c>
      <c r="BR127" s="272">
        <f t="shared" si="94"/>
        <v>4.1633502621359231E-2</v>
      </c>
      <c r="BS127" s="272">
        <f t="shared" si="94"/>
        <v>4.69842278260868E-2</v>
      </c>
      <c r="BT127" s="272">
        <f t="shared" si="94"/>
        <v>5.2149129473683997E-2</v>
      </c>
      <c r="BU127" s="796">
        <f t="shared" si="94"/>
        <v>4.2815010101711071E-2</v>
      </c>
      <c r="BV127" s="384">
        <f t="shared" si="94"/>
        <v>5.1385047236180981E-2</v>
      </c>
      <c r="BW127" s="272">
        <f t="shared" si="94"/>
        <v>5.8193283248730854E-2</v>
      </c>
      <c r="BX127" s="272">
        <f t="shared" si="94"/>
        <v>7.2122969696969852E-2</v>
      </c>
      <c r="BY127" s="272">
        <f t="shared" si="94"/>
        <v>6.5804434389140187E-2</v>
      </c>
      <c r="BZ127" s="796">
        <f t="shared" si="94"/>
        <v>6.2280061322306457E-2</v>
      </c>
    </row>
    <row r="128" spans="1:78" ht="14.1" customHeight="1" x14ac:dyDescent="0.2">
      <c r="C128" s="794" t="str">
        <f>C121</f>
        <v xml:space="preserve">Depreciation and Amortization </v>
      </c>
      <c r="D128" s="156"/>
      <c r="E128" s="323">
        <f t="shared" si="79"/>
        <v>0</v>
      </c>
      <c r="F128" s="323">
        <f t="shared" si="80"/>
        <v>0</v>
      </c>
      <c r="G128" s="323">
        <f t="shared" si="81"/>
        <v>0</v>
      </c>
      <c r="H128" s="323">
        <f t="shared" si="82"/>
        <v>0</v>
      </c>
      <c r="I128" s="323">
        <f t="shared" si="83"/>
        <v>0</v>
      </c>
      <c r="J128" s="323">
        <f t="shared" si="84"/>
        <v>0</v>
      </c>
      <c r="K128" s="323">
        <f t="shared" si="85"/>
        <v>0</v>
      </c>
      <c r="L128" s="323">
        <f t="shared" si="86"/>
        <v>0</v>
      </c>
      <c r="M128" s="323">
        <f t="shared" si="87"/>
        <v>0</v>
      </c>
      <c r="N128" s="323">
        <f t="shared" si="88"/>
        <v>0</v>
      </c>
      <c r="O128" s="414">
        <f t="shared" si="89"/>
        <v>0</v>
      </c>
      <c r="R128" s="825" t="str">
        <f>R121</f>
        <v xml:space="preserve">Depreciation and Amortization </v>
      </c>
      <c r="S128" s="826"/>
      <c r="T128" s="826"/>
      <c r="U128" s="826"/>
      <c r="V128" s="826"/>
      <c r="W128" s="827"/>
      <c r="X128" s="447"/>
      <c r="Y128" s="323"/>
      <c r="Z128" s="323"/>
      <c r="AA128" s="323"/>
      <c r="AB128" s="414"/>
      <c r="AC128" s="447"/>
      <c r="AD128" s="323"/>
      <c r="AE128" s="323"/>
      <c r="AF128" s="323"/>
      <c r="AG128" s="414"/>
      <c r="AH128" s="447"/>
      <c r="AI128" s="323"/>
      <c r="AJ128" s="323"/>
      <c r="AK128" s="323"/>
      <c r="AL128" s="414"/>
      <c r="AM128" s="447"/>
      <c r="AN128" s="323"/>
      <c r="AO128" s="323"/>
      <c r="AP128" s="323"/>
      <c r="AQ128" s="414"/>
      <c r="AR128" s="447"/>
      <c r="AS128" s="323"/>
      <c r="AT128" s="323"/>
      <c r="AU128" s="323"/>
      <c r="AV128" s="414"/>
      <c r="AW128" s="447"/>
      <c r="AX128" s="323"/>
      <c r="AY128" s="323"/>
      <c r="AZ128" s="323"/>
      <c r="BA128" s="414"/>
      <c r="BB128" s="447"/>
      <c r="BC128" s="323"/>
      <c r="BD128" s="323"/>
      <c r="BE128" s="323"/>
      <c r="BF128" s="414"/>
      <c r="BG128" s="447"/>
      <c r="BH128" s="323"/>
      <c r="BI128" s="323"/>
      <c r="BJ128" s="323"/>
      <c r="BK128" s="414"/>
      <c r="BL128" s="447"/>
      <c r="BM128" s="323"/>
      <c r="BN128" s="323"/>
      <c r="BO128" s="323"/>
      <c r="BP128" s="414"/>
      <c r="BQ128" s="447"/>
      <c r="BR128" s="323"/>
      <c r="BS128" s="323"/>
      <c r="BT128" s="323"/>
      <c r="BU128" s="414"/>
      <c r="BV128" s="447"/>
      <c r="BW128" s="323"/>
      <c r="BX128" s="323"/>
      <c r="BY128" s="323"/>
      <c r="BZ128" s="414"/>
    </row>
    <row r="129" spans="1:78" ht="14.1" hidden="1" customHeight="1" outlineLevel="1" x14ac:dyDescent="0.2">
      <c r="C129" s="823" t="str">
        <f>"OPEX Growth %"</f>
        <v>OPEX Growth %</v>
      </c>
      <c r="D129" s="51">
        <f>D74</f>
        <v>43100</v>
      </c>
      <c r="E129" s="52">
        <f t="shared" ref="E129:O129" si="95">E74</f>
        <v>43465</v>
      </c>
      <c r="F129" s="52">
        <f t="shared" si="95"/>
        <v>43830</v>
      </c>
      <c r="G129" s="52">
        <f t="shared" si="95"/>
        <v>44196</v>
      </c>
      <c r="H129" s="52">
        <f t="shared" si="95"/>
        <v>44561</v>
      </c>
      <c r="I129" s="52">
        <f t="shared" si="95"/>
        <v>44926</v>
      </c>
      <c r="J129" s="52">
        <f t="shared" si="95"/>
        <v>45291</v>
      </c>
      <c r="K129" s="53">
        <f t="shared" si="95"/>
        <v>45657</v>
      </c>
      <c r="L129" s="54">
        <f t="shared" si="95"/>
        <v>46022</v>
      </c>
      <c r="M129" s="54">
        <f t="shared" si="95"/>
        <v>46387</v>
      </c>
      <c r="N129" s="54">
        <f t="shared" si="95"/>
        <v>46752</v>
      </c>
      <c r="O129" s="55">
        <f t="shared" si="95"/>
        <v>47118</v>
      </c>
      <c r="R129" s="824" t="str">
        <f>C129</f>
        <v>OPEX Growth %</v>
      </c>
      <c r="S129" s="1371">
        <f>S74</f>
        <v>43100</v>
      </c>
      <c r="T129" s="1372"/>
      <c r="U129" s="1372"/>
      <c r="V129" s="1372"/>
      <c r="W129" s="1372"/>
      <c r="X129" s="1368">
        <f>X74</f>
        <v>43465</v>
      </c>
      <c r="Y129" s="1368"/>
      <c r="Z129" s="1368"/>
      <c r="AA129" s="1368"/>
      <c r="AB129" s="1368"/>
      <c r="AC129" s="1368">
        <f>AC74</f>
        <v>43830</v>
      </c>
      <c r="AD129" s="1368"/>
      <c r="AE129" s="1368"/>
      <c r="AF129" s="1368"/>
      <c r="AG129" s="1368"/>
      <c r="AH129" s="1368">
        <f>AH74</f>
        <v>44196</v>
      </c>
      <c r="AI129" s="1368"/>
      <c r="AJ129" s="1368"/>
      <c r="AK129" s="1368"/>
      <c r="AL129" s="1368"/>
      <c r="AM129" s="1368">
        <f>AM74</f>
        <v>44561</v>
      </c>
      <c r="AN129" s="1368"/>
      <c r="AO129" s="1368"/>
      <c r="AP129" s="1368"/>
      <c r="AQ129" s="1368"/>
      <c r="AR129" s="1368">
        <f>AR74</f>
        <v>44926</v>
      </c>
      <c r="AS129" s="1368"/>
      <c r="AT129" s="1368"/>
      <c r="AU129" s="1368"/>
      <c r="AV129" s="1368"/>
      <c r="AW129" s="1368">
        <f>AW74</f>
        <v>45291</v>
      </c>
      <c r="AX129" s="1368"/>
      <c r="AY129" s="1368"/>
      <c r="AZ129" s="1368"/>
      <c r="BA129" s="1368"/>
      <c r="BB129" s="1369">
        <f>BB74</f>
        <v>45657</v>
      </c>
      <c r="BC129" s="1369"/>
      <c r="BD129" s="1369"/>
      <c r="BE129" s="1369"/>
      <c r="BF129" s="1369"/>
      <c r="BG129" s="1365">
        <f>BG74</f>
        <v>46022</v>
      </c>
      <c r="BH129" s="1365"/>
      <c r="BI129" s="1365"/>
      <c r="BJ129" s="1365"/>
      <c r="BK129" s="1365"/>
      <c r="BL129" s="1365">
        <f>BL74</f>
        <v>46387</v>
      </c>
      <c r="BM129" s="1365"/>
      <c r="BN129" s="1365"/>
      <c r="BO129" s="1365"/>
      <c r="BP129" s="1365"/>
      <c r="BQ129" s="1365">
        <f>BQ74</f>
        <v>46752</v>
      </c>
      <c r="BR129" s="1365"/>
      <c r="BS129" s="1365"/>
      <c r="BT129" s="1365"/>
      <c r="BU129" s="1365"/>
      <c r="BV129" s="1365">
        <f>BV74</f>
        <v>47118</v>
      </c>
      <c r="BW129" s="1365"/>
      <c r="BX129" s="1365"/>
      <c r="BY129" s="1365"/>
      <c r="BZ129" s="1366"/>
    </row>
    <row r="130" spans="1:78" ht="14.1" hidden="1" customHeight="1" outlineLevel="1" x14ac:dyDescent="0.2">
      <c r="R130" s="236"/>
      <c r="S130" s="96" t="str">
        <f>S75</f>
        <v>2017 Q1</v>
      </c>
      <c r="T130" s="140" t="str">
        <f t="shared" ref="T130:BZ130" si="96">T75</f>
        <v>2017 Q2</v>
      </c>
      <c r="U130" s="140" t="str">
        <f t="shared" si="96"/>
        <v>2017 Q3</v>
      </c>
      <c r="V130" s="140" t="str">
        <f t="shared" si="96"/>
        <v>2017 Q4</v>
      </c>
      <c r="W130" s="140" t="str">
        <f t="shared" si="96"/>
        <v>2017 FY</v>
      </c>
      <c r="X130" s="140" t="str">
        <f t="shared" si="96"/>
        <v>2018 Q1</v>
      </c>
      <c r="Y130" s="140" t="str">
        <f t="shared" si="96"/>
        <v>2018 Q2</v>
      </c>
      <c r="Z130" s="140" t="str">
        <f t="shared" si="96"/>
        <v>2018 Q3</v>
      </c>
      <c r="AA130" s="140" t="str">
        <f t="shared" si="96"/>
        <v>2018 Q4</v>
      </c>
      <c r="AB130" s="140" t="str">
        <f t="shared" si="96"/>
        <v>2018 FY</v>
      </c>
      <c r="AC130" s="140" t="str">
        <f t="shared" si="96"/>
        <v>2019 Q1</v>
      </c>
      <c r="AD130" s="140" t="str">
        <f t="shared" si="96"/>
        <v>2019 Q2</v>
      </c>
      <c r="AE130" s="140" t="str">
        <f t="shared" si="96"/>
        <v>2019 Q3</v>
      </c>
      <c r="AF130" s="140" t="str">
        <f t="shared" si="96"/>
        <v>2019 Q4</v>
      </c>
      <c r="AG130" s="140" t="str">
        <f t="shared" si="96"/>
        <v>2019 FY</v>
      </c>
      <c r="AH130" s="140" t="str">
        <f t="shared" si="96"/>
        <v>2020 Q1</v>
      </c>
      <c r="AI130" s="140" t="str">
        <f t="shared" si="96"/>
        <v>2020 Q2</v>
      </c>
      <c r="AJ130" s="140" t="str">
        <f t="shared" si="96"/>
        <v>2020 Q3</v>
      </c>
      <c r="AK130" s="140" t="str">
        <f t="shared" si="96"/>
        <v>2020 Q4</v>
      </c>
      <c r="AL130" s="140" t="str">
        <f t="shared" si="96"/>
        <v>2020 FY</v>
      </c>
      <c r="AM130" s="140" t="str">
        <f t="shared" si="96"/>
        <v>2021 Q1</v>
      </c>
      <c r="AN130" s="140" t="str">
        <f t="shared" si="96"/>
        <v>2021 Q2</v>
      </c>
      <c r="AO130" s="140" t="str">
        <f t="shared" si="96"/>
        <v>2021 Q3</v>
      </c>
      <c r="AP130" s="140" t="str">
        <f t="shared" si="96"/>
        <v>2021 Q4</v>
      </c>
      <c r="AQ130" s="140" t="str">
        <f t="shared" si="96"/>
        <v>2021 FY</v>
      </c>
      <c r="AR130" s="140" t="str">
        <f t="shared" si="96"/>
        <v>2022 Q1</v>
      </c>
      <c r="AS130" s="140" t="str">
        <f t="shared" si="96"/>
        <v>2022 Q2</v>
      </c>
      <c r="AT130" s="140" t="str">
        <f t="shared" si="96"/>
        <v>2022 Q3</v>
      </c>
      <c r="AU130" s="140" t="str">
        <f t="shared" si="96"/>
        <v>2022 Q4</v>
      </c>
      <c r="AV130" s="140" t="str">
        <f t="shared" si="96"/>
        <v>2022 FY</v>
      </c>
      <c r="AW130" s="140" t="str">
        <f t="shared" si="96"/>
        <v>2023 Q1</v>
      </c>
      <c r="AX130" s="140" t="str">
        <f t="shared" si="96"/>
        <v>2023 Q2</v>
      </c>
      <c r="AY130" s="140" t="str">
        <f t="shared" si="96"/>
        <v>2023 Q3</v>
      </c>
      <c r="AZ130" s="140" t="str">
        <f t="shared" si="96"/>
        <v>2023 Q4</v>
      </c>
      <c r="BA130" s="140" t="str">
        <f t="shared" si="96"/>
        <v>2023 FY</v>
      </c>
      <c r="BB130" s="140" t="str">
        <f t="shared" si="96"/>
        <v>2024 Q1</v>
      </c>
      <c r="BC130" s="140" t="str">
        <f t="shared" si="96"/>
        <v>2024 Q2</v>
      </c>
      <c r="BD130" s="140" t="str">
        <f t="shared" si="96"/>
        <v>2024 Q3</v>
      </c>
      <c r="BE130" s="141" t="str">
        <f t="shared" si="96"/>
        <v>2024 Q4</v>
      </c>
      <c r="BF130" s="141" t="str">
        <f t="shared" si="96"/>
        <v>2024 FY</v>
      </c>
      <c r="BG130" s="141" t="str">
        <f t="shared" si="96"/>
        <v>2025 Q1</v>
      </c>
      <c r="BH130" s="141" t="str">
        <f t="shared" si="96"/>
        <v>2025 Q2</v>
      </c>
      <c r="BI130" s="141" t="str">
        <f t="shared" si="96"/>
        <v>2025 Q3</v>
      </c>
      <c r="BJ130" s="141" t="str">
        <f t="shared" si="96"/>
        <v>2025 Q4</v>
      </c>
      <c r="BK130" s="141" t="str">
        <f t="shared" si="96"/>
        <v>2025 FY</v>
      </c>
      <c r="BL130" s="141" t="str">
        <f t="shared" si="96"/>
        <v>2026 Q1</v>
      </c>
      <c r="BM130" s="141" t="str">
        <f t="shared" si="96"/>
        <v>2026 Q2</v>
      </c>
      <c r="BN130" s="141" t="str">
        <f t="shared" si="96"/>
        <v>2026 Q3</v>
      </c>
      <c r="BO130" s="141" t="str">
        <f t="shared" si="96"/>
        <v>2026 Q4</v>
      </c>
      <c r="BP130" s="141" t="str">
        <f t="shared" si="96"/>
        <v>2026 FY</v>
      </c>
      <c r="BQ130" s="141" t="str">
        <f t="shared" si="96"/>
        <v>2027 Q1</v>
      </c>
      <c r="BR130" s="141" t="str">
        <f t="shared" si="96"/>
        <v>2027 Q2</v>
      </c>
      <c r="BS130" s="141" t="str">
        <f t="shared" si="96"/>
        <v>2027 Q3</v>
      </c>
      <c r="BT130" s="141" t="str">
        <f t="shared" si="96"/>
        <v>2027 Q4</v>
      </c>
      <c r="BU130" s="141" t="str">
        <f t="shared" si="96"/>
        <v>2027 FY</v>
      </c>
      <c r="BV130" s="141" t="str">
        <f t="shared" si="96"/>
        <v>2028 Q1</v>
      </c>
      <c r="BW130" s="141" t="str">
        <f t="shared" si="96"/>
        <v>2028 Q2</v>
      </c>
      <c r="BX130" s="141" t="str">
        <f t="shared" si="96"/>
        <v>2028 Q3</v>
      </c>
      <c r="BY130" s="141" t="str">
        <f t="shared" si="96"/>
        <v>2028 Q4</v>
      </c>
      <c r="BZ130" s="142" t="str">
        <f t="shared" si="96"/>
        <v>2028 FY</v>
      </c>
    </row>
    <row r="131" spans="1:78" s="114" customFormat="1" ht="1.1499999999999999" hidden="1" customHeight="1" outlineLevel="1" x14ac:dyDescent="0.2">
      <c r="A131"/>
      <c r="B131"/>
      <c r="C131" s="60"/>
      <c r="D131" s="60"/>
      <c r="E131" s="60"/>
      <c r="F131" s="60"/>
      <c r="G131" s="60"/>
      <c r="H131" s="60"/>
      <c r="I131" s="60"/>
      <c r="J131" s="60"/>
      <c r="K131" s="60"/>
      <c r="L131" s="60"/>
      <c r="M131" s="60"/>
      <c r="N131" s="60"/>
      <c r="O131" s="60"/>
      <c r="P131" s="60"/>
      <c r="Q131" s="60"/>
      <c r="S131" s="782"/>
      <c r="T131" s="782"/>
      <c r="U131" s="782"/>
      <c r="V131" s="782"/>
      <c r="W131" s="782"/>
      <c r="X131" s="782"/>
      <c r="Y131" s="782"/>
      <c r="Z131" s="782"/>
      <c r="AA131" s="782"/>
      <c r="AB131" s="782"/>
      <c r="AC131" s="782"/>
      <c r="AD131" s="782"/>
      <c r="AE131" s="782"/>
      <c r="AF131" s="782"/>
      <c r="AG131" s="782"/>
      <c r="AH131" s="782"/>
      <c r="AI131" s="782"/>
      <c r="AJ131" s="782"/>
      <c r="AK131" s="782"/>
      <c r="AL131" s="782"/>
      <c r="AM131" s="782"/>
      <c r="AN131" s="782"/>
      <c r="AO131" s="782"/>
      <c r="AP131" s="782"/>
      <c r="AQ131" s="782"/>
      <c r="AR131" s="782"/>
      <c r="AS131" s="782"/>
      <c r="AT131" s="782"/>
      <c r="AU131" s="782"/>
      <c r="AV131" s="782"/>
      <c r="AW131" s="782"/>
      <c r="AX131" s="782"/>
      <c r="AY131" s="782"/>
      <c r="AZ131" s="782"/>
      <c r="BA131" s="782"/>
      <c r="BB131" s="782"/>
      <c r="BC131" s="782"/>
      <c r="BD131" s="782"/>
      <c r="BE131" s="782"/>
      <c r="BF131" s="782"/>
      <c r="BG131" s="782"/>
      <c r="BH131" s="782"/>
      <c r="BI131" s="782"/>
      <c r="BJ131" s="782"/>
      <c r="BK131" s="782"/>
      <c r="BL131" s="782"/>
      <c r="BM131" s="782"/>
      <c r="BN131" s="782"/>
      <c r="BO131" s="782"/>
      <c r="BP131" s="782"/>
      <c r="BQ131" s="782"/>
      <c r="BR131" s="782"/>
      <c r="BS131" s="782"/>
      <c r="BT131" s="782"/>
      <c r="BU131" s="782"/>
      <c r="BV131" s="782"/>
      <c r="BW131" s="782"/>
      <c r="BX131" s="782"/>
      <c r="BY131" s="782"/>
      <c r="BZ131" s="782"/>
    </row>
    <row r="132" spans="1:78" ht="14.1" hidden="1" customHeight="1" outlineLevel="1" x14ac:dyDescent="0.2">
      <c r="C132" s="408" t="str">
        <f>'Income Statement'!C11</f>
        <v>Salaries, Wages and employees’ benefits</v>
      </c>
      <c r="D132" s="401">
        <f>W132</f>
        <v>766.79</v>
      </c>
      <c r="E132" s="401">
        <f>AB132</f>
        <v>872.72199999999998</v>
      </c>
      <c r="F132" s="401">
        <f>AG132</f>
        <v>947.91099999999994</v>
      </c>
      <c r="G132" s="401">
        <f>AL132</f>
        <v>963.26</v>
      </c>
      <c r="H132" s="401">
        <f>AQ132</f>
        <v>1063.703</v>
      </c>
      <c r="I132" s="401">
        <f>AV132</f>
        <v>1169.539</v>
      </c>
      <c r="J132" s="401">
        <f>BA132</f>
        <v>1301.28</v>
      </c>
      <c r="K132" s="401">
        <f>BF132</f>
        <v>1457.9179999999999</v>
      </c>
      <c r="L132" s="401">
        <f>BK132</f>
        <v>1457.9179999999999</v>
      </c>
      <c r="M132" s="401">
        <f>BP132</f>
        <v>1457.9179999999999</v>
      </c>
      <c r="N132" s="401">
        <f>BU132</f>
        <v>1457.9179999999999</v>
      </c>
      <c r="O132" s="407">
        <f>BZ132</f>
        <v>1457.9179999999999</v>
      </c>
      <c r="P132" s="382"/>
      <c r="Q132" s="382"/>
      <c r="R132" s="411" t="str">
        <f t="shared" ref="R132:R138" si="97">C132</f>
        <v>Salaries, Wages and employees’ benefits</v>
      </c>
      <c r="S132" s="400">
        <f>'Income Statement'!S11</f>
        <v>180.90299999999999</v>
      </c>
      <c r="T132" s="401">
        <f>'Income Statement'!T11</f>
        <v>196.38800000000001</v>
      </c>
      <c r="U132" s="401">
        <f>'Income Statement'!U11</f>
        <v>194.92</v>
      </c>
      <c r="V132" s="401">
        <f>'Income Statement'!V11</f>
        <v>194.57899999999995</v>
      </c>
      <c r="W132" s="402">
        <f>'Income Statement'!W11</f>
        <v>766.79</v>
      </c>
      <c r="X132" s="400">
        <f>'Income Statement'!X11</f>
        <v>211.124</v>
      </c>
      <c r="Y132" s="401">
        <f>'Income Statement'!Y11</f>
        <v>220.40600000000001</v>
      </c>
      <c r="Z132" s="401">
        <f>'Income Statement'!Z11</f>
        <v>224.63499999999999</v>
      </c>
      <c r="AA132" s="401">
        <f>'Income Statement'!AA11</f>
        <v>216.55700000000002</v>
      </c>
      <c r="AB132" s="402">
        <f>'Income Statement'!AB11</f>
        <v>872.72199999999998</v>
      </c>
      <c r="AC132" s="400">
        <f>'Income Statement'!AC11</f>
        <v>220.352</v>
      </c>
      <c r="AD132" s="401">
        <f>'Income Statement'!AD11</f>
        <v>237.68899999999999</v>
      </c>
      <c r="AE132" s="401">
        <f>'Income Statement'!AE11</f>
        <v>250.16200000000001</v>
      </c>
      <c r="AF132" s="401">
        <f>'Income Statement'!AF11</f>
        <v>239.70799999999997</v>
      </c>
      <c r="AG132" s="402">
        <f>'Income Statement'!AG11</f>
        <v>947.91099999999994</v>
      </c>
      <c r="AH132" s="400">
        <f>'Income Statement'!AH11</f>
        <v>238.64500000000001</v>
      </c>
      <c r="AI132" s="401">
        <f>'Income Statement'!AI11</f>
        <v>224.27699999999999</v>
      </c>
      <c r="AJ132" s="401">
        <f>'Income Statement'!AJ11</f>
        <v>252.09200000000001</v>
      </c>
      <c r="AK132" s="401">
        <f>'Income Statement'!AK11</f>
        <v>248.24599999999998</v>
      </c>
      <c r="AL132" s="402">
        <f>'Income Statement'!AL11</f>
        <v>963.26</v>
      </c>
      <c r="AM132" s="400">
        <f>'Income Statement'!AM11</f>
        <v>244.43700000000001</v>
      </c>
      <c r="AN132" s="401">
        <f>'Income Statement'!AN11</f>
        <v>268.786</v>
      </c>
      <c r="AO132" s="401">
        <f>'Income Statement'!AO11</f>
        <v>277.084</v>
      </c>
      <c r="AP132" s="401">
        <f>'Income Statement'!AP11</f>
        <v>273.39599999999996</v>
      </c>
      <c r="AQ132" s="402">
        <f>'Income Statement'!AQ11</f>
        <v>1063.703</v>
      </c>
      <c r="AR132" s="400">
        <f>'Income Statement'!AR11</f>
        <v>289.46300000000002</v>
      </c>
      <c r="AS132" s="401">
        <f>'Income Statement'!AS11</f>
        <v>295.05200000000002</v>
      </c>
      <c r="AT132" s="401">
        <f>'Income Statement'!AT11</f>
        <v>297.24700000000001</v>
      </c>
      <c r="AU132" s="401">
        <f>'Income Statement'!AU11</f>
        <v>287.77699999999982</v>
      </c>
      <c r="AV132" s="402">
        <f>'Income Statement'!AV11</f>
        <v>1169.539</v>
      </c>
      <c r="AW132" s="400">
        <f>'Income Statement'!AW11</f>
        <v>298.95600000000002</v>
      </c>
      <c r="AX132" s="401">
        <f>'Income Statement'!AX11</f>
        <v>311.88799999999998</v>
      </c>
      <c r="AY132" s="401">
        <f>'Income Statement'!AY11</f>
        <v>344.60500000000002</v>
      </c>
      <c r="AZ132" s="401">
        <f>'Income Statement'!AZ11</f>
        <v>345.8309999999999</v>
      </c>
      <c r="BA132" s="402">
        <f>'Income Statement'!BA11</f>
        <v>1301.28</v>
      </c>
      <c r="BB132" s="400">
        <f>'Income Statement'!BB11</f>
        <v>341.71300000000002</v>
      </c>
      <c r="BC132" s="401">
        <f>'Income Statement'!BC11</f>
        <v>372.24</v>
      </c>
      <c r="BD132" s="401">
        <f>'Income Statement'!BD11</f>
        <v>398.13400000000001</v>
      </c>
      <c r="BE132" s="401">
        <f>AZ132*(1+BE133)</f>
        <v>345.8309999999999</v>
      </c>
      <c r="BF132" s="402">
        <f>SUM(BB132:BE132)</f>
        <v>1457.9179999999999</v>
      </c>
      <c r="BG132" s="400">
        <f>BB132*(1+BG133)</f>
        <v>341.71300000000002</v>
      </c>
      <c r="BH132" s="401">
        <f>BC132*(1+BH133)</f>
        <v>372.24</v>
      </c>
      <c r="BI132" s="401">
        <f>BD132*(1+BI133)</f>
        <v>398.13400000000001</v>
      </c>
      <c r="BJ132" s="401">
        <f>BE132*(1+BJ133)</f>
        <v>345.8309999999999</v>
      </c>
      <c r="BK132" s="402">
        <f>SUM(BG132:BJ132)</f>
        <v>1457.9179999999999</v>
      </c>
      <c r="BL132" s="400">
        <f>BG132*(1+BL133)</f>
        <v>341.71300000000002</v>
      </c>
      <c r="BM132" s="401">
        <f>BH132*(1+BM133)</f>
        <v>372.24</v>
      </c>
      <c r="BN132" s="401">
        <f>BI132*(1+BN133)</f>
        <v>398.13400000000001</v>
      </c>
      <c r="BO132" s="401">
        <f>BJ132*(1+BO133)</f>
        <v>345.8309999999999</v>
      </c>
      <c r="BP132" s="402">
        <f>SUM(BL132:BO132)</f>
        <v>1457.9179999999999</v>
      </c>
      <c r="BQ132" s="400">
        <f>BL132*(1+BQ133)</f>
        <v>341.71300000000002</v>
      </c>
      <c r="BR132" s="401">
        <f>BM132*(1+BR133)</f>
        <v>372.24</v>
      </c>
      <c r="BS132" s="401">
        <f>BN132*(1+BS133)</f>
        <v>398.13400000000001</v>
      </c>
      <c r="BT132" s="401">
        <f>BO132*(1+BT133)</f>
        <v>345.8309999999999</v>
      </c>
      <c r="BU132" s="402">
        <f>SUM(BQ132:BT132)</f>
        <v>1457.9179999999999</v>
      </c>
      <c r="BV132" s="400">
        <f>BQ132*(1+BV133)</f>
        <v>341.71300000000002</v>
      </c>
      <c r="BW132" s="401">
        <f>BR132*(1+BW133)</f>
        <v>372.24</v>
      </c>
      <c r="BX132" s="401">
        <f>BS132*(1+BX133)</f>
        <v>398.13400000000001</v>
      </c>
      <c r="BY132" s="401">
        <f>BT132*(1+BY133)</f>
        <v>345.8309999999999</v>
      </c>
      <c r="BZ132" s="402">
        <f>SUM(BV132:BY132)</f>
        <v>1457.9179999999999</v>
      </c>
    </row>
    <row r="133" spans="1:78" ht="14.1" hidden="1" customHeight="1" outlineLevel="1" x14ac:dyDescent="0.2">
      <c r="C133" s="412" t="str">
        <f>"Growth %"</f>
        <v>Growth %</v>
      </c>
      <c r="D133" s="429"/>
      <c r="E133" s="430">
        <f>IFERROR(E132/D132-1,"NM")</f>
        <v>0.13814994979068596</v>
      </c>
      <c r="F133" s="430">
        <f t="shared" ref="F133:O133" si="98">IFERROR(F132/E132-1,"NM")</f>
        <v>8.6154583017272302E-2</v>
      </c>
      <c r="G133" s="430">
        <f t="shared" si="98"/>
        <v>1.6192448447164498E-2</v>
      </c>
      <c r="H133" s="430">
        <f t="shared" si="98"/>
        <v>0.10427402778066153</v>
      </c>
      <c r="I133" s="430">
        <f t="shared" si="98"/>
        <v>9.9497698135663892E-2</v>
      </c>
      <c r="J133" s="430">
        <f t="shared" si="98"/>
        <v>0.11264352877501316</v>
      </c>
      <c r="K133" s="430">
        <f t="shared" si="98"/>
        <v>0.12037224886265818</v>
      </c>
      <c r="L133" s="430">
        <f t="shared" si="98"/>
        <v>0</v>
      </c>
      <c r="M133" s="430">
        <f t="shared" si="98"/>
        <v>0</v>
      </c>
      <c r="N133" s="430">
        <f t="shared" si="98"/>
        <v>0</v>
      </c>
      <c r="O133" s="431">
        <f t="shared" si="98"/>
        <v>0</v>
      </c>
      <c r="P133" s="382"/>
      <c r="Q133" s="382"/>
      <c r="R133" s="412" t="str">
        <f t="shared" si="97"/>
        <v>Growth %</v>
      </c>
      <c r="S133" s="405"/>
      <c r="T133" s="406"/>
      <c r="U133" s="406"/>
      <c r="V133" s="406"/>
      <c r="W133" s="404"/>
      <c r="X133" s="405">
        <f>IFERROR(X132/S132-1,"NM")</f>
        <v>0.16705637828007269</v>
      </c>
      <c r="Y133" s="406">
        <f t="shared" ref="Y133:BD133" si="99">IFERROR(Y132/T132-1,"NM")</f>
        <v>0.12229871478909105</v>
      </c>
      <c r="Z133" s="406">
        <f t="shared" si="99"/>
        <v>0.15244715780833173</v>
      </c>
      <c r="AA133" s="406">
        <f t="shared" si="99"/>
        <v>0.1129515518118609</v>
      </c>
      <c r="AB133" s="404">
        <f t="shared" si="99"/>
        <v>0.13814994979068596</v>
      </c>
      <c r="AC133" s="405">
        <f t="shared" si="99"/>
        <v>4.3708910403364998E-2</v>
      </c>
      <c r="AD133" s="406">
        <f t="shared" si="99"/>
        <v>7.8414380733736744E-2</v>
      </c>
      <c r="AE133" s="406">
        <f t="shared" si="99"/>
        <v>0.11363767890132892</v>
      </c>
      <c r="AF133" s="406">
        <f t="shared" si="99"/>
        <v>0.10690487954672423</v>
      </c>
      <c r="AG133" s="404">
        <f t="shared" si="99"/>
        <v>8.6154583017272302E-2</v>
      </c>
      <c r="AH133" s="405">
        <f t="shared" si="99"/>
        <v>8.301717252396168E-2</v>
      </c>
      <c r="AI133" s="406">
        <f t="shared" si="99"/>
        <v>-5.6426675193214648E-2</v>
      </c>
      <c r="AJ133" s="406">
        <f t="shared" si="99"/>
        <v>7.7150006795596582E-3</v>
      </c>
      <c r="AK133" s="406">
        <f t="shared" si="99"/>
        <v>3.5618335641697474E-2</v>
      </c>
      <c r="AL133" s="404">
        <f t="shared" si="99"/>
        <v>1.6192448447164498E-2</v>
      </c>
      <c r="AM133" s="405">
        <f t="shared" si="99"/>
        <v>2.4270359739361869E-2</v>
      </c>
      <c r="AN133" s="406">
        <f t="shared" si="99"/>
        <v>0.1984554813913153</v>
      </c>
      <c r="AO133" s="406">
        <f t="shared" si="99"/>
        <v>9.9138409786903248E-2</v>
      </c>
      <c r="AP133" s="406">
        <f t="shared" si="99"/>
        <v>0.10131079654858488</v>
      </c>
      <c r="AQ133" s="404">
        <f t="shared" si="99"/>
        <v>0.10427402778066153</v>
      </c>
      <c r="AR133" s="405">
        <f t="shared" si="99"/>
        <v>0.18420288254233208</v>
      </c>
      <c r="AS133" s="406">
        <f t="shared" si="99"/>
        <v>9.7720863437827932E-2</v>
      </c>
      <c r="AT133" s="406">
        <f t="shared" si="99"/>
        <v>7.2768546722293603E-2</v>
      </c>
      <c r="AU133" s="406">
        <f t="shared" si="99"/>
        <v>5.2601354811335321E-2</v>
      </c>
      <c r="AV133" s="404">
        <f t="shared" si="99"/>
        <v>9.9497698135663892E-2</v>
      </c>
      <c r="AW133" s="405">
        <f t="shared" si="99"/>
        <v>3.2795210441403544E-2</v>
      </c>
      <c r="AX133" s="406">
        <f t="shared" si="99"/>
        <v>5.7061128207908984E-2</v>
      </c>
      <c r="AY133" s="406">
        <f t="shared" si="99"/>
        <v>0.15932204530239158</v>
      </c>
      <c r="AZ133" s="406">
        <f t="shared" si="99"/>
        <v>0.20173259155526724</v>
      </c>
      <c r="BA133" s="404">
        <f t="shared" si="99"/>
        <v>0.11264352877501316</v>
      </c>
      <c r="BB133" s="405">
        <f t="shared" si="99"/>
        <v>0.14302104657541581</v>
      </c>
      <c r="BC133" s="406">
        <f t="shared" si="99"/>
        <v>0.19350536089878423</v>
      </c>
      <c r="BD133" s="406">
        <f t="shared" si="99"/>
        <v>0.15533436833476011</v>
      </c>
      <c r="BE133" s="406">
        <f>INDEX($BE$134:$BZ$137,MATCH($O$3,$C$46:$C$49,0),MATCH(BE$75,$BE$75:$BZ$75,0))</f>
        <v>0</v>
      </c>
      <c r="BF133" s="404">
        <f>BF132/BA132-1</f>
        <v>0.12037224886265818</v>
      </c>
      <c r="BG133" s="405">
        <f>INDEX($BE$134:$BZ$137,MATCH($O$3,$C$46:$C$49,0),MATCH(BG$75,$BE$75:$BZ$75,0))</f>
        <v>0</v>
      </c>
      <c r="BH133" s="406">
        <f>INDEX($BE$134:$BZ$137,MATCH($O$3,$C$46:$C$49,0),MATCH(BH$75,$BE$75:$BZ$75,0))</f>
        <v>0</v>
      </c>
      <c r="BI133" s="406">
        <f>INDEX($BE$134:$BZ$137,MATCH($O$3,$C$46:$C$49,0),MATCH(BI$75,$BE$75:$BZ$75,0))</f>
        <v>0</v>
      </c>
      <c r="BJ133" s="406">
        <f>INDEX($BE$134:$BZ$137,MATCH($O$3,$C$46:$C$49,0),MATCH(BJ$75,$BE$75:$BZ$75,0))</f>
        <v>0</v>
      </c>
      <c r="BK133" s="404">
        <f>BK132/BF132-1</f>
        <v>0</v>
      </c>
      <c r="BL133" s="405">
        <f>INDEX($BE$134:$BZ$137,MATCH($O$3,$C$46:$C$49,0),MATCH(BL$75,$BE$75:$BZ$75,0))</f>
        <v>0</v>
      </c>
      <c r="BM133" s="406">
        <f>INDEX($BE$134:$BZ$137,MATCH($O$3,$C$46:$C$49,0),MATCH(BM$75,$BE$75:$BZ$75,0))</f>
        <v>0</v>
      </c>
      <c r="BN133" s="406">
        <f>INDEX($BE$134:$BZ$137,MATCH($O$3,$C$46:$C$49,0),MATCH(BN$75,$BE$75:$BZ$75,0))</f>
        <v>0</v>
      </c>
      <c r="BO133" s="406">
        <f>INDEX($BE$134:$BZ$137,MATCH($O$3,$C$46:$C$49,0),MATCH(BO$75,$BE$75:$BZ$75,0))</f>
        <v>0</v>
      </c>
      <c r="BP133" s="404">
        <f>BP132/BK132-1</f>
        <v>0</v>
      </c>
      <c r="BQ133" s="405">
        <f>INDEX($BE$134:$BZ$137,MATCH($O$3,$C$46:$C$49,0),MATCH(BQ$75,$BE$75:$BZ$75,0))</f>
        <v>0</v>
      </c>
      <c r="BR133" s="406">
        <f>INDEX($BE$134:$BZ$137,MATCH($O$3,$C$46:$C$49,0),MATCH(BR$75,$BE$75:$BZ$75,0))</f>
        <v>0</v>
      </c>
      <c r="BS133" s="406">
        <f>INDEX($BE$134:$BZ$137,MATCH($O$3,$C$46:$C$49,0),MATCH(BS$75,$BE$75:$BZ$75,0))</f>
        <v>0</v>
      </c>
      <c r="BT133" s="406">
        <f>INDEX($BE$134:$BZ$137,MATCH($O$3,$C$46:$C$49,0),MATCH(BT$75,$BE$75:$BZ$75,0))</f>
        <v>0</v>
      </c>
      <c r="BU133" s="404">
        <f>BU132/BP132-1</f>
        <v>0</v>
      </c>
      <c r="BV133" s="405">
        <f>INDEX($BE$134:$BZ$137,MATCH($O$3,$C$46:$C$49,0),MATCH(BV$75,$BE$75:$BZ$75,0))</f>
        <v>0</v>
      </c>
      <c r="BW133" s="406">
        <f>INDEX($BE$134:$BZ$137,MATCH($O$3,$C$46:$C$49,0),MATCH(BW$75,$BE$75:$BZ$75,0))</f>
        <v>0</v>
      </c>
      <c r="BX133" s="406">
        <f>INDEX($BE$134:$BZ$137,MATCH($O$3,$C$46:$C$49,0),MATCH(BX$75,$BE$75:$BZ$75,0))</f>
        <v>0</v>
      </c>
      <c r="BY133" s="406">
        <f>INDEX($BE$134:$BZ$137,MATCH($O$3,$C$46:$C$49,0),MATCH(BY$75,$BE$75:$BZ$75,0))</f>
        <v>0</v>
      </c>
      <c r="BZ133" s="404">
        <f>BZ132/BU132-1</f>
        <v>0</v>
      </c>
    </row>
    <row r="134" spans="1:78" ht="14.1" hidden="1" customHeight="1" outlineLevel="1" x14ac:dyDescent="0.2">
      <c r="C134" s="427" t="str">
        <f>C46</f>
        <v>Reversed</v>
      </c>
      <c r="D134" s="401"/>
      <c r="E134" s="432"/>
      <c r="F134" s="432"/>
      <c r="G134" s="1350" t="s">
        <v>567</v>
      </c>
      <c r="H134" s="1350"/>
      <c r="I134" s="1350"/>
      <c r="J134" s="1350"/>
      <c r="K134" s="1350"/>
      <c r="L134" s="1350"/>
      <c r="M134" s="1350"/>
      <c r="N134" s="1350"/>
      <c r="O134" s="1351"/>
      <c r="P134" s="382"/>
      <c r="Q134" s="382"/>
      <c r="R134" s="409" t="str">
        <f t="shared" si="97"/>
        <v>Reversed</v>
      </c>
      <c r="S134" s="398"/>
      <c r="T134" s="263"/>
      <c r="U134" s="263"/>
      <c r="V134" s="263"/>
      <c r="W134" s="264"/>
      <c r="X134" s="398"/>
      <c r="Y134" s="263"/>
      <c r="Z134" s="263"/>
      <c r="AA134" s="263"/>
      <c r="AB134" s="264"/>
      <c r="AC134" s="398"/>
      <c r="AD134" s="263"/>
      <c r="AE134" s="263"/>
      <c r="AF134" s="263"/>
      <c r="AG134" s="264"/>
      <c r="AH134" s="398"/>
      <c r="AI134" s="263"/>
      <c r="AJ134" s="263"/>
      <c r="AK134" s="263"/>
      <c r="AL134" s="264"/>
      <c r="AM134" s="398"/>
      <c r="AN134" s="263"/>
      <c r="AO134" s="263"/>
      <c r="AP134" s="263"/>
      <c r="AQ134" s="264"/>
      <c r="AR134" s="1356" t="s">
        <v>567</v>
      </c>
      <c r="AS134" s="1357"/>
      <c r="AT134" s="1357"/>
      <c r="AU134" s="1357"/>
      <c r="AV134" s="1357"/>
      <c r="AW134" s="1357"/>
      <c r="AX134" s="1357"/>
      <c r="AY134" s="1357"/>
      <c r="AZ134" s="1357"/>
      <c r="BA134" s="1357"/>
      <c r="BB134" s="1357"/>
      <c r="BC134" s="1357"/>
      <c r="BD134" s="1357"/>
      <c r="BE134" s="1357"/>
      <c r="BF134" s="1357"/>
      <c r="BG134" s="1357"/>
      <c r="BH134" s="1357"/>
      <c r="BI134" s="1357"/>
      <c r="BJ134" s="1357"/>
      <c r="BK134" s="1357"/>
      <c r="BL134" s="1357"/>
      <c r="BM134" s="1357"/>
      <c r="BN134" s="1357"/>
      <c r="BO134" s="1357"/>
      <c r="BP134" s="1357"/>
      <c r="BQ134" s="1357"/>
      <c r="BR134" s="1357"/>
      <c r="BS134" s="1357"/>
      <c r="BT134" s="1357"/>
      <c r="BU134" s="1358"/>
      <c r="BV134" s="398">
        <v>6.0499999999999998E-2</v>
      </c>
      <c r="BW134" s="263">
        <v>5.5500000000000008E-2</v>
      </c>
      <c r="BX134" s="263">
        <v>5.6500000000000009E-2</v>
      </c>
      <c r="BY134" s="263">
        <v>3.6500000000000005E-2</v>
      </c>
      <c r="BZ134" s="264"/>
    </row>
    <row r="135" spans="1:78" ht="14.1" hidden="1" customHeight="1" outlineLevel="1" x14ac:dyDescent="0.2">
      <c r="C135" s="409" t="str">
        <f>C47</f>
        <v>Base</v>
      </c>
      <c r="D135" s="382"/>
      <c r="E135" s="434"/>
      <c r="F135" s="434"/>
      <c r="G135" s="1352"/>
      <c r="H135" s="1352"/>
      <c r="I135" s="1352"/>
      <c r="J135" s="1352"/>
      <c r="K135" s="1352"/>
      <c r="L135" s="1352"/>
      <c r="M135" s="1352"/>
      <c r="N135" s="1352"/>
      <c r="O135" s="1353"/>
      <c r="P135" s="382"/>
      <c r="Q135" s="382"/>
      <c r="R135" s="409" t="str">
        <f t="shared" si="97"/>
        <v>Base</v>
      </c>
      <c r="S135" s="398"/>
      <c r="T135" s="263"/>
      <c r="U135" s="263"/>
      <c r="V135" s="263"/>
      <c r="W135" s="264"/>
      <c r="X135" s="398"/>
      <c r="Y135" s="263"/>
      <c r="Z135" s="263"/>
      <c r="AA135" s="263"/>
      <c r="AB135" s="264"/>
      <c r="AC135" s="398"/>
      <c r="AD135" s="263"/>
      <c r="AE135" s="263"/>
      <c r="AF135" s="263"/>
      <c r="AG135" s="264"/>
      <c r="AH135" s="398"/>
      <c r="AI135" s="263"/>
      <c r="AJ135" s="263"/>
      <c r="AK135" s="263"/>
      <c r="AL135" s="264"/>
      <c r="AM135" s="398"/>
      <c r="AN135" s="263"/>
      <c r="AO135" s="263"/>
      <c r="AP135" s="263"/>
      <c r="AQ135" s="264"/>
      <c r="AR135" s="1359"/>
      <c r="AS135" s="1360"/>
      <c r="AT135" s="1360"/>
      <c r="AU135" s="1360"/>
      <c r="AV135" s="1360"/>
      <c r="AW135" s="1360"/>
      <c r="AX135" s="1360"/>
      <c r="AY135" s="1360"/>
      <c r="AZ135" s="1360"/>
      <c r="BA135" s="1360"/>
      <c r="BB135" s="1360"/>
      <c r="BC135" s="1360"/>
      <c r="BD135" s="1360"/>
      <c r="BE135" s="1360"/>
      <c r="BF135" s="1360"/>
      <c r="BG135" s="1360"/>
      <c r="BH135" s="1360"/>
      <c r="BI135" s="1360"/>
      <c r="BJ135" s="1360"/>
      <c r="BK135" s="1360"/>
      <c r="BL135" s="1360"/>
      <c r="BM135" s="1360"/>
      <c r="BN135" s="1360"/>
      <c r="BO135" s="1360"/>
      <c r="BP135" s="1360"/>
      <c r="BQ135" s="1360"/>
      <c r="BR135" s="1360"/>
      <c r="BS135" s="1360"/>
      <c r="BT135" s="1360"/>
      <c r="BU135" s="1361"/>
      <c r="BV135" s="398"/>
      <c r="BW135" s="263"/>
      <c r="BX135" s="263"/>
      <c r="BY135" s="263"/>
      <c r="BZ135" s="264"/>
    </row>
    <row r="136" spans="1:78" s="99" customFormat="1" ht="14.1" hidden="1" customHeight="1" outlineLevel="1" x14ac:dyDescent="0.2">
      <c r="A136"/>
      <c r="B136"/>
      <c r="C136" s="409" t="str">
        <f>C48</f>
        <v>Bull</v>
      </c>
      <c r="D136" s="382"/>
      <c r="E136" s="434"/>
      <c r="F136" s="434"/>
      <c r="G136" s="1352"/>
      <c r="H136" s="1352"/>
      <c r="I136" s="1352"/>
      <c r="J136" s="1352"/>
      <c r="K136" s="1352"/>
      <c r="L136" s="1352"/>
      <c r="M136" s="1352"/>
      <c r="N136" s="1352"/>
      <c r="O136" s="1353"/>
      <c r="P136" s="382"/>
      <c r="Q136" s="382"/>
      <c r="R136" s="409" t="str">
        <f t="shared" si="97"/>
        <v>Bull</v>
      </c>
      <c r="S136" s="398"/>
      <c r="T136" s="263"/>
      <c r="U136" s="263"/>
      <c r="V136" s="263"/>
      <c r="W136" s="264"/>
      <c r="X136" s="398"/>
      <c r="Y136" s="263"/>
      <c r="Z136" s="263"/>
      <c r="AA136" s="263"/>
      <c r="AB136" s="264"/>
      <c r="AC136" s="398"/>
      <c r="AD136" s="263"/>
      <c r="AE136" s="263"/>
      <c r="AF136" s="263"/>
      <c r="AG136" s="264"/>
      <c r="AH136" s="398"/>
      <c r="AI136" s="263"/>
      <c r="AJ136" s="263"/>
      <c r="AK136" s="263"/>
      <c r="AL136" s="264"/>
      <c r="AM136" s="398"/>
      <c r="AN136" s="263"/>
      <c r="AO136" s="263"/>
      <c r="AP136" s="263"/>
      <c r="AQ136" s="264"/>
      <c r="AR136" s="1359"/>
      <c r="AS136" s="1360"/>
      <c r="AT136" s="1360"/>
      <c r="AU136" s="1360"/>
      <c r="AV136" s="1360"/>
      <c r="AW136" s="1360"/>
      <c r="AX136" s="1360"/>
      <c r="AY136" s="1360"/>
      <c r="AZ136" s="1360"/>
      <c r="BA136" s="1360"/>
      <c r="BB136" s="1360"/>
      <c r="BC136" s="1360"/>
      <c r="BD136" s="1360"/>
      <c r="BE136" s="1360"/>
      <c r="BF136" s="1360"/>
      <c r="BG136" s="1360"/>
      <c r="BH136" s="1360"/>
      <c r="BI136" s="1360"/>
      <c r="BJ136" s="1360"/>
      <c r="BK136" s="1360"/>
      <c r="BL136" s="1360"/>
      <c r="BM136" s="1360"/>
      <c r="BN136" s="1360"/>
      <c r="BO136" s="1360"/>
      <c r="BP136" s="1360"/>
      <c r="BQ136" s="1360"/>
      <c r="BR136" s="1360"/>
      <c r="BS136" s="1360"/>
      <c r="BT136" s="1360"/>
      <c r="BU136" s="1361"/>
      <c r="BV136" s="398"/>
      <c r="BW136" s="263"/>
      <c r="BX136" s="263"/>
      <c r="BY136" s="263"/>
      <c r="BZ136" s="264"/>
    </row>
    <row r="137" spans="1:78" ht="14.1" hidden="1" customHeight="1" outlineLevel="1" x14ac:dyDescent="0.2">
      <c r="C137" s="410" t="str">
        <f>C49</f>
        <v>Bear</v>
      </c>
      <c r="D137" s="428"/>
      <c r="E137" s="436"/>
      <c r="F137" s="436"/>
      <c r="G137" s="1354"/>
      <c r="H137" s="1354"/>
      <c r="I137" s="1354"/>
      <c r="J137" s="1354"/>
      <c r="K137" s="1354"/>
      <c r="L137" s="1354"/>
      <c r="M137" s="1354"/>
      <c r="N137" s="1354"/>
      <c r="O137" s="1355"/>
      <c r="P137" s="382"/>
      <c r="Q137" s="382"/>
      <c r="R137" s="409" t="str">
        <f t="shared" si="97"/>
        <v>Bear</v>
      </c>
      <c r="S137" s="399"/>
      <c r="T137" s="267"/>
      <c r="U137" s="267"/>
      <c r="V137" s="267"/>
      <c r="W137" s="268"/>
      <c r="X137" s="399"/>
      <c r="Y137" s="267"/>
      <c r="Z137" s="267"/>
      <c r="AA137" s="267"/>
      <c r="AB137" s="268"/>
      <c r="AC137" s="399"/>
      <c r="AD137" s="267"/>
      <c r="AE137" s="267"/>
      <c r="AF137" s="267"/>
      <c r="AG137" s="268"/>
      <c r="AH137" s="399"/>
      <c r="AI137" s="267"/>
      <c r="AJ137" s="267"/>
      <c r="AK137" s="267"/>
      <c r="AL137" s="268"/>
      <c r="AM137" s="399"/>
      <c r="AN137" s="267"/>
      <c r="AO137" s="267"/>
      <c r="AP137" s="267"/>
      <c r="AQ137" s="268"/>
      <c r="AR137" s="1362"/>
      <c r="AS137" s="1363"/>
      <c r="AT137" s="1363"/>
      <c r="AU137" s="1363"/>
      <c r="AV137" s="1363"/>
      <c r="AW137" s="1363"/>
      <c r="AX137" s="1363"/>
      <c r="AY137" s="1363"/>
      <c r="AZ137" s="1363"/>
      <c r="BA137" s="1363"/>
      <c r="BB137" s="1363"/>
      <c r="BC137" s="1363"/>
      <c r="BD137" s="1363"/>
      <c r="BE137" s="1363"/>
      <c r="BF137" s="1363"/>
      <c r="BG137" s="1363"/>
      <c r="BH137" s="1363"/>
      <c r="BI137" s="1363"/>
      <c r="BJ137" s="1363"/>
      <c r="BK137" s="1363"/>
      <c r="BL137" s="1363"/>
      <c r="BM137" s="1363"/>
      <c r="BN137" s="1363"/>
      <c r="BO137" s="1363"/>
      <c r="BP137" s="1363"/>
      <c r="BQ137" s="1363"/>
      <c r="BR137" s="1363"/>
      <c r="BS137" s="1363"/>
      <c r="BT137" s="1363"/>
      <c r="BU137" s="1364"/>
      <c r="BV137" s="399"/>
      <c r="BW137" s="267"/>
      <c r="BX137" s="267"/>
      <c r="BY137" s="267"/>
      <c r="BZ137" s="268"/>
    </row>
    <row r="138" spans="1:78" ht="14.1" hidden="1" customHeight="1" outlineLevel="1" x14ac:dyDescent="0.2">
      <c r="C138" s="408" t="str">
        <f>'Income Statement'!C12</f>
        <v>Purchased transportation</v>
      </c>
      <c r="D138" s="401">
        <f>W138</f>
        <v>107.702</v>
      </c>
      <c r="E138" s="401">
        <f>AB138</f>
        <v>123.904</v>
      </c>
      <c r="F138" s="401">
        <f>AG138</f>
        <v>129.97999999999999</v>
      </c>
      <c r="G138" s="401">
        <f>AL138</f>
        <v>141.369</v>
      </c>
      <c r="H138" s="401">
        <f>AQ138</f>
        <v>249.71</v>
      </c>
      <c r="I138" s="401">
        <f>AV138</f>
        <v>315.89600000000002</v>
      </c>
      <c r="J138" s="401">
        <f>BA138</f>
        <v>238.68799999999999</v>
      </c>
      <c r="K138" s="401">
        <f>BF138</f>
        <v>244.58200000000002</v>
      </c>
      <c r="L138" s="401">
        <f>BK138</f>
        <v>244.58200000000002</v>
      </c>
      <c r="M138" s="401">
        <f>BP138</f>
        <v>244.58200000000002</v>
      </c>
      <c r="N138" s="401">
        <f>BU138</f>
        <v>244.58200000000002</v>
      </c>
      <c r="O138" s="407">
        <f>BZ138</f>
        <v>244.58200000000002</v>
      </c>
      <c r="P138" s="382"/>
      <c r="Q138" s="382"/>
      <c r="R138" s="411" t="str">
        <f t="shared" si="97"/>
        <v>Purchased transportation</v>
      </c>
      <c r="S138" s="400">
        <f>'Income Statement'!S12</f>
        <v>20.82</v>
      </c>
      <c r="T138" s="401">
        <f>'Income Statement'!T12</f>
        <v>22.363</v>
      </c>
      <c r="U138" s="401">
        <f>'Income Statement'!U12</f>
        <v>23.074000000000002</v>
      </c>
      <c r="V138" s="401">
        <f>'Income Statement'!V12</f>
        <v>41.444999999999993</v>
      </c>
      <c r="W138" s="402">
        <f>SUM(S138:V138)</f>
        <v>107.702</v>
      </c>
      <c r="X138" s="400">
        <f>'Income Statement'!X12</f>
        <v>29.916</v>
      </c>
      <c r="Y138" s="401">
        <f>'Income Statement'!Y12</f>
        <v>34.113</v>
      </c>
      <c r="Z138" s="401">
        <f>'Income Statement'!Z12</f>
        <v>31.216000000000001</v>
      </c>
      <c r="AA138" s="401">
        <f>'Income Statement'!AA12</f>
        <v>28.658999999999992</v>
      </c>
      <c r="AB138" s="402">
        <f>SUM(X138:AA138)</f>
        <v>123.904</v>
      </c>
      <c r="AC138" s="400">
        <f>'Income Statement'!AC12</f>
        <v>28.417999999999999</v>
      </c>
      <c r="AD138" s="401">
        <f>'Income Statement'!AD12</f>
        <v>34.154000000000003</v>
      </c>
      <c r="AE138" s="401">
        <f>'Income Statement'!AE12</f>
        <v>35.843000000000004</v>
      </c>
      <c r="AF138" s="401">
        <f>'Income Statement'!AF12</f>
        <v>31.564999999999984</v>
      </c>
      <c r="AG138" s="402">
        <f>SUM(AC138:AF138)</f>
        <v>129.97999999999999</v>
      </c>
      <c r="AH138" s="400">
        <f>'Income Statement'!AH12</f>
        <v>30.059000000000001</v>
      </c>
      <c r="AI138" s="401">
        <f>'Income Statement'!AI12</f>
        <v>26.405999999999999</v>
      </c>
      <c r="AJ138" s="401">
        <f>'Income Statement'!AJ12</f>
        <v>40.052999999999997</v>
      </c>
      <c r="AK138" s="401">
        <f>'Income Statement'!AK12</f>
        <v>44.850999999999999</v>
      </c>
      <c r="AL138" s="402">
        <f>SUM(AH138:AK138)</f>
        <v>141.369</v>
      </c>
      <c r="AM138" s="400">
        <f>'Income Statement'!AM12</f>
        <v>45.030999999999999</v>
      </c>
      <c r="AN138" s="401">
        <f>'Income Statement'!AN12</f>
        <v>62.481000000000002</v>
      </c>
      <c r="AO138" s="401">
        <f>'Income Statement'!AO12</f>
        <v>72.192999999999998</v>
      </c>
      <c r="AP138" s="401">
        <f>'Income Statement'!AP12</f>
        <v>70.005000000000024</v>
      </c>
      <c r="AQ138" s="402">
        <f>SUM(AM138:AP138)</f>
        <v>249.71</v>
      </c>
      <c r="AR138" s="400">
        <f>'Income Statement'!AR12</f>
        <v>78.248000000000005</v>
      </c>
      <c r="AS138" s="401">
        <f>'Income Statement'!AS12</f>
        <v>91.819000000000003</v>
      </c>
      <c r="AT138" s="401">
        <f>'Income Statement'!AT12</f>
        <v>85.451999999999998</v>
      </c>
      <c r="AU138" s="401">
        <f>'Income Statement'!AU12</f>
        <v>60.37700000000001</v>
      </c>
      <c r="AV138" s="402">
        <f>SUM(AR138:AU138)</f>
        <v>315.89600000000002</v>
      </c>
      <c r="AW138" s="400">
        <f>'Income Statement'!AW12</f>
        <v>46.726999999999997</v>
      </c>
      <c r="AX138" s="401">
        <f>'Income Statement'!AX12</f>
        <v>49.771000000000001</v>
      </c>
      <c r="AY138" s="401">
        <f>'Income Statement'!AY12</f>
        <v>76.745999999999995</v>
      </c>
      <c r="AZ138" s="401">
        <f>'Income Statement'!AZ12</f>
        <v>65.444000000000017</v>
      </c>
      <c r="BA138" s="402">
        <f>SUM(AW138:AZ138)</f>
        <v>238.68799999999999</v>
      </c>
      <c r="BB138" s="400">
        <f>'Income Statement'!BB12</f>
        <v>52.506999999999998</v>
      </c>
      <c r="BC138" s="401">
        <f>'Income Statement'!BC12</f>
        <v>61.046999999999997</v>
      </c>
      <c r="BD138" s="401">
        <f>'Income Statement'!BD12</f>
        <v>65.584000000000003</v>
      </c>
      <c r="BE138" s="401">
        <f>AZ138*(1+BE139)</f>
        <v>65.444000000000017</v>
      </c>
      <c r="BF138" s="402">
        <f>SUM(BB138:BE138)</f>
        <v>244.58200000000002</v>
      </c>
      <c r="BG138" s="400">
        <f>BB138*(1+BG139)</f>
        <v>52.506999999999998</v>
      </c>
      <c r="BH138" s="401">
        <f>BC138*(1+BH139)</f>
        <v>61.046999999999997</v>
      </c>
      <c r="BI138" s="401">
        <f>BD138*(1+BI139)</f>
        <v>65.584000000000003</v>
      </c>
      <c r="BJ138" s="401">
        <f>BE138*(1+BJ139)</f>
        <v>65.444000000000017</v>
      </c>
      <c r="BK138" s="402">
        <f>SUM(BG138:BJ138)</f>
        <v>244.58200000000002</v>
      </c>
      <c r="BL138" s="400">
        <f>BG138*(1+BL139)</f>
        <v>52.506999999999998</v>
      </c>
      <c r="BM138" s="401">
        <f>BH138*(1+BM139)</f>
        <v>61.046999999999997</v>
      </c>
      <c r="BN138" s="401">
        <f>BI138*(1+BN139)</f>
        <v>65.584000000000003</v>
      </c>
      <c r="BO138" s="401">
        <f>BJ138*(1+BO139)</f>
        <v>65.444000000000017</v>
      </c>
      <c r="BP138" s="402">
        <f>SUM(BL138:BO138)</f>
        <v>244.58200000000002</v>
      </c>
      <c r="BQ138" s="400">
        <f>BL138*(1+BQ139)</f>
        <v>52.506999999999998</v>
      </c>
      <c r="BR138" s="401">
        <f>BM138*(1+BR139)</f>
        <v>61.046999999999997</v>
      </c>
      <c r="BS138" s="401">
        <f>BN138*(1+BS139)</f>
        <v>65.584000000000003</v>
      </c>
      <c r="BT138" s="401">
        <f>BO138*(1+BT139)</f>
        <v>65.444000000000017</v>
      </c>
      <c r="BU138" s="402">
        <f>SUM(BQ138:BT138)</f>
        <v>244.58200000000002</v>
      </c>
      <c r="BV138" s="400">
        <f>BQ138*(1+BV139)</f>
        <v>52.506999999999998</v>
      </c>
      <c r="BW138" s="401">
        <f>BR138*(1+BW139)</f>
        <v>61.046999999999997</v>
      </c>
      <c r="BX138" s="401">
        <f>BS138*(1+BX139)</f>
        <v>65.584000000000003</v>
      </c>
      <c r="BY138" s="401">
        <f>BT138*(1+BY139)</f>
        <v>65.444000000000017</v>
      </c>
      <c r="BZ138" s="402">
        <f>SUM(BV138:BY138)</f>
        <v>244.58200000000002</v>
      </c>
    </row>
    <row r="139" spans="1:78" ht="14.1" hidden="1" customHeight="1" outlineLevel="1" x14ac:dyDescent="0.2">
      <c r="C139" s="412" t="str">
        <f>C133</f>
        <v>Growth %</v>
      </c>
      <c r="D139" s="429"/>
      <c r="E139" s="430">
        <f t="shared" ref="E139:O139" si="100">IFERROR(E138/D138-1,"NM")</f>
        <v>0.1504336038327978</v>
      </c>
      <c r="F139" s="430">
        <f t="shared" si="100"/>
        <v>4.9037964876033069E-2</v>
      </c>
      <c r="G139" s="430">
        <f t="shared" si="100"/>
        <v>8.7621172488075105E-2</v>
      </c>
      <c r="H139" s="430">
        <f t="shared" si="100"/>
        <v>0.76637027919840994</v>
      </c>
      <c r="I139" s="430">
        <f t="shared" si="100"/>
        <v>0.26505145969324428</v>
      </c>
      <c r="J139" s="430">
        <f t="shared" si="100"/>
        <v>-0.24440955251095309</v>
      </c>
      <c r="K139" s="430">
        <f t="shared" si="100"/>
        <v>2.4693323501810083E-2</v>
      </c>
      <c r="L139" s="430">
        <f t="shared" si="100"/>
        <v>0</v>
      </c>
      <c r="M139" s="430">
        <f t="shared" si="100"/>
        <v>0</v>
      </c>
      <c r="N139" s="430">
        <f t="shared" si="100"/>
        <v>0</v>
      </c>
      <c r="O139" s="431">
        <f t="shared" si="100"/>
        <v>0</v>
      </c>
      <c r="P139" s="382"/>
      <c r="Q139" s="382"/>
      <c r="R139" s="412" t="str">
        <f>R133</f>
        <v>Growth %</v>
      </c>
      <c r="S139" s="405"/>
      <c r="T139" s="406"/>
      <c r="U139" s="406"/>
      <c r="V139" s="406"/>
      <c r="W139" s="404"/>
      <c r="X139" s="405">
        <f t="shared" ref="X139:BD139" si="101">IFERROR(X138/S138-1,"NM")</f>
        <v>0.43688760806916416</v>
      </c>
      <c r="Y139" s="406">
        <f t="shared" si="101"/>
        <v>0.52542145508205529</v>
      </c>
      <c r="Z139" s="406">
        <f t="shared" si="101"/>
        <v>0.35286469619485139</v>
      </c>
      <c r="AA139" s="406">
        <f t="shared" si="101"/>
        <v>-0.30850524791892875</v>
      </c>
      <c r="AB139" s="404">
        <f t="shared" si="101"/>
        <v>0.1504336038327978</v>
      </c>
      <c r="AC139" s="405">
        <f t="shared" si="101"/>
        <v>-5.0073539243214338E-2</v>
      </c>
      <c r="AD139" s="406">
        <f t="shared" si="101"/>
        <v>1.2018878433441849E-3</v>
      </c>
      <c r="AE139" s="406">
        <f t="shared" si="101"/>
        <v>0.148225269092773</v>
      </c>
      <c r="AF139" s="406">
        <f t="shared" si="101"/>
        <v>0.10139921141700659</v>
      </c>
      <c r="AG139" s="404">
        <f t="shared" si="101"/>
        <v>4.9037964876033069E-2</v>
      </c>
      <c r="AH139" s="405">
        <f t="shared" si="101"/>
        <v>5.7745091139418836E-2</v>
      </c>
      <c r="AI139" s="406">
        <f t="shared" si="101"/>
        <v>-0.22685483398723438</v>
      </c>
      <c r="AJ139" s="406">
        <f t="shared" si="101"/>
        <v>0.11745668610328353</v>
      </c>
      <c r="AK139" s="406">
        <f t="shared" si="101"/>
        <v>0.42090923491208687</v>
      </c>
      <c r="AL139" s="404">
        <f t="shared" si="101"/>
        <v>8.7621172488075105E-2</v>
      </c>
      <c r="AM139" s="405">
        <f t="shared" si="101"/>
        <v>0.49808709537908769</v>
      </c>
      <c r="AN139" s="406">
        <f t="shared" si="101"/>
        <v>1.3661667802772097</v>
      </c>
      <c r="AO139" s="406">
        <f t="shared" si="101"/>
        <v>0.80243677127805668</v>
      </c>
      <c r="AP139" s="406">
        <f t="shared" si="101"/>
        <v>0.56083476399634402</v>
      </c>
      <c r="AQ139" s="404">
        <f t="shared" si="101"/>
        <v>0.76637027919840994</v>
      </c>
      <c r="AR139" s="405">
        <f t="shared" si="101"/>
        <v>0.73764739845883964</v>
      </c>
      <c r="AS139" s="406">
        <f t="shared" si="101"/>
        <v>0.46955074342600156</v>
      </c>
      <c r="AT139" s="406">
        <f t="shared" si="101"/>
        <v>0.18366046569612005</v>
      </c>
      <c r="AU139" s="406">
        <f t="shared" si="101"/>
        <v>-0.13753303335476053</v>
      </c>
      <c r="AV139" s="404">
        <f t="shared" si="101"/>
        <v>0.26505145969324428</v>
      </c>
      <c r="AW139" s="405">
        <f t="shared" si="101"/>
        <v>-0.40283457724159089</v>
      </c>
      <c r="AX139" s="406">
        <f t="shared" si="101"/>
        <v>-0.4579444341585075</v>
      </c>
      <c r="AY139" s="406">
        <f t="shared" si="101"/>
        <v>-0.10188175818003098</v>
      </c>
      <c r="AZ139" s="406">
        <f t="shared" si="101"/>
        <v>8.3922685790946971E-2</v>
      </c>
      <c r="BA139" s="404">
        <f t="shared" si="101"/>
        <v>-0.24440955251095309</v>
      </c>
      <c r="BB139" s="405">
        <f t="shared" si="101"/>
        <v>0.12369722002268491</v>
      </c>
      <c r="BC139" s="406">
        <f t="shared" si="101"/>
        <v>0.22655763396355288</v>
      </c>
      <c r="BD139" s="406">
        <f t="shared" si="101"/>
        <v>-0.1454408047324941</v>
      </c>
      <c r="BE139" s="406">
        <f>INDEX($BE$140:$BZ$143,MATCH($O$3,$C$46:$C$49,0),MATCH(BE$75,$BE$75:$BZ$75,0))</f>
        <v>0</v>
      </c>
      <c r="BF139" s="404">
        <f>BF138/BA138-1</f>
        <v>2.4693323501810083E-2</v>
      </c>
      <c r="BG139" s="406">
        <f>INDEX($BE$140:$BZ$143,MATCH($O$3,$C$46:$C$49,0),MATCH(BG$75,$BE$75:$BZ$75,0))</f>
        <v>0</v>
      </c>
      <c r="BH139" s="406">
        <f>INDEX($BE$140:$BZ$143,MATCH($O$3,$C$46:$C$49,0),MATCH(BH$75,$BE$75:$BZ$75,0))</f>
        <v>0</v>
      </c>
      <c r="BI139" s="406">
        <f>INDEX($BE$140:$BZ$143,MATCH($O$3,$C$46:$C$49,0),MATCH(BI$75,$BE$75:$BZ$75,0))</f>
        <v>0</v>
      </c>
      <c r="BJ139" s="406">
        <f>INDEX($BE$140:$BZ$143,MATCH($O$3,$C$46:$C$49,0),MATCH(BJ$75,$BE$75:$BZ$75,0))</f>
        <v>0</v>
      </c>
      <c r="BK139" s="404">
        <f>BK138/BF138-1</f>
        <v>0</v>
      </c>
      <c r="BL139" s="405">
        <f>INDEX($BE$140:$BZ$143,MATCH($O$3,$C$46:$C$49,0),MATCH(BL$75,$BE$75:$BZ$75,0))</f>
        <v>0</v>
      </c>
      <c r="BM139" s="406">
        <f>INDEX($BE$140:$BZ$143,MATCH($O$3,$C$46:$C$49,0),MATCH(BM$75,$BE$75:$BZ$75,0))</f>
        <v>0</v>
      </c>
      <c r="BN139" s="406">
        <f>INDEX($BE$140:$BZ$143,MATCH($O$3,$C$46:$C$49,0),MATCH(BN$75,$BE$75:$BZ$75,0))</f>
        <v>0</v>
      </c>
      <c r="BO139" s="406">
        <f>INDEX($BE$140:$BZ$143,MATCH($O$3,$C$46:$C$49,0),MATCH(BO$75,$BE$75:$BZ$75,0))</f>
        <v>0</v>
      </c>
      <c r="BP139" s="404">
        <f>BP138/BK138-1</f>
        <v>0</v>
      </c>
      <c r="BQ139" s="405">
        <f>INDEX($BE$140:$BZ$143,MATCH($O$3,$C$46:$C$49,0),MATCH(BQ$75,$BE$75:$BZ$75,0))</f>
        <v>0</v>
      </c>
      <c r="BR139" s="406">
        <f>INDEX($BE$140:$BZ$143,MATCH($O$3,$C$46:$C$49,0),MATCH(BR$75,$BE$75:$BZ$75,0))</f>
        <v>0</v>
      </c>
      <c r="BS139" s="406">
        <f>INDEX($BE$140:$BZ$143,MATCH($O$3,$C$46:$C$49,0),MATCH(BS$75,$BE$75:$BZ$75,0))</f>
        <v>0</v>
      </c>
      <c r="BT139" s="406">
        <f>INDEX($BE$140:$BZ$143,MATCH($O$3,$C$46:$C$49,0),MATCH(BT$75,$BE$75:$BZ$75,0))</f>
        <v>0</v>
      </c>
      <c r="BU139" s="404">
        <f>BU138/BP138-1</f>
        <v>0</v>
      </c>
      <c r="BV139" s="405">
        <f>INDEX($BE$140:$BZ$143,MATCH($O$3,$C$46:$C$49,0),MATCH(BV$75,$BE$75:$BZ$75,0))</f>
        <v>0</v>
      </c>
      <c r="BW139" s="406">
        <f>INDEX($BE$140:$BZ$143,MATCH($O$3,$C$46:$C$49,0),MATCH(BW$75,$BE$75:$BZ$75,0))</f>
        <v>0</v>
      </c>
      <c r="BX139" s="406">
        <f>INDEX($BE$140:$BZ$143,MATCH($O$3,$C$46:$C$49,0),MATCH(BX$75,$BE$75:$BZ$75,0))</f>
        <v>0</v>
      </c>
      <c r="BY139" s="406">
        <f>INDEX($BE$140:$BZ$143,MATCH($O$3,$C$46:$C$49,0),MATCH(BY$75,$BE$75:$BZ$75,0))</f>
        <v>0</v>
      </c>
      <c r="BZ139" s="404">
        <f>BZ138/BU138-1</f>
        <v>0</v>
      </c>
    </row>
    <row r="140" spans="1:78" ht="14.1" hidden="1" customHeight="1" outlineLevel="1" x14ac:dyDescent="0.2">
      <c r="C140" s="427" t="str">
        <f>C134</f>
        <v>Reversed</v>
      </c>
      <c r="D140" s="401"/>
      <c r="E140" s="432"/>
      <c r="F140" s="432"/>
      <c r="G140" s="432"/>
      <c r="H140" s="432"/>
      <c r="I140" s="432"/>
      <c r="J140" s="432"/>
      <c r="K140" s="432"/>
      <c r="L140" s="432"/>
      <c r="M140" s="432"/>
      <c r="N140" s="432"/>
      <c r="O140" s="433"/>
      <c r="P140" s="382"/>
      <c r="Q140" s="382"/>
      <c r="R140" s="409" t="str">
        <f>C140</f>
        <v>Reversed</v>
      </c>
      <c r="S140" s="398"/>
      <c r="T140" s="263"/>
      <c r="U140" s="263"/>
      <c r="V140" s="263"/>
      <c r="W140" s="264"/>
      <c r="X140" s="398"/>
      <c r="Y140" s="263"/>
      <c r="Z140" s="263"/>
      <c r="AA140" s="263"/>
      <c r="AB140" s="264"/>
      <c r="AC140" s="398"/>
      <c r="AD140" s="263"/>
      <c r="AE140" s="263"/>
      <c r="AF140" s="263"/>
      <c r="AG140" s="264"/>
      <c r="AH140" s="398"/>
      <c r="AI140" s="263"/>
      <c r="AJ140" s="263"/>
      <c r="AK140" s="263"/>
      <c r="AL140" s="264"/>
      <c r="AM140" s="398"/>
      <c r="AN140" s="263"/>
      <c r="AO140" s="263"/>
      <c r="AP140" s="263"/>
      <c r="AQ140" s="264"/>
      <c r="AR140" s="398"/>
      <c r="AS140" s="263"/>
      <c r="AT140" s="263"/>
      <c r="AU140" s="263"/>
      <c r="AV140" s="264"/>
      <c r="AW140" s="398"/>
      <c r="AX140" s="263"/>
      <c r="AY140" s="263"/>
      <c r="AZ140" s="263"/>
      <c r="BA140" s="264"/>
      <c r="BB140" s="398"/>
      <c r="BC140" s="263"/>
      <c r="BD140" s="263"/>
      <c r="BE140" s="263">
        <v>2.4E-2</v>
      </c>
      <c r="BF140" s="264"/>
      <c r="BG140" s="398">
        <v>4.2999999999999997E-2</v>
      </c>
      <c r="BH140" s="263">
        <v>5.8000000000000003E-2</v>
      </c>
      <c r="BI140" s="263">
        <v>5.5E-2</v>
      </c>
      <c r="BJ140" s="263">
        <v>6.0999999999999999E-2</v>
      </c>
      <c r="BK140" s="264"/>
      <c r="BL140" s="398">
        <v>6.9000000000000006E-2</v>
      </c>
      <c r="BM140" s="263">
        <v>6.8000000000000005E-2</v>
      </c>
      <c r="BN140" s="263">
        <v>6.4000000000000001E-2</v>
      </c>
      <c r="BO140" s="263">
        <v>6.7000000000000004E-2</v>
      </c>
      <c r="BP140" s="264"/>
      <c r="BQ140" s="398">
        <v>6.9000000000000006E-2</v>
      </c>
      <c r="BR140" s="263">
        <v>6.8000000000000005E-2</v>
      </c>
      <c r="BS140" s="263">
        <v>6.4000000000000001E-2</v>
      </c>
      <c r="BT140" s="263">
        <v>6.7000000000000004E-2</v>
      </c>
      <c r="BU140" s="264"/>
      <c r="BV140" s="398">
        <v>6.9000000000000006E-2</v>
      </c>
      <c r="BW140" s="263">
        <v>6.8000000000000005E-2</v>
      </c>
      <c r="BX140" s="263">
        <v>6.4000000000000001E-2</v>
      </c>
      <c r="BY140" s="263">
        <v>6.7000000000000004E-2</v>
      </c>
      <c r="BZ140" s="264"/>
    </row>
    <row r="141" spans="1:78" ht="14.1" hidden="1" customHeight="1" outlineLevel="1" x14ac:dyDescent="0.2">
      <c r="C141" s="409" t="str">
        <f>C135</f>
        <v>Base</v>
      </c>
      <c r="D141" s="382"/>
      <c r="E141" s="434"/>
      <c r="F141" s="434"/>
      <c r="G141" s="434"/>
      <c r="H141" s="434"/>
      <c r="I141" s="434"/>
      <c r="J141" s="434"/>
      <c r="K141" s="434"/>
      <c r="L141" s="434"/>
      <c r="M141" s="434"/>
      <c r="N141" s="434"/>
      <c r="O141" s="435"/>
      <c r="P141" s="382"/>
      <c r="Q141" s="382"/>
      <c r="R141" s="409" t="str">
        <f>C141</f>
        <v>Base</v>
      </c>
      <c r="S141" s="398"/>
      <c r="T141" s="263"/>
      <c r="U141" s="263"/>
      <c r="V141" s="263"/>
      <c r="W141" s="264"/>
      <c r="X141" s="398"/>
      <c r="Y141" s="263"/>
      <c r="Z141" s="263"/>
      <c r="AA141" s="263"/>
      <c r="AB141" s="264"/>
      <c r="AC141" s="398"/>
      <c r="AD141" s="263"/>
      <c r="AE141" s="263"/>
      <c r="AF141" s="263"/>
      <c r="AG141" s="264"/>
      <c r="AH141" s="398"/>
      <c r="AI141" s="263"/>
      <c r="AJ141" s="263"/>
      <c r="AK141" s="263"/>
      <c r="AL141" s="264"/>
      <c r="AM141" s="398"/>
      <c r="AN141" s="263"/>
      <c r="AO141" s="263"/>
      <c r="AP141" s="263"/>
      <c r="AQ141" s="264"/>
      <c r="AR141" s="398"/>
      <c r="AS141" s="263"/>
      <c r="AT141" s="263"/>
      <c r="AU141" s="263"/>
      <c r="AV141" s="264"/>
      <c r="AW141" s="398"/>
      <c r="AX141" s="263"/>
      <c r="AY141" s="263"/>
      <c r="AZ141" s="263"/>
      <c r="BA141" s="264"/>
      <c r="BB141" s="398"/>
      <c r="BC141" s="263"/>
      <c r="BD141" s="263"/>
      <c r="BE141" s="263"/>
      <c r="BF141" s="264"/>
      <c r="BG141" s="398"/>
      <c r="BH141" s="263"/>
      <c r="BI141" s="263"/>
      <c r="BJ141" s="263"/>
      <c r="BK141" s="264"/>
      <c r="BL141" s="398"/>
      <c r="BM141" s="263"/>
      <c r="BN141" s="263"/>
      <c r="BO141" s="263"/>
      <c r="BP141" s="264"/>
      <c r="BQ141" s="398"/>
      <c r="BR141" s="263"/>
      <c r="BS141" s="263"/>
      <c r="BT141" s="263"/>
      <c r="BU141" s="264"/>
      <c r="BV141" s="398"/>
      <c r="BW141" s="263"/>
      <c r="BX141" s="263"/>
      <c r="BY141" s="263"/>
      <c r="BZ141" s="264"/>
    </row>
    <row r="142" spans="1:78" ht="14.1" hidden="1" customHeight="1" outlineLevel="1" x14ac:dyDescent="0.2">
      <c r="C142" s="409" t="str">
        <f>C136</f>
        <v>Bull</v>
      </c>
      <c r="D142" s="382"/>
      <c r="E142" s="434"/>
      <c r="F142" s="434"/>
      <c r="G142" s="434"/>
      <c r="H142" s="434"/>
      <c r="I142" s="434"/>
      <c r="J142" s="434"/>
      <c r="K142" s="434"/>
      <c r="L142" s="434"/>
      <c r="M142" s="434"/>
      <c r="N142" s="434"/>
      <c r="O142" s="435"/>
      <c r="P142" s="382"/>
      <c r="Q142" s="382"/>
      <c r="R142" s="409" t="str">
        <f>C142</f>
        <v>Bull</v>
      </c>
      <c r="S142" s="398"/>
      <c r="T142" s="263"/>
      <c r="U142" s="263"/>
      <c r="V142" s="263"/>
      <c r="W142" s="264"/>
      <c r="X142" s="398"/>
      <c r="Y142" s="263"/>
      <c r="Z142" s="263"/>
      <c r="AA142" s="263"/>
      <c r="AB142" s="264"/>
      <c r="AC142" s="398"/>
      <c r="AD142" s="263"/>
      <c r="AE142" s="263"/>
      <c r="AF142" s="263"/>
      <c r="AG142" s="264"/>
      <c r="AH142" s="398"/>
      <c r="AI142" s="263"/>
      <c r="AJ142" s="263"/>
      <c r="AK142" s="263"/>
      <c r="AL142" s="264"/>
      <c r="AM142" s="398"/>
      <c r="AN142" s="263"/>
      <c r="AO142" s="263"/>
      <c r="AP142" s="263"/>
      <c r="AQ142" s="264"/>
      <c r="AR142" s="398"/>
      <c r="AS142" s="263"/>
      <c r="AT142" s="263"/>
      <c r="AU142" s="263"/>
      <c r="AV142" s="264"/>
      <c r="AW142" s="398"/>
      <c r="AX142" s="263"/>
      <c r="AY142" s="263"/>
      <c r="AZ142" s="263"/>
      <c r="BA142" s="264"/>
      <c r="BB142" s="398"/>
      <c r="BC142" s="263"/>
      <c r="BD142" s="263"/>
      <c r="BE142" s="263"/>
      <c r="BF142" s="264"/>
      <c r="BG142" s="398"/>
      <c r="BH142" s="263"/>
      <c r="BI142" s="263"/>
      <c r="BJ142" s="263"/>
      <c r="BK142" s="264"/>
      <c r="BL142" s="398"/>
      <c r="BM142" s="263"/>
      <c r="BN142" s="263"/>
      <c r="BO142" s="263"/>
      <c r="BP142" s="264"/>
      <c r="BQ142" s="398"/>
      <c r="BR142" s="263"/>
      <c r="BS142" s="263"/>
      <c r="BT142" s="263"/>
      <c r="BU142" s="264"/>
      <c r="BV142" s="398"/>
      <c r="BW142" s="263"/>
      <c r="BX142" s="263"/>
      <c r="BY142" s="263"/>
      <c r="BZ142" s="264"/>
    </row>
    <row r="143" spans="1:78" ht="14.1" hidden="1" customHeight="1" outlineLevel="1" x14ac:dyDescent="0.2">
      <c r="C143" s="410" t="str">
        <f>C137</f>
        <v>Bear</v>
      </c>
      <c r="D143" s="428"/>
      <c r="E143" s="436"/>
      <c r="F143" s="436"/>
      <c r="G143" s="436"/>
      <c r="H143" s="436"/>
      <c r="I143" s="436"/>
      <c r="J143" s="436"/>
      <c r="K143" s="436"/>
      <c r="L143" s="436"/>
      <c r="M143" s="436"/>
      <c r="N143" s="436"/>
      <c r="O143" s="437"/>
      <c r="P143" s="382"/>
      <c r="Q143" s="382"/>
      <c r="R143" s="409" t="str">
        <f>C143</f>
        <v>Bear</v>
      </c>
      <c r="S143" s="399"/>
      <c r="T143" s="267"/>
      <c r="U143" s="267"/>
      <c r="V143" s="267"/>
      <c r="W143" s="268"/>
      <c r="X143" s="399"/>
      <c r="Y143" s="267"/>
      <c r="Z143" s="267"/>
      <c r="AA143" s="267"/>
      <c r="AB143" s="268"/>
      <c r="AC143" s="399"/>
      <c r="AD143" s="267"/>
      <c r="AE143" s="267"/>
      <c r="AF143" s="267"/>
      <c r="AG143" s="268"/>
      <c r="AH143" s="399"/>
      <c r="AI143" s="267"/>
      <c r="AJ143" s="267"/>
      <c r="AK143" s="267"/>
      <c r="AL143" s="268"/>
      <c r="AM143" s="399"/>
      <c r="AN143" s="267"/>
      <c r="AO143" s="267"/>
      <c r="AP143" s="267"/>
      <c r="AQ143" s="268"/>
      <c r="AR143" s="399"/>
      <c r="AS143" s="267"/>
      <c r="AT143" s="267"/>
      <c r="AU143" s="267"/>
      <c r="AV143" s="268"/>
      <c r="AW143" s="399"/>
      <c r="AX143" s="267"/>
      <c r="AY143" s="267"/>
      <c r="AZ143" s="267"/>
      <c r="BA143" s="268"/>
      <c r="BB143" s="399"/>
      <c r="BC143" s="267"/>
      <c r="BD143" s="267"/>
      <c r="BE143" s="267"/>
      <c r="BF143" s="268"/>
      <c r="BG143" s="399"/>
      <c r="BH143" s="267"/>
      <c r="BI143" s="267"/>
      <c r="BJ143" s="267"/>
      <c r="BK143" s="268"/>
      <c r="BL143" s="399"/>
      <c r="BM143" s="267"/>
      <c r="BN143" s="267"/>
      <c r="BO143" s="267"/>
      <c r="BP143" s="268"/>
      <c r="BQ143" s="399"/>
      <c r="BR143" s="267"/>
      <c r="BS143" s="267"/>
      <c r="BT143" s="267"/>
      <c r="BU143" s="268"/>
      <c r="BV143" s="399"/>
      <c r="BW143" s="267"/>
      <c r="BX143" s="267"/>
      <c r="BY143" s="267"/>
      <c r="BZ143" s="268"/>
    </row>
    <row r="144" spans="1:78" ht="14.1" hidden="1" customHeight="1" outlineLevel="1" x14ac:dyDescent="0.2">
      <c r="C144" s="408" t="str">
        <f>'Income Statement'!C13</f>
        <v>Fuel, operating expenses and supplies</v>
      </c>
      <c r="D144" s="401">
        <f>W144</f>
        <v>268.08999999999997</v>
      </c>
      <c r="E144" s="401">
        <f>AB144</f>
        <v>325</v>
      </c>
      <c r="F144" s="401">
        <f>AG144</f>
        <v>340.05599999999998</v>
      </c>
      <c r="G144" s="401">
        <f>AL144</f>
        <v>299.23399999999998</v>
      </c>
      <c r="H144" s="401">
        <f>AQ144</f>
        <v>381.904</v>
      </c>
      <c r="I144" s="401">
        <f>AV144</f>
        <v>558.45600000000002</v>
      </c>
      <c r="J144" s="401">
        <f>BA144</f>
        <v>563.68799999999999</v>
      </c>
      <c r="K144" s="401">
        <f>BF144</f>
        <v>620.22599999999989</v>
      </c>
      <c r="L144" s="401">
        <f>BK144</f>
        <v>620.22599999999989</v>
      </c>
      <c r="M144" s="401">
        <f>BP144</f>
        <v>620.22599999999989</v>
      </c>
      <c r="N144" s="401">
        <f>BU144</f>
        <v>620.22599999999989</v>
      </c>
      <c r="O144" s="407">
        <f>BZ144</f>
        <v>620.22599999999989</v>
      </c>
      <c r="P144" s="382"/>
      <c r="Q144" s="382"/>
      <c r="R144" s="411" t="str">
        <f>C144</f>
        <v>Fuel, operating expenses and supplies</v>
      </c>
      <c r="S144" s="400">
        <f>'Income Statement'!S13</f>
        <v>63.99</v>
      </c>
      <c r="T144" s="401">
        <f>'Income Statement'!T13</f>
        <v>66.091999999999999</v>
      </c>
      <c r="U144" s="401">
        <f>'Income Statement'!U13</f>
        <v>66.679000000000002</v>
      </c>
      <c r="V144" s="401">
        <f>'Income Statement'!V13</f>
        <v>71.328999999999979</v>
      </c>
      <c r="W144" s="402">
        <f>'Income Statement'!W13</f>
        <v>268.08999999999997</v>
      </c>
      <c r="X144" s="400">
        <f>'Income Statement'!X13</f>
        <v>78.793999999999997</v>
      </c>
      <c r="Y144" s="401">
        <f>'Income Statement'!Y13</f>
        <v>84.745000000000005</v>
      </c>
      <c r="Z144" s="401">
        <f>'Income Statement'!Z13</f>
        <v>81.643000000000001</v>
      </c>
      <c r="AA144" s="401">
        <f>'Income Statement'!AA13</f>
        <v>79.818000000000012</v>
      </c>
      <c r="AB144" s="402">
        <f>'Income Statement'!AB13</f>
        <v>325</v>
      </c>
      <c r="AC144" s="400">
        <f>'Income Statement'!AC13</f>
        <v>83.543000000000006</v>
      </c>
      <c r="AD144" s="401">
        <f>'Income Statement'!AD13</f>
        <v>85.328000000000003</v>
      </c>
      <c r="AE144" s="401">
        <f>'Income Statement'!AE13</f>
        <v>84.259</v>
      </c>
      <c r="AF144" s="401">
        <f>'Income Statement'!AF13</f>
        <v>86.925999999999988</v>
      </c>
      <c r="AG144" s="402">
        <f>'Income Statement'!AG13</f>
        <v>340.05599999999998</v>
      </c>
      <c r="AH144" s="400">
        <f>'Income Statement'!AH13</f>
        <v>82.899000000000001</v>
      </c>
      <c r="AI144" s="401">
        <f>'Income Statement'!AI13</f>
        <v>65.902000000000001</v>
      </c>
      <c r="AJ144" s="401">
        <f>'Income Statement'!AJ13</f>
        <v>74.105999999999995</v>
      </c>
      <c r="AK144" s="401">
        <f>'Income Statement'!AK13</f>
        <v>76.326999999999998</v>
      </c>
      <c r="AL144" s="402">
        <f>'Income Statement'!AL13</f>
        <v>299.23399999999998</v>
      </c>
      <c r="AM144" s="400">
        <f>'Income Statement'!AM13</f>
        <v>84.900999999999996</v>
      </c>
      <c r="AN144" s="401">
        <f>'Income Statement'!AN13</f>
        <v>90.664000000000001</v>
      </c>
      <c r="AO144" s="401">
        <f>'Income Statement'!AO13</f>
        <v>98.834000000000003</v>
      </c>
      <c r="AP144" s="401">
        <f>'Income Statement'!AP13</f>
        <v>107.505</v>
      </c>
      <c r="AQ144" s="402">
        <f>'Income Statement'!AQ13</f>
        <v>381.904</v>
      </c>
      <c r="AR144" s="400">
        <f>'Income Statement'!AR13</f>
        <v>122.771</v>
      </c>
      <c r="AS144" s="401">
        <f>'Income Statement'!AS13</f>
        <v>145.53</v>
      </c>
      <c r="AT144" s="401">
        <f>'Income Statement'!AT13</f>
        <v>145.46100000000001</v>
      </c>
      <c r="AU144" s="401">
        <f>'Income Statement'!AU13</f>
        <v>144.69400000000002</v>
      </c>
      <c r="AV144" s="402">
        <f>'Income Statement'!AV13</f>
        <v>558.45600000000002</v>
      </c>
      <c r="AW144" s="400">
        <f>'Income Statement'!AW13</f>
        <v>141.625</v>
      </c>
      <c r="AX144" s="401">
        <f>'Income Statement'!AX13</f>
        <v>133.49</v>
      </c>
      <c r="AY144" s="401">
        <f>'Income Statement'!AY13</f>
        <v>144.28200000000001</v>
      </c>
      <c r="AZ144" s="401">
        <f>'Income Statement'!AZ13</f>
        <v>144.29099999999994</v>
      </c>
      <c r="BA144" s="402">
        <f>'Income Statement'!BA13</f>
        <v>563.68799999999999</v>
      </c>
      <c r="BB144" s="400">
        <f>'Income Statement'!BB13</f>
        <v>156.32499999999999</v>
      </c>
      <c r="BC144" s="401">
        <f>'Income Statement'!BC13</f>
        <v>160.87700000000001</v>
      </c>
      <c r="BD144" s="401">
        <f>'Income Statement'!BD13</f>
        <v>158.733</v>
      </c>
      <c r="BE144" s="401">
        <f>AZ144*(1+BE145)</f>
        <v>144.29099999999994</v>
      </c>
      <c r="BF144" s="402">
        <f>SUM(BB144:BE144)</f>
        <v>620.22599999999989</v>
      </c>
      <c r="BG144" s="401">
        <f>BB144*(1+BG145)</f>
        <v>156.32499999999999</v>
      </c>
      <c r="BH144" s="401">
        <f>BC144*(1+BH145)</f>
        <v>160.87700000000001</v>
      </c>
      <c r="BI144" s="401">
        <f>BD144*(1+BI145)</f>
        <v>158.733</v>
      </c>
      <c r="BJ144" s="401">
        <f>BE144*(1+BJ145)</f>
        <v>144.29099999999994</v>
      </c>
      <c r="BK144" s="402">
        <f>SUM(BG144:BJ144)</f>
        <v>620.22599999999989</v>
      </c>
      <c r="BL144" s="400">
        <f>BG144*(1+BL145)</f>
        <v>156.32499999999999</v>
      </c>
      <c r="BM144" s="401">
        <f>BH144*(1+BM145)</f>
        <v>160.87700000000001</v>
      </c>
      <c r="BN144" s="401">
        <f>BI144*(1+BN145)</f>
        <v>158.733</v>
      </c>
      <c r="BO144" s="401">
        <f>BJ144*(1+BO145)</f>
        <v>144.29099999999994</v>
      </c>
      <c r="BP144" s="402">
        <f>SUM(BL144:BO144)</f>
        <v>620.22599999999989</v>
      </c>
      <c r="BQ144" s="400">
        <f>BL144*(1+BQ145)</f>
        <v>156.32499999999999</v>
      </c>
      <c r="BR144" s="401">
        <f>BM144*(1+BR145)</f>
        <v>160.87700000000001</v>
      </c>
      <c r="BS144" s="401">
        <f>BN144*(1+BS145)</f>
        <v>158.733</v>
      </c>
      <c r="BT144" s="401">
        <f>BO144*(1+BT145)</f>
        <v>144.29099999999994</v>
      </c>
      <c r="BU144" s="402">
        <f>SUM(BQ144:BT144)</f>
        <v>620.22599999999989</v>
      </c>
      <c r="BV144" s="400">
        <f>BQ144*(1+BV145)</f>
        <v>156.32499999999999</v>
      </c>
      <c r="BW144" s="401">
        <f>BR144*(1+BW145)</f>
        <v>160.87700000000001</v>
      </c>
      <c r="BX144" s="401">
        <f>BS144*(1+BX145)</f>
        <v>158.733</v>
      </c>
      <c r="BY144" s="401">
        <f>BT144*(1+BY145)</f>
        <v>144.29099999999994</v>
      </c>
      <c r="BZ144" s="402">
        <f>SUM(BV144:BY144)</f>
        <v>620.22599999999989</v>
      </c>
    </row>
    <row r="145" spans="3:78" ht="14.1" hidden="1" customHeight="1" outlineLevel="1" x14ac:dyDescent="0.2">
      <c r="C145" s="412" t="str">
        <f>C139</f>
        <v>Growth %</v>
      </c>
      <c r="D145" s="429"/>
      <c r="E145" s="430">
        <f t="shared" ref="E145:O145" si="102">IFERROR(E144/D144-1,"NM")</f>
        <v>0.21227945839083895</v>
      </c>
      <c r="F145" s="430">
        <f t="shared" si="102"/>
        <v>4.6326153846153684E-2</v>
      </c>
      <c r="G145" s="430">
        <f t="shared" si="102"/>
        <v>-0.12004493377561343</v>
      </c>
      <c r="H145" s="430">
        <f t="shared" si="102"/>
        <v>0.27627208138112658</v>
      </c>
      <c r="I145" s="430">
        <f t="shared" si="102"/>
        <v>0.46229418911558939</v>
      </c>
      <c r="J145" s="430">
        <f t="shared" si="102"/>
        <v>9.3686879539300882E-3</v>
      </c>
      <c r="K145" s="430">
        <f t="shared" si="102"/>
        <v>0.1003001660493037</v>
      </c>
      <c r="L145" s="430">
        <f t="shared" si="102"/>
        <v>0</v>
      </c>
      <c r="M145" s="430">
        <f t="shared" si="102"/>
        <v>0</v>
      </c>
      <c r="N145" s="430">
        <f t="shared" si="102"/>
        <v>0</v>
      </c>
      <c r="O145" s="431">
        <f t="shared" si="102"/>
        <v>0</v>
      </c>
      <c r="P145" s="382"/>
      <c r="Q145" s="382"/>
      <c r="R145" s="412" t="str">
        <f>R139</f>
        <v>Growth %</v>
      </c>
      <c r="S145" s="405"/>
      <c r="T145" s="406"/>
      <c r="U145" s="406"/>
      <c r="V145" s="406"/>
      <c r="W145" s="404"/>
      <c r="X145" s="405">
        <f t="shared" ref="X145:BD145" si="103">IFERROR(X144/S144-1,"NM")</f>
        <v>0.2313486482262852</v>
      </c>
      <c r="Y145" s="406">
        <f t="shared" si="103"/>
        <v>0.28222780366761491</v>
      </c>
      <c r="Z145" s="406">
        <f t="shared" si="103"/>
        <v>0.2244184825807225</v>
      </c>
      <c r="AA145" s="406">
        <f t="shared" si="103"/>
        <v>0.11901190259221406</v>
      </c>
      <c r="AB145" s="404">
        <f t="shared" si="103"/>
        <v>0.21227945839083895</v>
      </c>
      <c r="AC145" s="405">
        <f t="shared" si="103"/>
        <v>6.0271086630961923E-2</v>
      </c>
      <c r="AD145" s="406">
        <f t="shared" si="103"/>
        <v>6.8794619151573144E-3</v>
      </c>
      <c r="AE145" s="406">
        <f t="shared" si="103"/>
        <v>3.2041938684271853E-2</v>
      </c>
      <c r="AF145" s="406">
        <f t="shared" si="103"/>
        <v>8.9052594652834882E-2</v>
      </c>
      <c r="AG145" s="404">
        <f t="shared" si="103"/>
        <v>4.6326153846153684E-2</v>
      </c>
      <c r="AH145" s="405">
        <f t="shared" si="103"/>
        <v>-7.7086051494440477E-3</v>
      </c>
      <c r="AI145" s="406">
        <f t="shared" si="103"/>
        <v>-0.22766266641665101</v>
      </c>
      <c r="AJ145" s="406">
        <f t="shared" si="103"/>
        <v>-0.1204975136187233</v>
      </c>
      <c r="AK145" s="406">
        <f t="shared" si="103"/>
        <v>-0.12193129788555768</v>
      </c>
      <c r="AL145" s="404">
        <f t="shared" si="103"/>
        <v>-0.12004493377561343</v>
      </c>
      <c r="AM145" s="405">
        <f t="shared" si="103"/>
        <v>2.4149869117842115E-2</v>
      </c>
      <c r="AN145" s="406">
        <f t="shared" si="103"/>
        <v>0.37573973475767053</v>
      </c>
      <c r="AO145" s="406">
        <f t="shared" si="103"/>
        <v>0.33368418211750739</v>
      </c>
      <c r="AP145" s="406">
        <f t="shared" si="103"/>
        <v>0.40847930614330452</v>
      </c>
      <c r="AQ145" s="404">
        <f t="shared" si="103"/>
        <v>0.27627208138112658</v>
      </c>
      <c r="AR145" s="405">
        <f t="shared" si="103"/>
        <v>0.44604892757446923</v>
      </c>
      <c r="AS145" s="406">
        <f t="shared" si="103"/>
        <v>0.60515750463248907</v>
      </c>
      <c r="AT145" s="406">
        <f t="shared" si="103"/>
        <v>0.47177084808871439</v>
      </c>
      <c r="AU145" s="406">
        <f t="shared" si="103"/>
        <v>0.34592809636761102</v>
      </c>
      <c r="AV145" s="404">
        <f t="shared" si="103"/>
        <v>0.46229418911558939</v>
      </c>
      <c r="AW145" s="405">
        <f t="shared" si="103"/>
        <v>0.15357046859600398</v>
      </c>
      <c r="AX145" s="406">
        <f t="shared" si="103"/>
        <v>-8.2732082732082657E-2</v>
      </c>
      <c r="AY145" s="406">
        <f t="shared" si="103"/>
        <v>-8.1052653288510301E-3</v>
      </c>
      <c r="AZ145" s="406">
        <f t="shared" si="103"/>
        <v>-2.7851880520275429E-3</v>
      </c>
      <c r="BA145" s="404">
        <f t="shared" si="103"/>
        <v>9.3686879539300882E-3</v>
      </c>
      <c r="BB145" s="405">
        <f t="shared" si="103"/>
        <v>0.10379523389232115</v>
      </c>
      <c r="BC145" s="406">
        <f t="shared" si="103"/>
        <v>0.20516143531350672</v>
      </c>
      <c r="BD145" s="406">
        <f t="shared" si="103"/>
        <v>0.10015802386992134</v>
      </c>
      <c r="BE145" s="406">
        <f>INDEX($BE$146:$BZ$149,MATCH($O$3,$C$46:$C$49,0),MATCH(BE$75,$BE$75:$BZ$75,0))</f>
        <v>0</v>
      </c>
      <c r="BF145" s="404">
        <f>BF144/BA144-1</f>
        <v>0.1003001660493037</v>
      </c>
      <c r="BG145" s="405">
        <f>INDEX($BE$146:$BZ$149,MATCH($O$3,$C$46:$C$49,0),MATCH(BG$75,$BE$75:$BZ$75,0))</f>
        <v>0</v>
      </c>
      <c r="BH145" s="406">
        <f>INDEX($BE$146:$BZ$149,MATCH($O$3,$C$46:$C$49,0),MATCH(BH$75,$BE$75:$BZ$75,0))</f>
        <v>0</v>
      </c>
      <c r="BI145" s="406">
        <f>INDEX($BE$146:$BZ$149,MATCH($O$3,$C$46:$C$49,0),MATCH(BI$75,$BE$75:$BZ$75,0))</f>
        <v>0</v>
      </c>
      <c r="BJ145" s="406">
        <f>INDEX($BE$146:$BZ$149,MATCH($O$3,$C$46:$C$49,0),MATCH(BJ$75,$BE$75:$BZ$75,0))</f>
        <v>0</v>
      </c>
      <c r="BK145" s="404">
        <f>BK144/BF144-1</f>
        <v>0</v>
      </c>
      <c r="BL145" s="405">
        <f>INDEX($BE$146:$BZ$149,MATCH($O$3,$C$46:$C$49,0),MATCH(BL$75,$BE$75:$BZ$75,0))</f>
        <v>0</v>
      </c>
      <c r="BM145" s="406">
        <f>INDEX($BE$146:$BZ$149,MATCH($O$3,$C$46:$C$49,0),MATCH(BM$75,$BE$75:$BZ$75,0))</f>
        <v>0</v>
      </c>
      <c r="BN145" s="406">
        <f>INDEX($BE$146:$BZ$149,MATCH($O$3,$C$46:$C$49,0),MATCH(BN$75,$BE$75:$BZ$75,0))</f>
        <v>0</v>
      </c>
      <c r="BO145" s="406">
        <f>INDEX($BE$146:$BZ$149,MATCH($O$3,$C$46:$C$49,0),MATCH(BO$75,$BE$75:$BZ$75,0))</f>
        <v>0</v>
      </c>
      <c r="BP145" s="404">
        <f>BP144/BK144-1</f>
        <v>0</v>
      </c>
      <c r="BQ145" s="405">
        <f>INDEX($BE$146:$BZ$149,MATCH($O$3,$C$46:$C$49,0),MATCH(BQ$75,$BE$75:$BZ$75,0))</f>
        <v>0</v>
      </c>
      <c r="BR145" s="406">
        <f>INDEX($BE$146:$BZ$149,MATCH($O$3,$C$46:$C$49,0),MATCH(BR$75,$BE$75:$BZ$75,0))</f>
        <v>0</v>
      </c>
      <c r="BS145" s="406">
        <f>INDEX($BE$146:$BZ$149,MATCH($O$3,$C$46:$C$49,0),MATCH(BS$75,$BE$75:$BZ$75,0))</f>
        <v>0</v>
      </c>
      <c r="BT145" s="406">
        <f>INDEX($BE$146:$BZ$149,MATCH($O$3,$C$46:$C$49,0),MATCH(BT$75,$BE$75:$BZ$75,0))</f>
        <v>0</v>
      </c>
      <c r="BU145" s="404">
        <f>BU144/BP144-1</f>
        <v>0</v>
      </c>
      <c r="BV145" s="405">
        <f>INDEX($BE$146:$BZ$149,MATCH($O$3,$C$46:$C$49,0),MATCH(BV$75,$BE$75:$BZ$75,0))</f>
        <v>0</v>
      </c>
      <c r="BW145" s="406">
        <f>INDEX($BE$146:$BZ$149,MATCH($O$3,$C$46:$C$49,0),MATCH(BW$75,$BE$75:$BZ$75,0))</f>
        <v>0</v>
      </c>
      <c r="BX145" s="406">
        <f>INDEX($BE$146:$BZ$149,MATCH($O$3,$C$46:$C$49,0),MATCH(BX$75,$BE$75:$BZ$75,0))</f>
        <v>0</v>
      </c>
      <c r="BY145" s="406">
        <f>INDEX($BE$146:$BZ$149,MATCH($O$3,$C$46:$C$49,0),MATCH(BY$75,$BE$75:$BZ$75,0))</f>
        <v>0</v>
      </c>
      <c r="BZ145" s="404">
        <f>BZ144/BU144-1</f>
        <v>0</v>
      </c>
    </row>
    <row r="146" spans="3:78" ht="14.1" hidden="1" customHeight="1" outlineLevel="1" x14ac:dyDescent="0.2">
      <c r="C146" s="427" t="str">
        <f>C140</f>
        <v>Reversed</v>
      </c>
      <c r="D146" s="401"/>
      <c r="E146" s="432"/>
      <c r="F146" s="432"/>
      <c r="G146" s="432"/>
      <c r="H146" s="432"/>
      <c r="I146" s="432"/>
      <c r="J146" s="432"/>
      <c r="K146" s="432"/>
      <c r="L146" s="432"/>
      <c r="M146" s="432"/>
      <c r="N146" s="432"/>
      <c r="O146" s="433"/>
      <c r="P146" s="382"/>
      <c r="Q146" s="382"/>
      <c r="R146" s="409" t="str">
        <f t="shared" ref="R146:R161" si="104">C146</f>
        <v>Reversed</v>
      </c>
      <c r="S146" s="398"/>
      <c r="T146" s="263"/>
      <c r="U146" s="263"/>
      <c r="V146" s="263"/>
      <c r="W146" s="264"/>
      <c r="X146" s="398"/>
      <c r="Y146" s="263"/>
      <c r="Z146" s="263"/>
      <c r="AA146" s="263"/>
      <c r="AB146" s="264"/>
      <c r="AC146" s="398"/>
      <c r="AD146" s="263"/>
      <c r="AE146" s="263"/>
      <c r="AF146" s="263"/>
      <c r="AG146" s="264"/>
      <c r="AH146" s="398"/>
      <c r="AI146" s="263"/>
      <c r="AJ146" s="263"/>
      <c r="AK146" s="263"/>
      <c r="AL146" s="264"/>
      <c r="AM146" s="398"/>
      <c r="AN146" s="263"/>
      <c r="AO146" s="263"/>
      <c r="AP146" s="263"/>
      <c r="AQ146" s="264"/>
      <c r="AR146" s="398"/>
      <c r="AS146" s="263"/>
      <c r="AT146" s="263"/>
      <c r="AU146" s="263"/>
      <c r="AV146" s="264"/>
      <c r="AW146" s="398"/>
      <c r="AX146" s="263"/>
      <c r="AY146" s="263"/>
      <c r="AZ146" s="263"/>
      <c r="BA146" s="264"/>
      <c r="BB146" s="398"/>
      <c r="BC146" s="263"/>
      <c r="BD146" s="263"/>
      <c r="BE146" s="263">
        <v>2.4E-2</v>
      </c>
      <c r="BF146" s="264"/>
      <c r="BG146" s="398">
        <v>2.5999999999999999E-2</v>
      </c>
      <c r="BH146" s="263">
        <v>3.3000000000000002E-2</v>
      </c>
      <c r="BI146" s="263">
        <v>2.3E-2</v>
      </c>
      <c r="BJ146" s="263">
        <v>3.1E-2</v>
      </c>
      <c r="BK146" s="264"/>
      <c r="BL146" s="398">
        <v>7.0999999999999994E-2</v>
      </c>
      <c r="BM146" s="263">
        <v>7.3999999999999996E-2</v>
      </c>
      <c r="BN146" s="263">
        <v>7.1999999999999995E-2</v>
      </c>
      <c r="BO146" s="263">
        <v>9.4E-2</v>
      </c>
      <c r="BP146" s="264"/>
      <c r="BQ146" s="398">
        <v>7.0999999999999994E-2</v>
      </c>
      <c r="BR146" s="263">
        <v>7.3999999999999996E-2</v>
      </c>
      <c r="BS146" s="263">
        <v>7.1999999999999995E-2</v>
      </c>
      <c r="BT146" s="263">
        <v>9.4E-2</v>
      </c>
      <c r="BU146" s="264"/>
      <c r="BV146" s="398">
        <v>7.0999999999999994E-2</v>
      </c>
      <c r="BW146" s="263">
        <v>7.3999999999999996E-2</v>
      </c>
      <c r="BX146" s="263">
        <v>7.1999999999999995E-2</v>
      </c>
      <c r="BY146" s="263">
        <v>9.4E-2</v>
      </c>
      <c r="BZ146" s="264"/>
    </row>
    <row r="147" spans="3:78" ht="14.1" hidden="1" customHeight="1" outlineLevel="1" x14ac:dyDescent="0.2">
      <c r="C147" s="409" t="str">
        <f>C141</f>
        <v>Base</v>
      </c>
      <c r="D147" s="382"/>
      <c r="E147" s="434"/>
      <c r="F147" s="434"/>
      <c r="G147" s="434"/>
      <c r="H147" s="434"/>
      <c r="I147" s="434"/>
      <c r="J147" s="434"/>
      <c r="K147" s="434"/>
      <c r="L147" s="434"/>
      <c r="M147" s="434"/>
      <c r="N147" s="434"/>
      <c r="O147" s="435"/>
      <c r="P147" s="382"/>
      <c r="Q147" s="382"/>
      <c r="R147" s="409" t="str">
        <f t="shared" si="104"/>
        <v>Base</v>
      </c>
      <c r="S147" s="398"/>
      <c r="T147" s="263"/>
      <c r="U147" s="263"/>
      <c r="V147" s="263"/>
      <c r="W147" s="264"/>
      <c r="X147" s="398"/>
      <c r="Y147" s="263"/>
      <c r="Z147" s="263"/>
      <c r="AA147" s="263"/>
      <c r="AB147" s="264"/>
      <c r="AC147" s="398"/>
      <c r="AD147" s="263"/>
      <c r="AE147" s="263"/>
      <c r="AF147" s="263"/>
      <c r="AG147" s="264"/>
      <c r="AH147" s="398"/>
      <c r="AI147" s="263"/>
      <c r="AJ147" s="263"/>
      <c r="AK147" s="263"/>
      <c r="AL147" s="264"/>
      <c r="AM147" s="398"/>
      <c r="AN147" s="263"/>
      <c r="AO147" s="263"/>
      <c r="AP147" s="263"/>
      <c r="AQ147" s="264"/>
      <c r="AR147" s="398"/>
      <c r="AS147" s="263"/>
      <c r="AT147" s="263"/>
      <c r="AU147" s="263"/>
      <c r="AV147" s="264"/>
      <c r="AW147" s="398"/>
      <c r="AX147" s="263"/>
      <c r="AY147" s="263"/>
      <c r="AZ147" s="263"/>
      <c r="BA147" s="264"/>
      <c r="BB147" s="398"/>
      <c r="BC147" s="263"/>
      <c r="BD147" s="263"/>
      <c r="BE147" s="263"/>
      <c r="BF147" s="264"/>
      <c r="BG147" s="398"/>
      <c r="BH147" s="263"/>
      <c r="BI147" s="263"/>
      <c r="BJ147" s="263"/>
      <c r="BK147" s="264"/>
      <c r="BL147" s="398"/>
      <c r="BM147" s="263"/>
      <c r="BN147" s="263"/>
      <c r="BO147" s="263"/>
      <c r="BP147" s="264"/>
      <c r="BQ147" s="398"/>
      <c r="BR147" s="263"/>
      <c r="BS147" s="263"/>
      <c r="BT147" s="263"/>
      <c r="BU147" s="264"/>
      <c r="BV147" s="398"/>
      <c r="BW147" s="263"/>
      <c r="BX147" s="263"/>
      <c r="BY147" s="263"/>
      <c r="BZ147" s="264"/>
    </row>
    <row r="148" spans="3:78" ht="14.1" hidden="1" customHeight="1" outlineLevel="1" x14ac:dyDescent="0.2">
      <c r="C148" s="409" t="str">
        <f>C142</f>
        <v>Bull</v>
      </c>
      <c r="D148" s="382"/>
      <c r="E148" s="434"/>
      <c r="F148" s="434"/>
      <c r="G148" s="434"/>
      <c r="H148" s="434"/>
      <c r="I148" s="434"/>
      <c r="J148" s="434"/>
      <c r="K148" s="434"/>
      <c r="L148" s="434"/>
      <c r="M148" s="434"/>
      <c r="N148" s="434"/>
      <c r="O148" s="435"/>
      <c r="P148" s="382"/>
      <c r="Q148" s="382"/>
      <c r="R148" s="409" t="str">
        <f t="shared" si="104"/>
        <v>Bull</v>
      </c>
      <c r="S148" s="398"/>
      <c r="T148" s="263"/>
      <c r="U148" s="263"/>
      <c r="V148" s="263"/>
      <c r="W148" s="264"/>
      <c r="X148" s="398"/>
      <c r="Y148" s="263"/>
      <c r="Z148" s="263"/>
      <c r="AA148" s="263"/>
      <c r="AB148" s="264"/>
      <c r="AC148" s="398"/>
      <c r="AD148" s="263"/>
      <c r="AE148" s="263"/>
      <c r="AF148" s="263"/>
      <c r="AG148" s="264"/>
      <c r="AH148" s="398"/>
      <c r="AI148" s="263"/>
      <c r="AJ148" s="263"/>
      <c r="AK148" s="263"/>
      <c r="AL148" s="264"/>
      <c r="AM148" s="398"/>
      <c r="AN148" s="263"/>
      <c r="AO148" s="263"/>
      <c r="AP148" s="263"/>
      <c r="AQ148" s="264"/>
      <c r="AR148" s="398"/>
      <c r="AS148" s="263"/>
      <c r="AT148" s="263"/>
      <c r="AU148" s="263"/>
      <c r="AV148" s="264"/>
      <c r="AW148" s="398"/>
      <c r="AX148" s="263"/>
      <c r="AY148" s="263"/>
      <c r="AZ148" s="263"/>
      <c r="BA148" s="264"/>
      <c r="BB148" s="398"/>
      <c r="BC148" s="263"/>
      <c r="BD148" s="263"/>
      <c r="BE148" s="263"/>
      <c r="BF148" s="264"/>
      <c r="BG148" s="398"/>
      <c r="BH148" s="263"/>
      <c r="BI148" s="263"/>
      <c r="BJ148" s="263"/>
      <c r="BK148" s="264"/>
      <c r="BL148" s="398"/>
      <c r="BM148" s="263"/>
      <c r="BN148" s="263"/>
      <c r="BO148" s="263"/>
      <c r="BP148" s="264"/>
      <c r="BQ148" s="398"/>
      <c r="BR148" s="263"/>
      <c r="BS148" s="263"/>
      <c r="BT148" s="263"/>
      <c r="BU148" s="264"/>
      <c r="BV148" s="398"/>
      <c r="BW148" s="263"/>
      <c r="BX148" s="263"/>
      <c r="BY148" s="263"/>
      <c r="BZ148" s="264"/>
    </row>
    <row r="149" spans="3:78" ht="14.1" hidden="1" customHeight="1" outlineLevel="1" x14ac:dyDescent="0.2">
      <c r="C149" s="410" t="str">
        <f>C143</f>
        <v>Bear</v>
      </c>
      <c r="D149" s="428"/>
      <c r="E149" s="436"/>
      <c r="F149" s="436"/>
      <c r="G149" s="436"/>
      <c r="H149" s="436"/>
      <c r="I149" s="436"/>
      <c r="J149" s="436"/>
      <c r="K149" s="436"/>
      <c r="L149" s="436"/>
      <c r="M149" s="436"/>
      <c r="N149" s="436"/>
      <c r="O149" s="437"/>
      <c r="P149" s="248"/>
      <c r="Q149" s="248"/>
      <c r="R149" s="409" t="str">
        <f t="shared" si="104"/>
        <v>Bear</v>
      </c>
      <c r="S149" s="399"/>
      <c r="T149" s="267"/>
      <c r="U149" s="267"/>
      <c r="V149" s="267"/>
      <c r="W149" s="268"/>
      <c r="X149" s="399"/>
      <c r="Y149" s="267"/>
      <c r="Z149" s="267"/>
      <c r="AA149" s="267"/>
      <c r="AB149" s="268"/>
      <c r="AC149" s="399"/>
      <c r="AD149" s="267"/>
      <c r="AE149" s="267"/>
      <c r="AF149" s="267"/>
      <c r="AG149" s="268"/>
      <c r="AH149" s="399"/>
      <c r="AI149" s="267"/>
      <c r="AJ149" s="267"/>
      <c r="AK149" s="267"/>
      <c r="AL149" s="268"/>
      <c r="AM149" s="399"/>
      <c r="AN149" s="267"/>
      <c r="AO149" s="267"/>
      <c r="AP149" s="267"/>
      <c r="AQ149" s="268"/>
      <c r="AR149" s="399"/>
      <c r="AS149" s="267"/>
      <c r="AT149" s="267"/>
      <c r="AU149" s="267"/>
      <c r="AV149" s="268"/>
      <c r="AW149" s="399"/>
      <c r="AX149" s="267"/>
      <c r="AY149" s="267"/>
      <c r="AZ149" s="267"/>
      <c r="BA149" s="268"/>
      <c r="BB149" s="399"/>
      <c r="BC149" s="267"/>
      <c r="BD149" s="267"/>
      <c r="BE149" s="267"/>
      <c r="BF149" s="268"/>
      <c r="BG149" s="399"/>
      <c r="BH149" s="267"/>
      <c r="BI149" s="267"/>
      <c r="BJ149" s="267"/>
      <c r="BK149" s="268"/>
      <c r="BL149" s="399"/>
      <c r="BM149" s="267"/>
      <c r="BN149" s="267"/>
      <c r="BO149" s="267"/>
      <c r="BP149" s="268"/>
      <c r="BQ149" s="399"/>
      <c r="BR149" s="267"/>
      <c r="BS149" s="267"/>
      <c r="BT149" s="267"/>
      <c r="BU149" s="268"/>
      <c r="BV149" s="399"/>
      <c r="BW149" s="267"/>
      <c r="BX149" s="267"/>
      <c r="BY149" s="267"/>
      <c r="BZ149" s="268"/>
    </row>
    <row r="150" spans="3:78" ht="14.1" hidden="1" customHeight="1" outlineLevel="1" x14ac:dyDescent="0.2">
      <c r="C150" s="408" t="str">
        <f>'Income Statement'!C14</f>
        <v>Operating taxes and licenses</v>
      </c>
      <c r="D150" s="401">
        <f>W150</f>
        <v>43.33</v>
      </c>
      <c r="E150" s="401">
        <f>AB150</f>
        <v>50.088999999999999</v>
      </c>
      <c r="F150" s="401">
        <f>AG150</f>
        <v>54.396999999999998</v>
      </c>
      <c r="G150" s="401">
        <f>AL150</f>
        <v>56.293999999999997</v>
      </c>
      <c r="H150" s="401">
        <f>AQ150</f>
        <v>59.094999999999999</v>
      </c>
      <c r="I150" s="401">
        <f>AV150</f>
        <v>63.823999999999998</v>
      </c>
      <c r="J150" s="401">
        <f>BA150</f>
        <v>69.542000000000002</v>
      </c>
      <c r="K150" s="401">
        <f>BF150</f>
        <v>77.402999999999992</v>
      </c>
      <c r="L150" s="401">
        <f>BK150</f>
        <v>77.402999999999992</v>
      </c>
      <c r="M150" s="401">
        <f>BP150</f>
        <v>77.402999999999992</v>
      </c>
      <c r="N150" s="401">
        <f>BU150</f>
        <v>77.402999999999992</v>
      </c>
      <c r="O150" s="407">
        <f>BZ150</f>
        <v>77.402999999999992</v>
      </c>
      <c r="P150" s="248"/>
      <c r="Q150" s="248"/>
      <c r="R150" s="411" t="str">
        <f t="shared" si="104"/>
        <v>Operating taxes and licenses</v>
      </c>
      <c r="S150" s="400">
        <f>'Income Statement'!S14</f>
        <v>10.582000000000001</v>
      </c>
      <c r="T150" s="401">
        <f>'Income Statement'!T14</f>
        <v>10.875</v>
      </c>
      <c r="U150" s="401">
        <f>'Income Statement'!U14</f>
        <v>10.631</v>
      </c>
      <c r="V150" s="401">
        <f>'Income Statement'!V14</f>
        <v>11.241999999999997</v>
      </c>
      <c r="W150" s="402">
        <f>SUM(S150:V150)</f>
        <v>43.33</v>
      </c>
      <c r="X150" s="400">
        <f>'Income Statement'!X14</f>
        <v>12.15</v>
      </c>
      <c r="Y150" s="401">
        <f>'Income Statement'!Y14</f>
        <v>12.794</v>
      </c>
      <c r="Z150" s="401">
        <f>'Income Statement'!Z14</f>
        <v>12.366</v>
      </c>
      <c r="AA150" s="401">
        <f>'Income Statement'!AA14</f>
        <v>12.778999999999996</v>
      </c>
      <c r="AB150" s="402">
        <f>SUM(X150:AA150)</f>
        <v>50.088999999999999</v>
      </c>
      <c r="AC150" s="400">
        <f>'Income Statement'!AC14</f>
        <v>13.202</v>
      </c>
      <c r="AD150" s="401">
        <f>'Income Statement'!AD14</f>
        <v>13.529</v>
      </c>
      <c r="AE150" s="401">
        <f>'Income Statement'!AE14</f>
        <v>13.634</v>
      </c>
      <c r="AF150" s="401">
        <f>'Income Statement'!AF14</f>
        <v>14.031999999999996</v>
      </c>
      <c r="AG150" s="402">
        <f>SUM(AC150:AF150)</f>
        <v>54.396999999999998</v>
      </c>
      <c r="AH150" s="400">
        <f>'Income Statement'!AH14</f>
        <v>14.396000000000001</v>
      </c>
      <c r="AI150" s="401">
        <f>'Income Statement'!AI14</f>
        <v>13.743</v>
      </c>
      <c r="AJ150" s="401">
        <f>'Income Statement'!AJ14</f>
        <v>14.061</v>
      </c>
      <c r="AK150" s="401">
        <f>'Income Statement'!AK14</f>
        <v>14.093999999999994</v>
      </c>
      <c r="AL150" s="402">
        <f>SUM(AH150:AK150)</f>
        <v>56.293999999999997</v>
      </c>
      <c r="AM150" s="400">
        <f>'Income Statement'!AM14</f>
        <v>14.337999999999999</v>
      </c>
      <c r="AN150" s="401">
        <f>'Income Statement'!AN14</f>
        <v>14.558999999999999</v>
      </c>
      <c r="AO150" s="401">
        <f>'Income Statement'!AO14</f>
        <v>14.571999999999999</v>
      </c>
      <c r="AP150" s="401">
        <f>'Income Statement'!AP14</f>
        <v>15.626000000000005</v>
      </c>
      <c r="AQ150" s="402">
        <f>SUM(AM150:AP150)</f>
        <v>59.094999999999999</v>
      </c>
      <c r="AR150" s="400">
        <f>'Income Statement'!AR14</f>
        <v>16.573</v>
      </c>
      <c r="AS150" s="401">
        <f>'Income Statement'!AS14</f>
        <v>15.978999999999999</v>
      </c>
      <c r="AT150" s="401">
        <f>'Income Statement'!AT14</f>
        <v>16.260999999999999</v>
      </c>
      <c r="AU150" s="401">
        <f>'Income Statement'!AU14</f>
        <v>15.010999999999996</v>
      </c>
      <c r="AV150" s="402">
        <f>SUM(AR150:AU150)</f>
        <v>63.823999999999998</v>
      </c>
      <c r="AW150" s="400">
        <f>'Income Statement'!AW14</f>
        <v>17.065000000000001</v>
      </c>
      <c r="AX150" s="401">
        <f>'Income Statement'!AX14</f>
        <v>17.457000000000001</v>
      </c>
      <c r="AY150" s="401">
        <f>'Income Statement'!AY14</f>
        <v>17.018000000000001</v>
      </c>
      <c r="AZ150" s="401">
        <f>'Income Statement'!AZ14</f>
        <v>18.001999999999995</v>
      </c>
      <c r="BA150" s="402">
        <f>SUM(AW150:AZ150)</f>
        <v>69.542000000000002</v>
      </c>
      <c r="BB150" s="400">
        <f>'Income Statement'!BB14</f>
        <v>19.765999999999998</v>
      </c>
      <c r="BC150" s="401">
        <f>'Income Statement'!BC14</f>
        <v>19.693000000000001</v>
      </c>
      <c r="BD150" s="401">
        <f>'Income Statement'!BD14</f>
        <v>19.942</v>
      </c>
      <c r="BE150" s="401">
        <f>AZ150*(1+BE151)</f>
        <v>18.001999999999995</v>
      </c>
      <c r="BF150" s="402">
        <f>SUM(BB150:BE150)</f>
        <v>77.402999999999992</v>
      </c>
      <c r="BG150" s="400">
        <f>BB150*(1+BG151)</f>
        <v>19.765999999999998</v>
      </c>
      <c r="BH150" s="401">
        <f>BC150*(1+BH151)</f>
        <v>19.693000000000001</v>
      </c>
      <c r="BI150" s="401">
        <f>BD150*(1+BI151)</f>
        <v>19.942</v>
      </c>
      <c r="BJ150" s="401">
        <f>BE150*(1+BJ151)</f>
        <v>18.001999999999995</v>
      </c>
      <c r="BK150" s="402">
        <f>SUM(BG150:BJ150)</f>
        <v>77.402999999999992</v>
      </c>
      <c r="BL150" s="400">
        <f>BG150*(1+BL151)</f>
        <v>19.765999999999998</v>
      </c>
      <c r="BM150" s="401">
        <f>BH150*(1+BM151)</f>
        <v>19.693000000000001</v>
      </c>
      <c r="BN150" s="401">
        <f>BI150*(1+BN151)</f>
        <v>19.942</v>
      </c>
      <c r="BO150" s="401">
        <f>BJ150*(1+BO151)</f>
        <v>18.001999999999995</v>
      </c>
      <c r="BP150" s="402">
        <f>SUM(BL150:BO150)</f>
        <v>77.402999999999992</v>
      </c>
      <c r="BQ150" s="400">
        <f>BL150*(1+BQ151)</f>
        <v>19.765999999999998</v>
      </c>
      <c r="BR150" s="401">
        <f>BM150*(1+BR151)</f>
        <v>19.693000000000001</v>
      </c>
      <c r="BS150" s="401">
        <f>BN150*(1+BS151)</f>
        <v>19.942</v>
      </c>
      <c r="BT150" s="401">
        <f>BO150*(1+BT151)</f>
        <v>18.001999999999995</v>
      </c>
      <c r="BU150" s="402">
        <f>SUM(BQ150:BT150)</f>
        <v>77.402999999999992</v>
      </c>
      <c r="BV150" s="400">
        <f>BQ150*(1+BV151)</f>
        <v>19.765999999999998</v>
      </c>
      <c r="BW150" s="401">
        <f>BR150*(1+BW151)</f>
        <v>19.693000000000001</v>
      </c>
      <c r="BX150" s="401">
        <f>BS150*(1+BX151)</f>
        <v>19.942</v>
      </c>
      <c r="BY150" s="401">
        <f>BT150*(1+BY151)</f>
        <v>18.001999999999995</v>
      </c>
      <c r="BZ150" s="402">
        <f>SUM(BV150:BY150)</f>
        <v>77.402999999999992</v>
      </c>
    </row>
    <row r="151" spans="3:78" ht="14.1" hidden="1" customHeight="1" outlineLevel="1" x14ac:dyDescent="0.2">
      <c r="C151" s="412" t="str">
        <f>C145</f>
        <v>Growth %</v>
      </c>
      <c r="D151" s="429"/>
      <c r="E151" s="430">
        <f t="shared" ref="E151:O151" si="105">IFERROR(E150/D150-1,"NM")</f>
        <v>0.15598892222478655</v>
      </c>
      <c r="F151" s="430">
        <f t="shared" si="105"/>
        <v>8.6006907704286428E-2</v>
      </c>
      <c r="G151" s="430">
        <f t="shared" si="105"/>
        <v>3.4873246686398129E-2</v>
      </c>
      <c r="H151" s="430">
        <f t="shared" si="105"/>
        <v>4.9756634810104172E-2</v>
      </c>
      <c r="I151" s="430">
        <f t="shared" si="105"/>
        <v>8.0023690667569092E-2</v>
      </c>
      <c r="J151" s="430">
        <f t="shared" si="105"/>
        <v>8.9590122837803987E-2</v>
      </c>
      <c r="K151" s="430">
        <f t="shared" si="105"/>
        <v>0.11303960196715646</v>
      </c>
      <c r="L151" s="430">
        <f t="shared" si="105"/>
        <v>0</v>
      </c>
      <c r="M151" s="430">
        <f t="shared" si="105"/>
        <v>0</v>
      </c>
      <c r="N151" s="430">
        <f t="shared" si="105"/>
        <v>0</v>
      </c>
      <c r="O151" s="431">
        <f t="shared" si="105"/>
        <v>0</v>
      </c>
      <c r="P151" s="248"/>
      <c r="Q151" s="248"/>
      <c r="R151" s="412" t="str">
        <f t="shared" si="104"/>
        <v>Growth %</v>
      </c>
      <c r="S151" s="405"/>
      <c r="T151" s="406"/>
      <c r="U151" s="406"/>
      <c r="V151" s="406"/>
      <c r="W151" s="404"/>
      <c r="X151" s="405">
        <f t="shared" ref="X151:BD151" si="106">IFERROR(X150/S150-1,"NM")</f>
        <v>0.1481761481761481</v>
      </c>
      <c r="Y151" s="406">
        <f t="shared" si="106"/>
        <v>0.17645977011494263</v>
      </c>
      <c r="Z151" s="406">
        <f t="shared" si="106"/>
        <v>0.16320195654218783</v>
      </c>
      <c r="AA151" s="406">
        <f t="shared" si="106"/>
        <v>0.13671944493862287</v>
      </c>
      <c r="AB151" s="404">
        <f t="shared" si="106"/>
        <v>0.15598892222478655</v>
      </c>
      <c r="AC151" s="405">
        <f t="shared" si="106"/>
        <v>8.6584362139917603E-2</v>
      </c>
      <c r="AD151" s="406">
        <f t="shared" si="106"/>
        <v>5.7448804126934538E-2</v>
      </c>
      <c r="AE151" s="406">
        <f t="shared" si="106"/>
        <v>0.10253922044315056</v>
      </c>
      <c r="AF151" s="406">
        <f t="shared" si="106"/>
        <v>9.8051490726974055E-2</v>
      </c>
      <c r="AG151" s="404">
        <f t="shared" si="106"/>
        <v>8.6006907704286428E-2</v>
      </c>
      <c r="AH151" s="405">
        <f t="shared" si="106"/>
        <v>9.0440842296621859E-2</v>
      </c>
      <c r="AI151" s="406">
        <f t="shared" si="106"/>
        <v>1.5817872717865278E-2</v>
      </c>
      <c r="AJ151" s="406">
        <f t="shared" si="106"/>
        <v>3.1318761918732507E-2</v>
      </c>
      <c r="AK151" s="406">
        <f t="shared" si="106"/>
        <v>4.4184720638538177E-3</v>
      </c>
      <c r="AL151" s="404">
        <f t="shared" si="106"/>
        <v>3.4873246686398129E-2</v>
      </c>
      <c r="AM151" s="405">
        <f t="shared" si="106"/>
        <v>-4.0288969158100985E-3</v>
      </c>
      <c r="AN151" s="406">
        <f t="shared" si="106"/>
        <v>5.937568216546607E-2</v>
      </c>
      <c r="AO151" s="406">
        <f t="shared" si="106"/>
        <v>3.6341654220894526E-2</v>
      </c>
      <c r="AP151" s="406">
        <f t="shared" si="106"/>
        <v>0.10869873705122823</v>
      </c>
      <c r="AQ151" s="404">
        <f t="shared" si="106"/>
        <v>4.9756634810104172E-2</v>
      </c>
      <c r="AR151" s="405">
        <f t="shared" si="106"/>
        <v>0.15587948109917704</v>
      </c>
      <c r="AS151" s="406">
        <f t="shared" si="106"/>
        <v>9.7534171302974038E-2</v>
      </c>
      <c r="AT151" s="406">
        <f t="shared" si="106"/>
        <v>0.11590721932473236</v>
      </c>
      <c r="AU151" s="406">
        <f t="shared" si="106"/>
        <v>-3.9357481121208848E-2</v>
      </c>
      <c r="AV151" s="404">
        <f t="shared" si="106"/>
        <v>8.0023690667569092E-2</v>
      </c>
      <c r="AW151" s="405">
        <f t="shared" si="106"/>
        <v>2.9686840041030615E-2</v>
      </c>
      <c r="AX151" s="406">
        <f t="shared" si="106"/>
        <v>9.2496401527004224E-2</v>
      </c>
      <c r="AY151" s="406">
        <f t="shared" si="106"/>
        <v>4.6553102515220601E-2</v>
      </c>
      <c r="AZ151" s="406">
        <f t="shared" si="106"/>
        <v>0.19925388048764248</v>
      </c>
      <c r="BA151" s="404">
        <f t="shared" si="106"/>
        <v>8.9590122837803987E-2</v>
      </c>
      <c r="BB151" s="406">
        <f t="shared" si="106"/>
        <v>0.1582771755054202</v>
      </c>
      <c r="BC151" s="406">
        <f t="shared" si="106"/>
        <v>0.12808615455118288</v>
      </c>
      <c r="BD151" s="406">
        <f t="shared" si="106"/>
        <v>0.17181807497943358</v>
      </c>
      <c r="BE151" s="406">
        <f>INDEX($BE$152:$BZ$155,MATCH($O$3,$C$46:$C$49,0),MATCH(BE$75,$BE$75:$BZ$75,0))</f>
        <v>0</v>
      </c>
      <c r="BF151" s="404">
        <f>BF150/BA150-1</f>
        <v>0.11303960196715646</v>
      </c>
      <c r="BG151" s="405">
        <f>INDEX($BE$152:$BZ$155,MATCH($O$3,$C$46:$C$49,0),MATCH(BG$75,$BE$75:$BZ$75,0))</f>
        <v>0</v>
      </c>
      <c r="BH151" s="406">
        <f>INDEX($BE$152:$BZ$155,MATCH($O$3,$C$46:$C$49,0),MATCH(BH$75,$BE$75:$BZ$75,0))</f>
        <v>0</v>
      </c>
      <c r="BI151" s="406">
        <f>INDEX($BE$152:$BZ$155,MATCH($O$3,$C$46:$C$49,0),MATCH(BI$75,$BE$75:$BZ$75,0))</f>
        <v>0</v>
      </c>
      <c r="BJ151" s="406">
        <f>INDEX($BE$152:$BZ$155,MATCH($O$3,$C$46:$C$49,0),MATCH(BJ$75,$BE$75:$BZ$75,0))</f>
        <v>0</v>
      </c>
      <c r="BK151" s="404">
        <f>BK150/BF150-1</f>
        <v>0</v>
      </c>
      <c r="BL151" s="405">
        <f>INDEX($BE$152:$BZ$155,MATCH($O$3,$C$46:$C$49,0),MATCH(BL$75,$BE$75:$BZ$75,0))</f>
        <v>0</v>
      </c>
      <c r="BM151" s="406">
        <f>INDEX($BE$152:$BZ$155,MATCH($O$3,$C$46:$C$49,0),MATCH(BM$75,$BE$75:$BZ$75,0))</f>
        <v>0</v>
      </c>
      <c r="BN151" s="406">
        <f>INDEX($BE$152:$BZ$155,MATCH($O$3,$C$46:$C$49,0),MATCH(BN$75,$BE$75:$BZ$75,0))</f>
        <v>0</v>
      </c>
      <c r="BO151" s="406">
        <f>INDEX($BE$152:$BZ$155,MATCH($O$3,$C$46:$C$49,0),MATCH(BO$75,$BE$75:$BZ$75,0))</f>
        <v>0</v>
      </c>
      <c r="BP151" s="404">
        <f>BP150/BK150-1</f>
        <v>0</v>
      </c>
      <c r="BQ151" s="405">
        <f>INDEX($BE$152:$BZ$155,MATCH($O$3,$C$46:$C$49,0),MATCH(BQ$75,$BE$75:$BZ$75,0))</f>
        <v>0</v>
      </c>
      <c r="BR151" s="406">
        <f>INDEX($BE$152:$BZ$155,MATCH($O$3,$C$46:$C$49,0),MATCH(BR$75,$BE$75:$BZ$75,0))</f>
        <v>0</v>
      </c>
      <c r="BS151" s="406">
        <f>INDEX($BE$152:$BZ$155,MATCH($O$3,$C$46:$C$49,0),MATCH(BS$75,$BE$75:$BZ$75,0))</f>
        <v>0</v>
      </c>
      <c r="BT151" s="406">
        <f>INDEX($BE$152:$BZ$155,MATCH($O$3,$C$46:$C$49,0),MATCH(BT$75,$BE$75:$BZ$75,0))</f>
        <v>0</v>
      </c>
      <c r="BU151" s="404">
        <f>BU150/BP150-1</f>
        <v>0</v>
      </c>
      <c r="BV151" s="405">
        <f>INDEX($BE$152:$BZ$155,MATCH($O$3,$C$46:$C$49,0),MATCH(BV$75,$BE$75:$BZ$75,0))</f>
        <v>0</v>
      </c>
      <c r="BW151" s="406">
        <f>INDEX($BE$152:$BZ$155,MATCH($O$3,$C$46:$C$49,0),MATCH(BW$75,$BE$75:$BZ$75,0))</f>
        <v>0</v>
      </c>
      <c r="BX151" s="406">
        <f>INDEX($BE$152:$BZ$155,MATCH($O$3,$C$46:$C$49,0),MATCH(BX$75,$BE$75:$BZ$75,0))</f>
        <v>0</v>
      </c>
      <c r="BY151" s="406">
        <f>INDEX($BE$152:$BZ$155,MATCH($O$3,$C$46:$C$49,0),MATCH(BY$75,$BE$75:$BZ$75,0))</f>
        <v>0</v>
      </c>
      <c r="BZ151" s="404">
        <f>BZ150/BU150-1</f>
        <v>0</v>
      </c>
    </row>
    <row r="152" spans="3:78" ht="14.1" hidden="1" customHeight="1" outlineLevel="1" x14ac:dyDescent="0.2">
      <c r="C152" s="427" t="str">
        <f>C146</f>
        <v>Reversed</v>
      </c>
      <c r="D152" s="401"/>
      <c r="E152" s="432"/>
      <c r="F152" s="432"/>
      <c r="G152" s="432"/>
      <c r="H152" s="432"/>
      <c r="I152" s="432"/>
      <c r="J152" s="432"/>
      <c r="K152" s="432"/>
      <c r="L152" s="432"/>
      <c r="M152" s="432"/>
      <c r="N152" s="432"/>
      <c r="O152" s="433"/>
      <c r="P152" s="248"/>
      <c r="Q152" s="248"/>
      <c r="R152" s="409" t="str">
        <f t="shared" si="104"/>
        <v>Reversed</v>
      </c>
      <c r="S152" s="398"/>
      <c r="T152" s="263"/>
      <c r="U152" s="263"/>
      <c r="V152" s="263"/>
      <c r="W152" s="264"/>
      <c r="X152" s="398"/>
      <c r="Y152" s="263"/>
      <c r="Z152" s="263"/>
      <c r="AA152" s="263"/>
      <c r="AB152" s="264"/>
      <c r="AC152" s="398"/>
      <c r="AD152" s="263"/>
      <c r="AE152" s="263"/>
      <c r="AF152" s="263"/>
      <c r="AG152" s="264"/>
      <c r="AH152" s="398"/>
      <c r="AI152" s="263"/>
      <c r="AJ152" s="263"/>
      <c r="AK152" s="263"/>
      <c r="AL152" s="264"/>
      <c r="AM152" s="398"/>
      <c r="AN152" s="263"/>
      <c r="AO152" s="263"/>
      <c r="AP152" s="263"/>
      <c r="AQ152" s="264"/>
      <c r="AR152" s="398"/>
      <c r="AS152" s="263"/>
      <c r="AT152" s="263"/>
      <c r="AU152" s="263"/>
      <c r="AV152" s="264"/>
      <c r="AW152" s="398"/>
      <c r="AX152" s="263"/>
      <c r="AY152" s="263"/>
      <c r="AZ152" s="263"/>
      <c r="BA152" s="264"/>
      <c r="BB152" s="398"/>
      <c r="BC152" s="263"/>
      <c r="BD152" s="263"/>
      <c r="BE152" s="263">
        <v>3.9E-2</v>
      </c>
      <c r="BF152" s="264"/>
      <c r="BG152" s="398">
        <v>9.6000000000000002E-2</v>
      </c>
      <c r="BH152" s="263">
        <v>0.105</v>
      </c>
      <c r="BI152" s="263">
        <v>0.10100000000000001</v>
      </c>
      <c r="BJ152" s="263">
        <v>9.4E-2</v>
      </c>
      <c r="BK152" s="264"/>
      <c r="BL152" s="398">
        <v>3.9E-2</v>
      </c>
      <c r="BM152" s="263">
        <v>4.1000000000000002E-2</v>
      </c>
      <c r="BN152" s="263">
        <v>4.4999999999999998E-2</v>
      </c>
      <c r="BO152" s="263">
        <v>4.3999999999999997E-2</v>
      </c>
      <c r="BP152" s="264"/>
      <c r="BQ152" s="398">
        <v>3.9E-2</v>
      </c>
      <c r="BR152" s="263">
        <v>4.1000000000000002E-2</v>
      </c>
      <c r="BS152" s="263">
        <v>4.4999999999999998E-2</v>
      </c>
      <c r="BT152" s="263">
        <v>4.3999999999999997E-2</v>
      </c>
      <c r="BU152" s="264"/>
      <c r="BV152" s="398">
        <v>3.9E-2</v>
      </c>
      <c r="BW152" s="263">
        <v>4.1000000000000002E-2</v>
      </c>
      <c r="BX152" s="263">
        <v>4.4999999999999998E-2</v>
      </c>
      <c r="BY152" s="263">
        <v>4.3999999999999997E-2</v>
      </c>
      <c r="BZ152" s="264"/>
    </row>
    <row r="153" spans="3:78" ht="14.1" hidden="1" customHeight="1" outlineLevel="1" x14ac:dyDescent="0.2">
      <c r="C153" s="409" t="str">
        <f>C147</f>
        <v>Base</v>
      </c>
      <c r="D153" s="382"/>
      <c r="E153" s="434"/>
      <c r="F153" s="434"/>
      <c r="G153" s="434"/>
      <c r="H153" s="434"/>
      <c r="I153" s="434"/>
      <c r="J153" s="434"/>
      <c r="K153" s="434"/>
      <c r="L153" s="434"/>
      <c r="M153" s="434"/>
      <c r="N153" s="434"/>
      <c r="O153" s="435"/>
      <c r="P153" s="248"/>
      <c r="Q153" s="248"/>
      <c r="R153" s="409" t="str">
        <f t="shared" si="104"/>
        <v>Base</v>
      </c>
      <c r="S153" s="398"/>
      <c r="T153" s="263"/>
      <c r="U153" s="263"/>
      <c r="V153" s="263"/>
      <c r="W153" s="264"/>
      <c r="X153" s="398"/>
      <c r="Y153" s="263"/>
      <c r="Z153" s="263"/>
      <c r="AA153" s="263"/>
      <c r="AB153" s="264"/>
      <c r="AC153" s="398"/>
      <c r="AD153" s="263"/>
      <c r="AE153" s="263"/>
      <c r="AF153" s="263"/>
      <c r="AG153" s="264"/>
      <c r="AH153" s="398"/>
      <c r="AI153" s="263"/>
      <c r="AJ153" s="263"/>
      <c r="AK153" s="263"/>
      <c r="AL153" s="264"/>
      <c r="AM153" s="398"/>
      <c r="AN153" s="263"/>
      <c r="AO153" s="263"/>
      <c r="AP153" s="263"/>
      <c r="AQ153" s="264"/>
      <c r="AR153" s="398"/>
      <c r="AS153" s="263"/>
      <c r="AT153" s="263"/>
      <c r="AU153" s="263"/>
      <c r="AV153" s="264"/>
      <c r="AW153" s="398"/>
      <c r="AX153" s="263"/>
      <c r="AY153" s="263"/>
      <c r="AZ153" s="263"/>
      <c r="BA153" s="264"/>
      <c r="BB153" s="398"/>
      <c r="BC153" s="263"/>
      <c r="BD153" s="263"/>
      <c r="BE153" s="263"/>
      <c r="BF153" s="264"/>
      <c r="BG153" s="398"/>
      <c r="BH153" s="263"/>
      <c r="BI153" s="263"/>
      <c r="BJ153" s="263"/>
      <c r="BK153" s="264"/>
      <c r="BL153" s="398"/>
      <c r="BM153" s="263"/>
      <c r="BN153" s="263"/>
      <c r="BO153" s="263"/>
      <c r="BP153" s="264"/>
      <c r="BQ153" s="398"/>
      <c r="BR153" s="263"/>
      <c r="BS153" s="263"/>
      <c r="BT153" s="263"/>
      <c r="BU153" s="264"/>
      <c r="BV153" s="398"/>
      <c r="BW153" s="263"/>
      <c r="BX153" s="263"/>
      <c r="BY153" s="263"/>
      <c r="BZ153" s="264"/>
    </row>
    <row r="154" spans="3:78" ht="14.1" hidden="1" customHeight="1" outlineLevel="1" x14ac:dyDescent="0.2">
      <c r="C154" s="409" t="str">
        <f>C148</f>
        <v>Bull</v>
      </c>
      <c r="D154" s="382"/>
      <c r="E154" s="434"/>
      <c r="F154" s="434"/>
      <c r="G154" s="434"/>
      <c r="H154" s="434"/>
      <c r="I154" s="434"/>
      <c r="J154" s="434"/>
      <c r="K154" s="434"/>
      <c r="L154" s="434"/>
      <c r="M154" s="434"/>
      <c r="N154" s="434"/>
      <c r="O154" s="435"/>
      <c r="P154" s="248"/>
      <c r="Q154" s="248"/>
      <c r="R154" s="409" t="str">
        <f t="shared" si="104"/>
        <v>Bull</v>
      </c>
      <c r="S154" s="398"/>
      <c r="T154" s="263"/>
      <c r="U154" s="263"/>
      <c r="V154" s="263"/>
      <c r="W154" s="264"/>
      <c r="X154" s="398"/>
      <c r="Y154" s="263"/>
      <c r="Z154" s="263"/>
      <c r="AA154" s="263"/>
      <c r="AB154" s="264"/>
      <c r="AC154" s="398"/>
      <c r="AD154" s="263"/>
      <c r="AE154" s="263"/>
      <c r="AF154" s="263"/>
      <c r="AG154" s="264"/>
      <c r="AH154" s="398"/>
      <c r="AI154" s="263"/>
      <c r="AJ154" s="263"/>
      <c r="AK154" s="263"/>
      <c r="AL154" s="264"/>
      <c r="AM154" s="398"/>
      <c r="AN154" s="263"/>
      <c r="AO154" s="263"/>
      <c r="AP154" s="263"/>
      <c r="AQ154" s="264"/>
      <c r="AR154" s="398"/>
      <c r="AS154" s="263"/>
      <c r="AT154" s="263"/>
      <c r="AU154" s="263"/>
      <c r="AV154" s="264"/>
      <c r="AW154" s="398"/>
      <c r="AX154" s="263"/>
      <c r="AY154" s="263"/>
      <c r="AZ154" s="263"/>
      <c r="BA154" s="264"/>
      <c r="BB154" s="398"/>
      <c r="BC154" s="263"/>
      <c r="BD154" s="263"/>
      <c r="BE154" s="263"/>
      <c r="BF154" s="264"/>
      <c r="BG154" s="398"/>
      <c r="BH154" s="263"/>
      <c r="BI154" s="263"/>
      <c r="BJ154" s="263"/>
      <c r="BK154" s="264"/>
      <c r="BL154" s="398"/>
      <c r="BM154" s="263"/>
      <c r="BN154" s="263"/>
      <c r="BO154" s="263"/>
      <c r="BP154" s="264"/>
      <c r="BQ154" s="398"/>
      <c r="BR154" s="263"/>
      <c r="BS154" s="263"/>
      <c r="BT154" s="263"/>
      <c r="BU154" s="264"/>
      <c r="BV154" s="398"/>
      <c r="BW154" s="263"/>
      <c r="BX154" s="263"/>
      <c r="BY154" s="263"/>
      <c r="BZ154" s="264"/>
    </row>
    <row r="155" spans="3:78" ht="14.1" hidden="1" customHeight="1" outlineLevel="1" x14ac:dyDescent="0.2">
      <c r="C155" s="410" t="str">
        <f>C149</f>
        <v>Bear</v>
      </c>
      <c r="D155" s="428"/>
      <c r="E155" s="436"/>
      <c r="F155" s="436"/>
      <c r="G155" s="436"/>
      <c r="H155" s="436"/>
      <c r="I155" s="436"/>
      <c r="J155" s="436"/>
      <c r="K155" s="436"/>
      <c r="L155" s="436"/>
      <c r="M155" s="436"/>
      <c r="N155" s="436"/>
      <c r="O155" s="437"/>
      <c r="P155" s="248"/>
      <c r="Q155" s="248"/>
      <c r="R155" s="409" t="str">
        <f t="shared" si="104"/>
        <v>Bear</v>
      </c>
      <c r="S155" s="399"/>
      <c r="T155" s="267"/>
      <c r="U155" s="267"/>
      <c r="V155" s="267"/>
      <c r="W155" s="268"/>
      <c r="X155" s="399"/>
      <c r="Y155" s="267"/>
      <c r="Z155" s="267"/>
      <c r="AA155" s="267"/>
      <c r="AB155" s="268"/>
      <c r="AC155" s="399"/>
      <c r="AD155" s="267"/>
      <c r="AE155" s="267"/>
      <c r="AF155" s="267"/>
      <c r="AG155" s="268"/>
      <c r="AH155" s="399"/>
      <c r="AI155" s="267"/>
      <c r="AJ155" s="267"/>
      <c r="AK155" s="267"/>
      <c r="AL155" s="268"/>
      <c r="AM155" s="399"/>
      <c r="AN155" s="267"/>
      <c r="AO155" s="267"/>
      <c r="AP155" s="267"/>
      <c r="AQ155" s="268"/>
      <c r="AR155" s="399"/>
      <c r="AS155" s="267"/>
      <c r="AT155" s="267"/>
      <c r="AU155" s="267"/>
      <c r="AV155" s="268"/>
      <c r="AW155" s="399"/>
      <c r="AX155" s="267"/>
      <c r="AY155" s="267"/>
      <c r="AZ155" s="267"/>
      <c r="BA155" s="268"/>
      <c r="BB155" s="399"/>
      <c r="BC155" s="267"/>
      <c r="BD155" s="267"/>
      <c r="BE155" s="267"/>
      <c r="BF155" s="268"/>
      <c r="BG155" s="399"/>
      <c r="BH155" s="267"/>
      <c r="BI155" s="267"/>
      <c r="BJ155" s="267"/>
      <c r="BK155" s="268"/>
      <c r="BL155" s="399"/>
      <c r="BM155" s="267"/>
      <c r="BN155" s="267"/>
      <c r="BO155" s="267"/>
      <c r="BP155" s="268"/>
      <c r="BQ155" s="399"/>
      <c r="BR155" s="267"/>
      <c r="BS155" s="267"/>
      <c r="BT155" s="267"/>
      <c r="BU155" s="268"/>
      <c r="BV155" s="399"/>
      <c r="BW155" s="267"/>
      <c r="BX155" s="267"/>
      <c r="BY155" s="267"/>
      <c r="BZ155" s="268"/>
    </row>
    <row r="156" spans="3:78" ht="14.1" hidden="1" customHeight="1" outlineLevel="1" x14ac:dyDescent="0.2">
      <c r="C156" s="408" t="str">
        <f>'Income Statement'!C15</f>
        <v>Claims and insurance</v>
      </c>
      <c r="D156" s="401">
        <f>W156</f>
        <v>37.161999999999999</v>
      </c>
      <c r="E156" s="401">
        <f>AB156</f>
        <v>38.424999999999997</v>
      </c>
      <c r="F156" s="401">
        <f>AG156</f>
        <v>43.073</v>
      </c>
      <c r="G156" s="401">
        <f>AL156</f>
        <v>49.761000000000003</v>
      </c>
      <c r="H156" s="401">
        <f>AQ156</f>
        <v>61.344999999999999</v>
      </c>
      <c r="I156" s="401">
        <f>AV156</f>
        <v>56.600999999999999</v>
      </c>
      <c r="J156" s="401">
        <f>BA156</f>
        <v>67.983999999999995</v>
      </c>
      <c r="K156" s="401">
        <f>BF156</f>
        <v>74.509999999999991</v>
      </c>
      <c r="L156" s="401">
        <f>BK156</f>
        <v>74.509999999999991</v>
      </c>
      <c r="M156" s="401">
        <f>BP156</f>
        <v>74.509999999999991</v>
      </c>
      <c r="N156" s="401">
        <f>BU156</f>
        <v>74.509999999999991</v>
      </c>
      <c r="O156" s="407">
        <f>BZ156</f>
        <v>74.509999999999991</v>
      </c>
      <c r="P156" s="248"/>
      <c r="Q156" s="248"/>
      <c r="R156" s="411" t="str">
        <f t="shared" si="104"/>
        <v>Claims and insurance</v>
      </c>
      <c r="S156" s="400">
        <f>'Income Statement'!S15</f>
        <v>9.0489999999999995</v>
      </c>
      <c r="T156" s="401">
        <f>'Income Statement'!T15</f>
        <v>10.426</v>
      </c>
      <c r="U156" s="401">
        <f>'Income Statement'!U15</f>
        <v>8.5350000000000001</v>
      </c>
      <c r="V156" s="401">
        <f>'Income Statement'!V15</f>
        <v>9.1519999999999975</v>
      </c>
      <c r="W156" s="402">
        <f>SUM(S156:V156)</f>
        <v>37.161999999999999</v>
      </c>
      <c r="X156" s="400">
        <f>'Income Statement'!X15</f>
        <v>10.191000000000001</v>
      </c>
      <c r="Y156" s="401">
        <f>'Income Statement'!Y15</f>
        <v>9.91</v>
      </c>
      <c r="Z156" s="401">
        <f>'Income Statement'!Z15</f>
        <v>9.9849999999999994</v>
      </c>
      <c r="AA156" s="401">
        <f>'Income Statement'!AA15</f>
        <v>8.3389999999999986</v>
      </c>
      <c r="AB156" s="402">
        <f>SUM(X156:AA156)</f>
        <v>38.424999999999997</v>
      </c>
      <c r="AC156" s="400">
        <f>'Income Statement'!AC15</f>
        <v>9.5299999999999994</v>
      </c>
      <c r="AD156" s="401">
        <f>'Income Statement'!AD15</f>
        <v>13.156000000000001</v>
      </c>
      <c r="AE156" s="401">
        <f>'Income Statement'!AE15</f>
        <v>7.85</v>
      </c>
      <c r="AF156" s="401">
        <f>'Income Statement'!AF15</f>
        <v>12.536999999999999</v>
      </c>
      <c r="AG156" s="402">
        <f>SUM(AC156:AF156)</f>
        <v>43.073</v>
      </c>
      <c r="AH156" s="400">
        <f>'Income Statement'!AH15</f>
        <v>10.420999999999999</v>
      </c>
      <c r="AI156" s="401">
        <f>'Income Statement'!AI15</f>
        <v>18.292999999999999</v>
      </c>
      <c r="AJ156" s="401">
        <f>'Income Statement'!AJ15</f>
        <v>11.938000000000001</v>
      </c>
      <c r="AK156" s="401">
        <f>'Income Statement'!AK15</f>
        <v>9.1090000000000018</v>
      </c>
      <c r="AL156" s="402">
        <f>SUM(AH156:AK156)</f>
        <v>49.761000000000003</v>
      </c>
      <c r="AM156" s="400">
        <f>'Income Statement'!AM15</f>
        <v>11.48</v>
      </c>
      <c r="AN156" s="401">
        <f>'Income Statement'!AN15</f>
        <v>17.327999999999999</v>
      </c>
      <c r="AO156" s="401">
        <f>'Income Statement'!AO15</f>
        <v>15.518000000000001</v>
      </c>
      <c r="AP156" s="401">
        <f>'Income Statement'!AP15</f>
        <v>17.018999999999998</v>
      </c>
      <c r="AQ156" s="402">
        <f>SUM(AM156:AP156)</f>
        <v>61.344999999999999</v>
      </c>
      <c r="AR156" s="400">
        <f>'Income Statement'!AR15</f>
        <v>10.736000000000001</v>
      </c>
      <c r="AS156" s="401">
        <f>'Income Statement'!AS15</f>
        <v>14.215999999999999</v>
      </c>
      <c r="AT156" s="401">
        <f>'Income Statement'!AT15</f>
        <v>15.988</v>
      </c>
      <c r="AU156" s="401">
        <f>'Income Statement'!AU15</f>
        <v>15.661000000000001</v>
      </c>
      <c r="AV156" s="402">
        <f>SUM(AR156:AU156)</f>
        <v>56.600999999999999</v>
      </c>
      <c r="AW156" s="400">
        <f>'Income Statement'!AW15</f>
        <v>14.058999999999999</v>
      </c>
      <c r="AX156" s="401">
        <f>'Income Statement'!AX15</f>
        <v>16.956</v>
      </c>
      <c r="AY156" s="401">
        <f>'Income Statement'!AY15</f>
        <v>18.024000000000001</v>
      </c>
      <c r="AZ156" s="401">
        <f>'Income Statement'!AZ15</f>
        <v>18.944999999999993</v>
      </c>
      <c r="BA156" s="402">
        <f>SUM(AW156:AZ156)</f>
        <v>67.983999999999995</v>
      </c>
      <c r="BB156" s="400">
        <f>'Income Statement'!BB15</f>
        <v>17.463000000000001</v>
      </c>
      <c r="BC156" s="401">
        <f>'Income Statement'!BC15</f>
        <v>18.827999999999999</v>
      </c>
      <c r="BD156" s="401">
        <f>'Income Statement'!BD15</f>
        <v>19.274000000000001</v>
      </c>
      <c r="BE156" s="401">
        <f>AZ156*(1+BE157)</f>
        <v>18.944999999999993</v>
      </c>
      <c r="BF156" s="402">
        <f>SUM(BB156:BE156)</f>
        <v>74.509999999999991</v>
      </c>
      <c r="BG156" s="400">
        <f>BB156*(1+BG157)</f>
        <v>17.463000000000001</v>
      </c>
      <c r="BH156" s="401">
        <f>BC156*(1+BH157)</f>
        <v>18.827999999999999</v>
      </c>
      <c r="BI156" s="401">
        <f>BD156*(1+BI157)</f>
        <v>19.274000000000001</v>
      </c>
      <c r="BJ156" s="401">
        <f>BE156*(1+BJ157)</f>
        <v>18.944999999999993</v>
      </c>
      <c r="BK156" s="402">
        <f>SUM(BG156:BJ156)</f>
        <v>74.509999999999991</v>
      </c>
      <c r="BL156" s="400">
        <f>BG156*(1+BL157)</f>
        <v>17.463000000000001</v>
      </c>
      <c r="BM156" s="401">
        <f>BH156*(1+BM157)</f>
        <v>18.827999999999999</v>
      </c>
      <c r="BN156" s="401">
        <f>BI156*(1+BN157)</f>
        <v>19.274000000000001</v>
      </c>
      <c r="BO156" s="401">
        <f>BJ156*(1+BO157)</f>
        <v>18.944999999999993</v>
      </c>
      <c r="BP156" s="402">
        <f>SUM(BL156:BO156)</f>
        <v>74.509999999999991</v>
      </c>
      <c r="BQ156" s="400">
        <f>BL156*(1+BQ157)</f>
        <v>17.463000000000001</v>
      </c>
      <c r="BR156" s="401">
        <f>BM156*(1+BR157)</f>
        <v>18.827999999999999</v>
      </c>
      <c r="BS156" s="401">
        <f>BN156*(1+BS157)</f>
        <v>19.274000000000001</v>
      </c>
      <c r="BT156" s="401">
        <f>BO156*(1+BT157)</f>
        <v>18.944999999999993</v>
      </c>
      <c r="BU156" s="402">
        <f>SUM(BQ156:BT156)</f>
        <v>74.509999999999991</v>
      </c>
      <c r="BV156" s="400">
        <f>BQ156*(1+BV157)</f>
        <v>17.463000000000001</v>
      </c>
      <c r="BW156" s="401">
        <f>BR156*(1+BW157)</f>
        <v>18.827999999999999</v>
      </c>
      <c r="BX156" s="401">
        <f>BS156*(1+BX157)</f>
        <v>19.274000000000001</v>
      </c>
      <c r="BY156" s="401">
        <f>BT156*(1+BY157)</f>
        <v>18.944999999999993</v>
      </c>
      <c r="BZ156" s="402">
        <f>SUM(BV156:BY156)</f>
        <v>74.509999999999991</v>
      </c>
    </row>
    <row r="157" spans="3:78" ht="14.1" hidden="1" customHeight="1" outlineLevel="1" x14ac:dyDescent="0.2">
      <c r="C157" s="412" t="str">
        <f>C151</f>
        <v>Growth %</v>
      </c>
      <c r="D157" s="429"/>
      <c r="E157" s="430">
        <f t="shared" ref="E157:O157" si="107">IFERROR(E156/D156-1,"NM")</f>
        <v>3.3986330122167674E-2</v>
      </c>
      <c r="F157" s="430">
        <f t="shared" si="107"/>
        <v>0.12096291476903076</v>
      </c>
      <c r="G157" s="430">
        <f t="shared" si="107"/>
        <v>0.15527128363475962</v>
      </c>
      <c r="H157" s="430">
        <f t="shared" si="107"/>
        <v>0.23279274934185401</v>
      </c>
      <c r="I157" s="430">
        <f t="shared" si="107"/>
        <v>-7.733311598337278E-2</v>
      </c>
      <c r="J157" s="430">
        <f t="shared" si="107"/>
        <v>0.20110952103319724</v>
      </c>
      <c r="K157" s="430">
        <f t="shared" si="107"/>
        <v>9.5993174864674069E-2</v>
      </c>
      <c r="L157" s="430">
        <f t="shared" si="107"/>
        <v>0</v>
      </c>
      <c r="M157" s="430">
        <f t="shared" si="107"/>
        <v>0</v>
      </c>
      <c r="N157" s="430">
        <f t="shared" si="107"/>
        <v>0</v>
      </c>
      <c r="O157" s="431">
        <f t="shared" si="107"/>
        <v>0</v>
      </c>
      <c r="P157" s="248"/>
      <c r="Q157" s="248"/>
      <c r="R157" s="412" t="str">
        <f t="shared" si="104"/>
        <v>Growth %</v>
      </c>
      <c r="S157" s="405"/>
      <c r="T157" s="406"/>
      <c r="U157" s="406"/>
      <c r="V157" s="406"/>
      <c r="W157" s="404"/>
      <c r="X157" s="405">
        <f t="shared" ref="X157:BD157" si="108">IFERROR(X156/S156-1,"NM")</f>
        <v>0.12620179025306677</v>
      </c>
      <c r="Y157" s="406">
        <f t="shared" si="108"/>
        <v>-4.9491655476692875E-2</v>
      </c>
      <c r="Z157" s="406">
        <f t="shared" si="108"/>
        <v>0.1698886936145283</v>
      </c>
      <c r="AA157" s="406">
        <f t="shared" si="108"/>
        <v>-8.883304195804187E-2</v>
      </c>
      <c r="AB157" s="404">
        <f t="shared" si="108"/>
        <v>3.3986330122167674E-2</v>
      </c>
      <c r="AC157" s="405">
        <f t="shared" si="108"/>
        <v>-6.4861151996860156E-2</v>
      </c>
      <c r="AD157" s="406">
        <f t="shared" si="108"/>
        <v>0.32754793138244209</v>
      </c>
      <c r="AE157" s="406">
        <f t="shared" si="108"/>
        <v>-0.21382073109664501</v>
      </c>
      <c r="AF157" s="406">
        <f t="shared" si="108"/>
        <v>0.50341767598033349</v>
      </c>
      <c r="AG157" s="404">
        <f t="shared" si="108"/>
        <v>0.12096291476903076</v>
      </c>
      <c r="AH157" s="405">
        <f t="shared" si="108"/>
        <v>9.3494228751311637E-2</v>
      </c>
      <c r="AI157" s="406">
        <f t="shared" si="108"/>
        <v>0.39046822742474907</v>
      </c>
      <c r="AJ157" s="406">
        <f t="shared" si="108"/>
        <v>0.52076433121019128</v>
      </c>
      <c r="AK157" s="406">
        <f t="shared" si="108"/>
        <v>-0.27343064528994154</v>
      </c>
      <c r="AL157" s="404">
        <f t="shared" si="108"/>
        <v>0.15527128363475962</v>
      </c>
      <c r="AM157" s="405">
        <f t="shared" si="108"/>
        <v>0.10162172536224934</v>
      </c>
      <c r="AN157" s="406">
        <f t="shared" si="108"/>
        <v>-5.2752418958071368E-2</v>
      </c>
      <c r="AO157" s="406">
        <f t="shared" si="108"/>
        <v>0.29988272742502931</v>
      </c>
      <c r="AP157" s="406">
        <f t="shared" si="108"/>
        <v>0.8683719398397185</v>
      </c>
      <c r="AQ157" s="404">
        <f t="shared" si="108"/>
        <v>0.23279274934185401</v>
      </c>
      <c r="AR157" s="405">
        <f t="shared" si="108"/>
        <v>-6.4808362369337957E-2</v>
      </c>
      <c r="AS157" s="406">
        <f t="shared" si="108"/>
        <v>-0.17959372114496774</v>
      </c>
      <c r="AT157" s="406">
        <f t="shared" si="108"/>
        <v>3.0287408171155938E-2</v>
      </c>
      <c r="AU157" s="406">
        <f t="shared" si="108"/>
        <v>-7.9793172336799834E-2</v>
      </c>
      <c r="AV157" s="404">
        <f t="shared" si="108"/>
        <v>-7.733311598337278E-2</v>
      </c>
      <c r="AW157" s="405">
        <f t="shared" si="108"/>
        <v>0.30951937406855423</v>
      </c>
      <c r="AX157" s="406">
        <f t="shared" si="108"/>
        <v>0.19274057400112543</v>
      </c>
      <c r="AY157" s="406">
        <f t="shared" si="108"/>
        <v>0.12734550913184894</v>
      </c>
      <c r="AZ157" s="406">
        <f t="shared" si="108"/>
        <v>0.20969286763297301</v>
      </c>
      <c r="BA157" s="404">
        <f t="shared" si="108"/>
        <v>0.20110952103319724</v>
      </c>
      <c r="BB157" s="405">
        <f t="shared" si="108"/>
        <v>0.24212248381819479</v>
      </c>
      <c r="BC157" s="406">
        <f t="shared" si="108"/>
        <v>0.11040339702760082</v>
      </c>
      <c r="BD157" s="406">
        <f t="shared" si="108"/>
        <v>6.9351975144252176E-2</v>
      </c>
      <c r="BE157" s="406">
        <f>INDEX($BE$158:$BZ$161,MATCH($O$3,$C$46:$C$49,0),MATCH(BE$75,$BE$75:$BZ$75,0))</f>
        <v>0</v>
      </c>
      <c r="BF157" s="404">
        <f>BF156/BA156-1</f>
        <v>9.5993174864674069E-2</v>
      </c>
      <c r="BG157" s="405">
        <f>INDEX($BE$158:$BZ$161,MATCH($O$3,$C$46:$C$49,0),MATCH(BG$75,$BE$75:$BZ$75,0))</f>
        <v>0</v>
      </c>
      <c r="BH157" s="406">
        <f>INDEX($BE$158:$BZ$161,MATCH($O$3,$C$46:$C$49,0),MATCH(BH$75,$BE$75:$BZ$75,0))</f>
        <v>0</v>
      </c>
      <c r="BI157" s="406">
        <f>INDEX($BE$158:$BZ$161,MATCH($O$3,$C$46:$C$49,0),MATCH(BI$75,$BE$75:$BZ$75,0))</f>
        <v>0</v>
      </c>
      <c r="BJ157" s="406">
        <f>INDEX($BE$158:$BZ$161,MATCH($O$3,$C$46:$C$49,0),MATCH(BJ$75,$BE$75:$BZ$75,0))</f>
        <v>0</v>
      </c>
      <c r="BK157" s="404">
        <f>BK156/BF156-1</f>
        <v>0</v>
      </c>
      <c r="BL157" s="405">
        <f>INDEX($BE$158:$BZ$161,MATCH($O$3,$C$46:$C$49,0),MATCH(BL$75,$BE$75:$BZ$75,0))</f>
        <v>0</v>
      </c>
      <c r="BM157" s="406">
        <f>INDEX($BE$158:$BZ$161,MATCH($O$3,$C$46:$C$49,0),MATCH(BM$75,$BE$75:$BZ$75,0))</f>
        <v>0</v>
      </c>
      <c r="BN157" s="406">
        <f>INDEX($BE$158:$BZ$161,MATCH($O$3,$C$46:$C$49,0),MATCH(BN$75,$BE$75:$BZ$75,0))</f>
        <v>0</v>
      </c>
      <c r="BO157" s="406">
        <f>INDEX($BE$158:$BZ$161,MATCH($O$3,$C$46:$C$49,0),MATCH(BO$75,$BE$75:$BZ$75,0))</f>
        <v>0</v>
      </c>
      <c r="BP157" s="404">
        <f>BP156/BK156-1</f>
        <v>0</v>
      </c>
      <c r="BQ157" s="405">
        <f>INDEX($BE$158:$BZ$161,MATCH($O$3,$C$46:$C$49,0),MATCH(BQ$75,$BE$75:$BZ$75,0))</f>
        <v>0</v>
      </c>
      <c r="BR157" s="406">
        <f>INDEX($BE$158:$BZ$161,MATCH($O$3,$C$46:$C$49,0),MATCH(BR$75,$BE$75:$BZ$75,0))</f>
        <v>0</v>
      </c>
      <c r="BS157" s="406">
        <f>INDEX($BE$158:$BZ$161,MATCH($O$3,$C$46:$C$49,0),MATCH(BS$75,$BE$75:$BZ$75,0))</f>
        <v>0</v>
      </c>
      <c r="BT157" s="406">
        <f>INDEX($BE$158:$BZ$161,MATCH($O$3,$C$46:$C$49,0),MATCH(BT$75,$BE$75:$BZ$75,0))</f>
        <v>0</v>
      </c>
      <c r="BU157" s="404">
        <f>BU156/BP156-1</f>
        <v>0</v>
      </c>
      <c r="BV157" s="405">
        <f>INDEX($BE$158:$BZ$161,MATCH($O$3,$C$46:$C$49,0),MATCH(BV$75,$BE$75:$BZ$75,0))</f>
        <v>0</v>
      </c>
      <c r="BW157" s="406">
        <f>INDEX($BE$158:$BZ$161,MATCH($O$3,$C$46:$C$49,0),MATCH(BW$75,$BE$75:$BZ$75,0))</f>
        <v>0</v>
      </c>
      <c r="BX157" s="406">
        <f>INDEX($BE$158:$BZ$161,MATCH($O$3,$C$46:$C$49,0),MATCH(BX$75,$BE$75:$BZ$75,0))</f>
        <v>0</v>
      </c>
      <c r="BY157" s="406">
        <f>INDEX($BE$158:$BZ$161,MATCH($O$3,$C$46:$C$49,0),MATCH(BY$75,$BE$75:$BZ$75,0))</f>
        <v>0</v>
      </c>
      <c r="BZ157" s="404">
        <f>BZ156/BU156-1</f>
        <v>0</v>
      </c>
    </row>
    <row r="158" spans="3:78" ht="14.1" hidden="1" customHeight="1" outlineLevel="1" x14ac:dyDescent="0.2">
      <c r="C158" s="427" t="str">
        <f>C152</f>
        <v>Reversed</v>
      </c>
      <c r="D158" s="401"/>
      <c r="E158" s="432"/>
      <c r="F158" s="432"/>
      <c r="G158" s="432"/>
      <c r="H158" s="432"/>
      <c r="I158" s="432"/>
      <c r="J158" s="432"/>
      <c r="K158" s="432"/>
      <c r="L158" s="432"/>
      <c r="M158" s="432"/>
      <c r="N158" s="432"/>
      <c r="O158" s="433"/>
      <c r="P158" s="248"/>
      <c r="Q158" s="248"/>
      <c r="R158" s="409" t="str">
        <f t="shared" si="104"/>
        <v>Reversed</v>
      </c>
      <c r="S158" s="398"/>
      <c r="T158" s="263"/>
      <c r="U158" s="263"/>
      <c r="V158" s="263"/>
      <c r="W158" s="264"/>
      <c r="X158" s="398"/>
      <c r="Y158" s="263"/>
      <c r="Z158" s="263"/>
      <c r="AA158" s="263"/>
      <c r="AB158" s="264"/>
      <c r="AC158" s="398"/>
      <c r="AD158" s="263"/>
      <c r="AE158" s="263"/>
      <c r="AF158" s="263"/>
      <c r="AG158" s="264"/>
      <c r="AH158" s="398"/>
      <c r="AI158" s="263"/>
      <c r="AJ158" s="263"/>
      <c r="AK158" s="263"/>
      <c r="AL158" s="264"/>
      <c r="AM158" s="398"/>
      <c r="AN158" s="263"/>
      <c r="AO158" s="263"/>
      <c r="AP158" s="263"/>
      <c r="AQ158" s="264"/>
      <c r="AR158" s="398"/>
      <c r="AS158" s="263"/>
      <c r="AT158" s="263"/>
      <c r="AU158" s="263"/>
      <c r="AV158" s="264"/>
      <c r="AW158" s="398"/>
      <c r="AX158" s="263"/>
      <c r="AY158" s="263"/>
      <c r="AZ158" s="263"/>
      <c r="BA158" s="264"/>
      <c r="BB158" s="398"/>
      <c r="BC158" s="263"/>
      <c r="BD158" s="263"/>
      <c r="BE158" s="263">
        <v>5.0999999999999997E-2</v>
      </c>
      <c r="BF158" s="264"/>
      <c r="BG158" s="398">
        <v>5.8000000000000003E-2</v>
      </c>
      <c r="BH158" s="263">
        <v>0.06</v>
      </c>
      <c r="BI158" s="263">
        <v>5.8599999999999999E-2</v>
      </c>
      <c r="BJ158" s="263">
        <v>5.3999999999999999E-2</v>
      </c>
      <c r="BK158" s="264"/>
      <c r="BL158" s="398">
        <v>5.8999999999999997E-2</v>
      </c>
      <c r="BM158" s="263">
        <v>6.9699999999999998E-2</v>
      </c>
      <c r="BN158" s="263">
        <v>7.9000000000000001E-2</v>
      </c>
      <c r="BO158" s="263">
        <v>8.4000000000000005E-2</v>
      </c>
      <c r="BP158" s="264"/>
      <c r="BQ158" s="398">
        <v>5.8999999999999997E-2</v>
      </c>
      <c r="BR158" s="263">
        <v>6.9699999999999998E-2</v>
      </c>
      <c r="BS158" s="263">
        <v>7.9000000000000001E-2</v>
      </c>
      <c r="BT158" s="263">
        <v>8.4000000000000005E-2</v>
      </c>
      <c r="BU158" s="264"/>
      <c r="BV158" s="398">
        <v>5.8999999999999997E-2</v>
      </c>
      <c r="BW158" s="263">
        <v>6.9699999999999998E-2</v>
      </c>
      <c r="BX158" s="263">
        <v>7.9000000000000001E-2</v>
      </c>
      <c r="BY158" s="263">
        <v>8.4000000000000005E-2</v>
      </c>
      <c r="BZ158" s="264"/>
    </row>
    <row r="159" spans="3:78" ht="14.1" hidden="1" customHeight="1" outlineLevel="1" x14ac:dyDescent="0.2">
      <c r="C159" s="409" t="str">
        <f>C153</f>
        <v>Base</v>
      </c>
      <c r="D159" s="382"/>
      <c r="E159" s="434"/>
      <c r="F159" s="434"/>
      <c r="G159" s="434"/>
      <c r="H159" s="434"/>
      <c r="I159" s="434"/>
      <c r="J159" s="434"/>
      <c r="K159" s="434"/>
      <c r="L159" s="434"/>
      <c r="M159" s="434"/>
      <c r="N159" s="434"/>
      <c r="O159" s="435"/>
      <c r="P159" s="248"/>
      <c r="Q159" s="248"/>
      <c r="R159" s="409" t="str">
        <f t="shared" si="104"/>
        <v>Base</v>
      </c>
      <c r="S159" s="398"/>
      <c r="T159" s="263"/>
      <c r="U159" s="263"/>
      <c r="V159" s="263"/>
      <c r="W159" s="264"/>
      <c r="X159" s="398"/>
      <c r="Y159" s="263"/>
      <c r="Z159" s="263"/>
      <c r="AA159" s="263"/>
      <c r="AB159" s="264"/>
      <c r="AC159" s="398"/>
      <c r="AD159" s="263"/>
      <c r="AE159" s="263"/>
      <c r="AF159" s="263"/>
      <c r="AG159" s="264"/>
      <c r="AH159" s="398"/>
      <c r="AI159" s="263"/>
      <c r="AJ159" s="263"/>
      <c r="AK159" s="263"/>
      <c r="AL159" s="264"/>
      <c r="AM159" s="398"/>
      <c r="AN159" s="263"/>
      <c r="AO159" s="263"/>
      <c r="AP159" s="263"/>
      <c r="AQ159" s="264"/>
      <c r="AR159" s="398"/>
      <c r="AS159" s="263"/>
      <c r="AT159" s="263"/>
      <c r="AU159" s="263"/>
      <c r="AV159" s="264"/>
      <c r="AW159" s="398"/>
      <c r="AX159" s="263"/>
      <c r="AY159" s="263"/>
      <c r="AZ159" s="263"/>
      <c r="BA159" s="264"/>
      <c r="BB159" s="398"/>
      <c r="BC159" s="263"/>
      <c r="BD159" s="263"/>
      <c r="BE159" s="263"/>
      <c r="BF159" s="264"/>
      <c r="BG159" s="398"/>
      <c r="BH159" s="263"/>
      <c r="BI159" s="263"/>
      <c r="BJ159" s="263"/>
      <c r="BK159" s="264"/>
      <c r="BL159" s="398"/>
      <c r="BM159" s="263"/>
      <c r="BN159" s="263"/>
      <c r="BO159" s="263"/>
      <c r="BP159" s="264"/>
      <c r="BQ159" s="398"/>
      <c r="BR159" s="263"/>
      <c r="BS159" s="263"/>
      <c r="BT159" s="263"/>
      <c r="BU159" s="264"/>
      <c r="BV159" s="398"/>
      <c r="BW159" s="263"/>
      <c r="BX159" s="263"/>
      <c r="BY159" s="263"/>
      <c r="BZ159" s="264"/>
    </row>
    <row r="160" spans="3:78" ht="14.1" hidden="1" customHeight="1" outlineLevel="1" x14ac:dyDescent="0.2">
      <c r="C160" s="409" t="str">
        <f>C154</f>
        <v>Bull</v>
      </c>
      <c r="D160" s="382"/>
      <c r="E160" s="434"/>
      <c r="F160" s="434"/>
      <c r="G160" s="434"/>
      <c r="H160" s="434"/>
      <c r="I160" s="434"/>
      <c r="J160" s="434"/>
      <c r="K160" s="434"/>
      <c r="L160" s="434"/>
      <c r="M160" s="434"/>
      <c r="N160" s="434"/>
      <c r="O160" s="435"/>
      <c r="P160" s="248"/>
      <c r="Q160" s="248"/>
      <c r="R160" s="409" t="str">
        <f t="shared" si="104"/>
        <v>Bull</v>
      </c>
      <c r="S160" s="398"/>
      <c r="T160" s="263"/>
      <c r="U160" s="263"/>
      <c r="V160" s="263"/>
      <c r="W160" s="264"/>
      <c r="X160" s="398"/>
      <c r="Y160" s="263"/>
      <c r="Z160" s="263"/>
      <c r="AA160" s="263"/>
      <c r="AB160" s="264"/>
      <c r="AC160" s="398"/>
      <c r="AD160" s="263"/>
      <c r="AE160" s="263"/>
      <c r="AF160" s="263"/>
      <c r="AG160" s="264"/>
      <c r="AH160" s="398"/>
      <c r="AI160" s="263"/>
      <c r="AJ160" s="263"/>
      <c r="AK160" s="263"/>
      <c r="AL160" s="264"/>
      <c r="AM160" s="398"/>
      <c r="AN160" s="263"/>
      <c r="AO160" s="263"/>
      <c r="AP160" s="263"/>
      <c r="AQ160" s="264"/>
      <c r="AR160" s="398"/>
      <c r="AS160" s="263"/>
      <c r="AT160" s="263"/>
      <c r="AU160" s="263"/>
      <c r="AV160" s="264"/>
      <c r="AW160" s="398"/>
      <c r="AX160" s="263"/>
      <c r="AY160" s="263"/>
      <c r="AZ160" s="263"/>
      <c r="BA160" s="264"/>
      <c r="BB160" s="398"/>
      <c r="BC160" s="263"/>
      <c r="BD160" s="263"/>
      <c r="BE160" s="263"/>
      <c r="BF160" s="264"/>
      <c r="BG160" s="398"/>
      <c r="BH160" s="263"/>
      <c r="BI160" s="263"/>
      <c r="BJ160" s="263"/>
      <c r="BK160" s="264"/>
      <c r="BL160" s="398"/>
      <c r="BM160" s="263"/>
      <c r="BN160" s="263"/>
      <c r="BO160" s="263"/>
      <c r="BP160" s="264"/>
      <c r="BQ160" s="398"/>
      <c r="BR160" s="263"/>
      <c r="BS160" s="263"/>
      <c r="BT160" s="263"/>
      <c r="BU160" s="264"/>
      <c r="BV160" s="398"/>
      <c r="BW160" s="263"/>
      <c r="BX160" s="263"/>
      <c r="BY160" s="263"/>
      <c r="BZ160" s="264"/>
    </row>
    <row r="161" spans="3:78" ht="14.1" hidden="1" customHeight="1" outlineLevel="1" x14ac:dyDescent="0.2">
      <c r="C161" s="410" t="str">
        <f>C155</f>
        <v>Bear</v>
      </c>
      <c r="D161" s="428"/>
      <c r="E161" s="436"/>
      <c r="F161" s="436"/>
      <c r="G161" s="436"/>
      <c r="H161" s="436"/>
      <c r="I161" s="436"/>
      <c r="J161" s="436"/>
      <c r="K161" s="436"/>
      <c r="L161" s="436"/>
      <c r="M161" s="436"/>
      <c r="N161" s="436"/>
      <c r="O161" s="437"/>
      <c r="P161" s="248"/>
      <c r="Q161" s="248"/>
      <c r="R161" s="410" t="str">
        <f t="shared" si="104"/>
        <v>Bear</v>
      </c>
      <c r="S161" s="399"/>
      <c r="T161" s="267"/>
      <c r="U161" s="267"/>
      <c r="V161" s="267"/>
      <c r="W161" s="268"/>
      <c r="X161" s="399"/>
      <c r="Y161" s="267"/>
      <c r="Z161" s="267"/>
      <c r="AA161" s="267"/>
      <c r="AB161" s="268"/>
      <c r="AC161" s="399"/>
      <c r="AD161" s="267"/>
      <c r="AE161" s="267"/>
      <c r="AF161" s="267"/>
      <c r="AG161" s="268"/>
      <c r="AH161" s="399"/>
      <c r="AI161" s="267"/>
      <c r="AJ161" s="267"/>
      <c r="AK161" s="267"/>
      <c r="AL161" s="268"/>
      <c r="AM161" s="399"/>
      <c r="AN161" s="267"/>
      <c r="AO161" s="267"/>
      <c r="AP161" s="267"/>
      <c r="AQ161" s="268"/>
      <c r="AR161" s="399"/>
      <c r="AS161" s="267"/>
      <c r="AT161" s="267"/>
      <c r="AU161" s="267"/>
      <c r="AV161" s="268"/>
      <c r="AW161" s="399"/>
      <c r="AX161" s="267"/>
      <c r="AY161" s="267"/>
      <c r="AZ161" s="267"/>
      <c r="BA161" s="268"/>
      <c r="BB161" s="399"/>
      <c r="BC161" s="267"/>
      <c r="BD161" s="267"/>
      <c r="BE161" s="267"/>
      <c r="BF161" s="268"/>
      <c r="BG161" s="399"/>
      <c r="BH161" s="267"/>
      <c r="BI161" s="267"/>
      <c r="BJ161" s="267"/>
      <c r="BK161" s="268"/>
      <c r="BL161" s="399"/>
      <c r="BM161" s="267"/>
      <c r="BN161" s="267"/>
      <c r="BO161" s="267"/>
      <c r="BP161" s="268"/>
      <c r="BQ161" s="399"/>
      <c r="BR161" s="267"/>
      <c r="BS161" s="267"/>
      <c r="BT161" s="267"/>
      <c r="BU161" s="268"/>
      <c r="BV161" s="399"/>
      <c r="BW161" s="267"/>
      <c r="BX161" s="267"/>
      <c r="BY161" s="267"/>
      <c r="BZ161" s="268"/>
    </row>
    <row r="162" spans="3:78" ht="14.1" customHeight="1" collapsed="1" x14ac:dyDescent="0.2">
      <c r="C162" s="807"/>
      <c r="D162" s="382"/>
      <c r="E162" s="808"/>
      <c r="F162" s="808"/>
      <c r="G162" s="808"/>
      <c r="H162" s="808"/>
      <c r="I162" s="808"/>
      <c r="J162" s="808"/>
      <c r="K162" s="808"/>
      <c r="L162" s="808"/>
      <c r="M162" s="808"/>
      <c r="N162" s="808"/>
      <c r="O162" s="808"/>
      <c r="P162" s="248"/>
      <c r="Q162" s="248"/>
      <c r="R162" s="807"/>
      <c r="S162" s="263"/>
      <c r="T162" s="263"/>
      <c r="U162" s="263"/>
      <c r="V162" s="263"/>
      <c r="W162" s="263"/>
      <c r="X162" s="263"/>
      <c r="Y162" s="263"/>
      <c r="Z162" s="263"/>
      <c r="AA162" s="263"/>
      <c r="AB162" s="263"/>
      <c r="AC162" s="263"/>
      <c r="AD162" s="263"/>
      <c r="AE162" s="263"/>
      <c r="AF162" s="263"/>
      <c r="AG162" s="263"/>
      <c r="AH162" s="263"/>
      <c r="AI162" s="263"/>
      <c r="AJ162" s="263"/>
      <c r="AK162" s="263"/>
      <c r="AL162" s="263"/>
      <c r="AM162" s="263"/>
      <c r="AN162" s="263"/>
      <c r="AO162" s="263"/>
      <c r="AP162" s="263"/>
      <c r="AQ162" s="263"/>
      <c r="AR162" s="263"/>
      <c r="AS162" s="263"/>
      <c r="AT162" s="263"/>
      <c r="AU162" s="263"/>
      <c r="AV162" s="263"/>
      <c r="AW162" s="263"/>
      <c r="AX162" s="263"/>
      <c r="AY162" s="263"/>
      <c r="AZ162" s="263"/>
      <c r="BA162" s="263"/>
      <c r="BB162" s="263"/>
      <c r="BC162" s="263"/>
      <c r="BD162" s="263"/>
      <c r="BE162" s="263"/>
      <c r="BF162" s="263"/>
      <c r="BG162" s="263"/>
      <c r="BH162" s="263"/>
      <c r="BI162" s="263"/>
      <c r="BJ162" s="263"/>
      <c r="BK162" s="263"/>
      <c r="BL162" s="263"/>
      <c r="BM162" s="263"/>
      <c r="BN162" s="263"/>
      <c r="BO162" s="263"/>
      <c r="BP162" s="263"/>
      <c r="BQ162" s="263"/>
      <c r="BR162" s="263"/>
      <c r="BS162" s="263"/>
      <c r="BT162" s="263"/>
      <c r="BU162" s="263"/>
      <c r="BV162" s="263"/>
      <c r="BW162" s="263"/>
      <c r="BX162" s="263"/>
      <c r="BY162" s="263"/>
      <c r="BZ162" s="263"/>
    </row>
    <row r="164" spans="3:78" ht="14.1" customHeight="1" x14ac:dyDescent="0.2">
      <c r="C164" s="809"/>
      <c r="D164" s="810"/>
      <c r="E164" s="810"/>
      <c r="F164" s="810"/>
      <c r="G164" s="810"/>
      <c r="H164" s="810"/>
      <c r="I164" s="810"/>
      <c r="J164" s="810"/>
      <c r="K164" s="810"/>
      <c r="L164" s="810"/>
      <c r="M164" s="810"/>
      <c r="N164" s="810"/>
      <c r="O164" s="810"/>
    </row>
    <row r="173" spans="3:78" ht="14.1" customHeight="1" x14ac:dyDescent="0.2">
      <c r="BE173" s="271"/>
      <c r="BG173" s="271"/>
    </row>
  </sheetData>
  <mergeCells count="69">
    <mergeCell ref="BB74:BF74"/>
    <mergeCell ref="BG74:BK74"/>
    <mergeCell ref="BL74:BP74"/>
    <mergeCell ref="BQ74:BU74"/>
    <mergeCell ref="BV74:BZ74"/>
    <mergeCell ref="R72:BA72"/>
    <mergeCell ref="S74:W74"/>
    <mergeCell ref="X74:AB74"/>
    <mergeCell ref="AC74:AG74"/>
    <mergeCell ref="AH74:AL74"/>
    <mergeCell ref="AM74:AQ74"/>
    <mergeCell ref="AR74:AV74"/>
    <mergeCell ref="AW74:BA74"/>
    <mergeCell ref="BB33:BF33"/>
    <mergeCell ref="BG33:BK33"/>
    <mergeCell ref="BL33:BP33"/>
    <mergeCell ref="BQ33:BU33"/>
    <mergeCell ref="BV33:BZ33"/>
    <mergeCell ref="R71:AZ71"/>
    <mergeCell ref="S33:W33"/>
    <mergeCell ref="X33:AB33"/>
    <mergeCell ref="AC33:AG33"/>
    <mergeCell ref="AH33:AL33"/>
    <mergeCell ref="AM33:AQ33"/>
    <mergeCell ref="AR33:AV33"/>
    <mergeCell ref="AW33:BA33"/>
    <mergeCell ref="P3:Q7"/>
    <mergeCell ref="R3:AZ3"/>
    <mergeCell ref="R4:BA4"/>
    <mergeCell ref="S5:W5"/>
    <mergeCell ref="X5:AB5"/>
    <mergeCell ref="AC5:AG5"/>
    <mergeCell ref="AH5:AL5"/>
    <mergeCell ref="AM5:AQ5"/>
    <mergeCell ref="AR5:AV5"/>
    <mergeCell ref="AW5:BA5"/>
    <mergeCell ref="BB5:BF5"/>
    <mergeCell ref="BG5:BK5"/>
    <mergeCell ref="BL5:BP5"/>
    <mergeCell ref="BQ5:BU5"/>
    <mergeCell ref="BV5:BZ5"/>
    <mergeCell ref="BG129:BK129"/>
    <mergeCell ref="BL129:BP129"/>
    <mergeCell ref="S129:W129"/>
    <mergeCell ref="X129:AB129"/>
    <mergeCell ref="AC129:AG129"/>
    <mergeCell ref="AH129:AL129"/>
    <mergeCell ref="AM129:AQ129"/>
    <mergeCell ref="BB115:BF115"/>
    <mergeCell ref="BB122:BF122"/>
    <mergeCell ref="AR129:AV129"/>
    <mergeCell ref="AW129:BA129"/>
    <mergeCell ref="BB129:BF129"/>
    <mergeCell ref="G134:O137"/>
    <mergeCell ref="AR134:BU137"/>
    <mergeCell ref="BQ129:BU129"/>
    <mergeCell ref="BV129:BZ129"/>
    <mergeCell ref="S113:W113"/>
    <mergeCell ref="X113:AB113"/>
    <mergeCell ref="AC113:AG113"/>
    <mergeCell ref="AH113:AL113"/>
    <mergeCell ref="AM113:AQ113"/>
    <mergeCell ref="AR113:AV113"/>
    <mergeCell ref="AW113:BA113"/>
    <mergeCell ref="BB113:BF113"/>
    <mergeCell ref="BG113:BK113"/>
    <mergeCell ref="BL113:BP113"/>
    <mergeCell ref="BQ113:BU113"/>
    <mergeCell ref="BV113:BZ113"/>
  </mergeCells>
  <phoneticPr fontId="40" type="noConversion"/>
  <conditionalFormatting sqref="P11">
    <cfRule type="containsErrors" dxfId="1" priority="1">
      <formula>ISERROR(P11)</formula>
    </cfRule>
    <cfRule type="expression" dxfId="0" priority="2">
      <formula>Estimation="off"</formula>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063B2-56CE-4E8E-B836-9D0B9741DAEF}">
  <dimension ref="A1:CE128"/>
  <sheetViews>
    <sheetView showGridLines="0" topLeftCell="A50" zoomScaleNormal="100" workbookViewId="0">
      <pane xSplit="3" topLeftCell="G50" activePane="topRight" state="frozen"/>
      <selection activeCell="E57" sqref="E57"/>
      <selection pane="topRight" activeCell="J63" sqref="J63"/>
    </sheetView>
  </sheetViews>
  <sheetFormatPr defaultColWidth="9.01171875" defaultRowHeight="14.1" customHeight="1" outlineLevelCol="1" x14ac:dyDescent="0.2"/>
  <cols>
    <col min="1" max="1" width="0.671875" customWidth="1"/>
    <col min="2" max="2" width="0.8046875" customWidth="1"/>
    <col min="3" max="3" width="31.20703125" style="60" customWidth="1"/>
    <col min="4" max="6" width="10.22265625" style="60" hidden="1" customWidth="1" outlineLevel="1"/>
    <col min="7" max="7" width="10.22265625" style="60" customWidth="1" collapsed="1"/>
    <col min="8" max="9" width="10.22265625" style="60" bestFit="1" customWidth="1"/>
    <col min="10" max="10" width="10.22265625" style="60" customWidth="1"/>
    <col min="11" max="15" width="10.22265625" style="60" bestFit="1" customWidth="1"/>
    <col min="16" max="16" width="2.5546875" style="60" customWidth="1"/>
    <col min="17" max="17" width="5.6484375" style="60" customWidth="1"/>
    <col min="18" max="18" width="31.20703125" style="60" customWidth="1"/>
    <col min="19" max="19" width="10.22265625" style="60" hidden="1" customWidth="1" outlineLevel="1"/>
    <col min="20" max="43" width="9.01171875" style="60" hidden="1" customWidth="1" outlineLevel="1"/>
    <col min="44" max="44" width="9.01171875" style="60" collapsed="1"/>
    <col min="45" max="47" width="9.01171875" style="60"/>
    <col min="48" max="48" width="9.01171875" style="60" customWidth="1" outlineLevel="1"/>
    <col min="49" max="52" width="9.01171875" style="60"/>
    <col min="53" max="53" width="9.01171875" style="60" customWidth="1" outlineLevel="1"/>
    <col min="54" max="57" width="9.01171875" style="60"/>
    <col min="58" max="58" width="9.01171875" style="60" customWidth="1" outlineLevel="1"/>
    <col min="59" max="62" width="9.01171875" style="60"/>
    <col min="63" max="63" width="9.01171875" style="60" customWidth="1" outlineLevel="1"/>
    <col min="64" max="67" width="9.01171875" style="60"/>
    <col min="68" max="68" width="9.01171875" style="60" customWidth="1" outlineLevel="1"/>
    <col min="69" max="72" width="9.01171875" style="60"/>
    <col min="73" max="73" width="9.01171875" style="60" customWidth="1" outlineLevel="1"/>
    <col min="74" max="76" width="9.01171875" style="60"/>
    <col min="77" max="77" width="10.76171875" style="60" bestFit="1" customWidth="1"/>
    <col min="78" max="78" width="9.01171875" style="60" customWidth="1" outlineLevel="1"/>
    <col min="79" max="16384" width="9.01171875" style="60"/>
  </cols>
  <sheetData>
    <row r="1" spans="1:83" customFormat="1" ht="3" customHeight="1" x14ac:dyDescent="0.2"/>
    <row r="2" spans="1:83" customFormat="1" ht="1.1499999999999999" customHeight="1" x14ac:dyDescent="0.2"/>
    <row r="3" spans="1:83" s="41" customFormat="1" ht="18.75" x14ac:dyDescent="0.25">
      <c r="A3"/>
      <c r="B3"/>
      <c r="C3" s="47" t="str">
        <f>Company_Name</f>
        <v>SAIA, Inc.</v>
      </c>
      <c r="D3" s="48"/>
      <c r="E3" s="48"/>
      <c r="F3" s="48"/>
      <c r="G3" s="48"/>
      <c r="H3" s="48"/>
      <c r="I3" s="48"/>
      <c r="J3" s="48"/>
      <c r="K3" s="48"/>
      <c r="L3" s="48"/>
      <c r="M3" s="48"/>
      <c r="N3" s="67" t="str">
        <f>'Revenue Build'!N3</f>
        <v>Model Case:</v>
      </c>
      <c r="O3" s="48" t="str">
        <f>'Revenue Build'!O3</f>
        <v>Base</v>
      </c>
      <c r="P3" s="1373" t="s">
        <v>172</v>
      </c>
      <c r="Q3" s="1373"/>
      <c r="R3" s="1374" t="str">
        <f>C3</f>
        <v>SAIA, Inc.</v>
      </c>
      <c r="S3" s="1374"/>
      <c r="T3" s="1374"/>
      <c r="U3" s="1374"/>
      <c r="V3" s="1374"/>
      <c r="W3" s="1374"/>
      <c r="X3" s="1374"/>
      <c r="Y3" s="1374"/>
      <c r="Z3" s="1374"/>
      <c r="AA3" s="1374"/>
      <c r="AB3" s="1374"/>
      <c r="AC3" s="1374"/>
      <c r="AD3" s="1374"/>
      <c r="AE3" s="1374"/>
      <c r="AF3" s="1374"/>
      <c r="AG3" s="1374"/>
      <c r="AH3" s="1374"/>
      <c r="AI3" s="1374"/>
      <c r="AJ3" s="1374"/>
      <c r="AK3" s="1374"/>
      <c r="AL3" s="1374"/>
      <c r="AM3" s="1374"/>
      <c r="AN3" s="1374"/>
      <c r="AO3" s="1374"/>
      <c r="AP3" s="1374"/>
      <c r="AQ3" s="1374"/>
      <c r="AR3" s="1374"/>
      <c r="AS3" s="1374"/>
      <c r="AT3" s="1374"/>
      <c r="AU3" s="1374"/>
      <c r="AV3" s="1374"/>
      <c r="AW3" s="1374"/>
      <c r="AX3" s="1374"/>
      <c r="AY3" s="1374"/>
      <c r="AZ3" s="1374"/>
      <c r="BA3" s="47"/>
      <c r="BB3" s="47"/>
      <c r="BC3" s="47"/>
      <c r="BD3" s="47"/>
      <c r="BE3" s="47"/>
      <c r="BF3" s="47"/>
      <c r="BG3" s="47"/>
      <c r="BH3" s="47"/>
      <c r="BI3" s="47"/>
      <c r="BJ3" s="47"/>
      <c r="BK3" s="47"/>
      <c r="BL3" s="47"/>
      <c r="BM3" s="47"/>
      <c r="BN3" s="47"/>
      <c r="BO3" s="47"/>
      <c r="BP3" s="47"/>
      <c r="BQ3" s="47"/>
      <c r="BR3" s="67" t="str">
        <f>N3</f>
        <v>Model Case:</v>
      </c>
      <c r="BS3" s="48" t="str">
        <f>O3</f>
        <v>Base</v>
      </c>
      <c r="BT3" s="1152"/>
      <c r="BU3" s="48"/>
      <c r="BV3" s="48"/>
      <c r="BW3" s="48"/>
      <c r="BX3" s="67" t="str">
        <f>N4</f>
        <v>DCF Share Value as of 12/31/2024:</v>
      </c>
      <c r="BY3" s="65">
        <f>O4</f>
        <v>520.1066763818468</v>
      </c>
      <c r="BZ3" s="47"/>
    </row>
    <row r="4" spans="1:83" s="62" customFormat="1" ht="15" x14ac:dyDescent="0.2">
      <c r="A4"/>
      <c r="B4"/>
      <c r="C4" s="48" t="str">
        <f>"Income Statement"</f>
        <v>Income Statement</v>
      </c>
      <c r="D4" s="48"/>
      <c r="E4" s="48"/>
      <c r="F4" s="48"/>
      <c r="G4" s="48"/>
      <c r="H4" s="48"/>
      <c r="I4" s="48"/>
      <c r="J4" s="48"/>
      <c r="K4" s="48"/>
      <c r="L4" s="48"/>
      <c r="M4" s="48"/>
      <c r="N4" s="67" t="str" cm="1">
        <f t="array" ref="N4">"DCF Share Value as of "&amp;TEXT(DCF_ShareValue_Date,"MM/DD/YYYY")&amp;":"</f>
        <v>DCF Share Value as of 12/31/2024:</v>
      </c>
      <c r="O4" s="65">
        <f>DCF_Share_Value</f>
        <v>520.1066763818468</v>
      </c>
      <c r="P4" s="1373"/>
      <c r="Q4" s="1373"/>
      <c r="R4" s="1375" t="str">
        <f>C4&amp;" Quarterly and Year Basis"</f>
        <v>Income Statement Quarterly and Year Basis</v>
      </c>
      <c r="S4" s="1375"/>
      <c r="T4" s="1375"/>
      <c r="U4" s="1375"/>
      <c r="V4" s="1375"/>
      <c r="W4" s="1375"/>
      <c r="X4" s="1375"/>
      <c r="Y4" s="1375"/>
      <c r="Z4" s="1375"/>
      <c r="AA4" s="1375"/>
      <c r="AB4" s="1375"/>
      <c r="AC4" s="1375"/>
      <c r="AD4" s="1375"/>
      <c r="AE4" s="1375"/>
      <c r="AF4" s="1375"/>
      <c r="AG4" s="1375"/>
      <c r="AH4" s="1375"/>
      <c r="AI4" s="1375"/>
      <c r="AJ4" s="1375"/>
      <c r="AK4" s="1375"/>
      <c r="AL4" s="1375"/>
      <c r="AM4" s="1375"/>
      <c r="AN4" s="1375"/>
      <c r="AO4" s="1375"/>
      <c r="AP4" s="1375"/>
      <c r="AQ4" s="1375"/>
      <c r="AR4" s="1375"/>
      <c r="AS4" s="1375"/>
      <c r="AT4" s="1375"/>
      <c r="AU4" s="1375"/>
      <c r="AV4" s="1375"/>
      <c r="AW4" s="1375"/>
      <c r="AX4" s="1375"/>
      <c r="AY4" s="1375"/>
      <c r="AZ4" s="1375"/>
      <c r="BA4" s="1375"/>
      <c r="BB4" s="63"/>
      <c r="BC4" s="63"/>
      <c r="BD4" s="63"/>
      <c r="BE4" s="63"/>
      <c r="BF4" s="63"/>
      <c r="BG4" s="63"/>
      <c r="BH4" s="63"/>
      <c r="BI4" s="63"/>
      <c r="BJ4" s="63"/>
      <c r="BK4" s="63"/>
      <c r="BL4" s="63"/>
      <c r="BM4" s="63"/>
      <c r="BN4" s="63"/>
      <c r="BO4" s="63"/>
      <c r="BP4" s="63"/>
      <c r="BQ4" s="63"/>
      <c r="BR4" s="63"/>
      <c r="BS4" s="63"/>
      <c r="BT4" s="63"/>
      <c r="BU4" s="63"/>
      <c r="BV4" s="63"/>
      <c r="BW4" s="63"/>
      <c r="BX4" s="1145" t="str">
        <f>N5</f>
        <v>Market Share Price as of 12/31/2024:</v>
      </c>
      <c r="BY4" s="1146">
        <f>O5</f>
        <v>455.73</v>
      </c>
      <c r="BZ4" s="63"/>
    </row>
    <row r="5" spans="1:83" s="61" customFormat="1" ht="15" x14ac:dyDescent="0.2">
      <c r="A5"/>
      <c r="B5"/>
      <c r="C5" s="46" t="str">
        <f>"($ in millions, fiscal year ending "&amp;TEXT(FY_Year_End,"MMMM,DD")&amp;")"</f>
        <v>($ in millions, fiscal year ending December,31)</v>
      </c>
      <c r="D5" s="49"/>
      <c r="E5" s="49"/>
      <c r="F5" s="49"/>
      <c r="G5" s="49"/>
      <c r="H5" s="49" t="str">
        <f>"Ticker: "&amp;Company_Ticker</f>
        <v>Ticker: SAIA</v>
      </c>
      <c r="I5" s="49"/>
      <c r="J5" s="49"/>
      <c r="K5" s="49"/>
      <c r="L5" s="49"/>
      <c r="M5" s="49"/>
      <c r="N5" s="66" t="str" cm="1">
        <f t="array" ref="N5">"Market Share Price as of "&amp;TEXT(Market_Share_Price_Date,"MM/DD/YYYY")&amp;":"</f>
        <v>Market Share Price as of 12/31/2024:</v>
      </c>
      <c r="O5" s="65">
        <f>Market_Share_Price</f>
        <v>455.73</v>
      </c>
      <c r="P5" s="1373"/>
      <c r="Q5" s="1373"/>
      <c r="R5" s="96"/>
      <c r="S5" s="1367">
        <f>D7</f>
        <v>43100</v>
      </c>
      <c r="T5" s="1368"/>
      <c r="U5" s="1368"/>
      <c r="V5" s="1368"/>
      <c r="W5" s="1368"/>
      <c r="X5" s="1368">
        <f>DATE(YEAR(S5)+1,MONTH(S5),DAY(S5))</f>
        <v>43465</v>
      </c>
      <c r="Y5" s="1368"/>
      <c r="Z5" s="1368"/>
      <c r="AA5" s="1368"/>
      <c r="AB5" s="1368"/>
      <c r="AC5" s="1368">
        <f>DATE(YEAR(X5)+1,MONTH(X5),DAY(X5))</f>
        <v>43830</v>
      </c>
      <c r="AD5" s="1368"/>
      <c r="AE5" s="1368"/>
      <c r="AF5" s="1368"/>
      <c r="AG5" s="1368"/>
      <c r="AH5" s="1368">
        <f>DATE(YEAR(AC5)+1,MONTH(AC5),DAY(AC5))</f>
        <v>44196</v>
      </c>
      <c r="AI5" s="1368"/>
      <c r="AJ5" s="1368"/>
      <c r="AK5" s="1368"/>
      <c r="AL5" s="1368"/>
      <c r="AM5" s="1368">
        <f>DATE(YEAR(AH5)+1,MONTH(AH5),DAY(AH5))</f>
        <v>44561</v>
      </c>
      <c r="AN5" s="1368"/>
      <c r="AO5" s="1368"/>
      <c r="AP5" s="1368"/>
      <c r="AQ5" s="1368"/>
      <c r="AR5" s="1368">
        <f>DATE(YEAR(AM5)+1,MONTH(AM5),DAY(AM5))</f>
        <v>44926</v>
      </c>
      <c r="AS5" s="1368"/>
      <c r="AT5" s="1368"/>
      <c r="AU5" s="1368"/>
      <c r="AV5" s="1368"/>
      <c r="AW5" s="1368">
        <f>DATE(YEAR(AR5)+1,MONTH(AR5),DAY(AR5))</f>
        <v>45291</v>
      </c>
      <c r="AX5" s="1368"/>
      <c r="AY5" s="1368"/>
      <c r="AZ5" s="1368"/>
      <c r="BA5" s="1368"/>
      <c r="BB5" s="1369">
        <f>DATE(YEAR(AW5)+1,MONTH(AW5),DAY(AW5))</f>
        <v>45657</v>
      </c>
      <c r="BC5" s="1369"/>
      <c r="BD5" s="1369"/>
      <c r="BE5" s="1369"/>
      <c r="BF5" s="1369"/>
      <c r="BG5" s="1365">
        <f>DATE(YEAR(BB5)+1,MONTH(BB5),DAY(BB5))</f>
        <v>46022</v>
      </c>
      <c r="BH5" s="1365"/>
      <c r="BI5" s="1365"/>
      <c r="BJ5" s="1365"/>
      <c r="BK5" s="1365"/>
      <c r="BL5" s="1365">
        <f>DATE(YEAR(BG5)+1,MONTH(BG5),DAY(BG5))</f>
        <v>46387</v>
      </c>
      <c r="BM5" s="1365"/>
      <c r="BN5" s="1365"/>
      <c r="BO5" s="1365"/>
      <c r="BP5" s="1365"/>
      <c r="BQ5" s="1365">
        <f>DATE(YEAR(BL5)+1,MONTH(BL5),DAY(BL5))</f>
        <v>46752</v>
      </c>
      <c r="BR5" s="1365"/>
      <c r="BS5" s="1365"/>
      <c r="BT5" s="1365"/>
      <c r="BU5" s="1365"/>
      <c r="BV5" s="1365">
        <f>DATE(YEAR(BQ5)+1,MONTH(BQ5),DAY(BQ5))</f>
        <v>47118</v>
      </c>
      <c r="BW5" s="1365"/>
      <c r="BX5" s="1365"/>
      <c r="BY5" s="1365"/>
      <c r="BZ5" s="1366"/>
      <c r="CA5" s="1388"/>
      <c r="CB5" s="1388"/>
      <c r="CC5" s="1388"/>
      <c r="CD5" s="1388"/>
      <c r="CE5" s="1388"/>
    </row>
    <row r="6" spans="1:83" s="45" customFormat="1" ht="1.5" customHeight="1" x14ac:dyDescent="0.2">
      <c r="A6"/>
      <c r="B6"/>
      <c r="C6" s="42" t="s">
        <v>49</v>
      </c>
      <c r="D6" s="42">
        <v>6</v>
      </c>
      <c r="E6" s="42">
        <v>5</v>
      </c>
      <c r="F6" s="42">
        <v>4</v>
      </c>
      <c r="G6" s="42">
        <v>3</v>
      </c>
      <c r="H6" s="42">
        <v>2</v>
      </c>
      <c r="I6" s="42">
        <v>1</v>
      </c>
      <c r="J6" s="42"/>
      <c r="K6" s="42">
        <v>1</v>
      </c>
      <c r="L6" s="42">
        <v>2</v>
      </c>
      <c r="M6" s="42">
        <v>3</v>
      </c>
      <c r="N6" s="42">
        <v>4</v>
      </c>
      <c r="O6" s="42">
        <v>5</v>
      </c>
      <c r="P6" s="1373"/>
      <c r="Q6" s="1373"/>
      <c r="R6" s="42"/>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4"/>
      <c r="CB6" s="44"/>
      <c r="CC6" s="44"/>
      <c r="CD6" s="44"/>
      <c r="CE6" s="44"/>
    </row>
    <row r="7" spans="1:83" s="50" customFormat="1" ht="14.1" customHeight="1" x14ac:dyDescent="0.2">
      <c r="A7"/>
      <c r="B7"/>
      <c r="C7" s="163"/>
      <c r="D7" s="51">
        <f t="shared" ref="D7:I7" si="0">DATE(Base_Year-D6,MONTH(FY_Year_End),DAY(FY_Year_End))</f>
        <v>43100</v>
      </c>
      <c r="E7" s="52">
        <f t="shared" si="0"/>
        <v>43465</v>
      </c>
      <c r="F7" s="52">
        <f t="shared" si="0"/>
        <v>43830</v>
      </c>
      <c r="G7" s="52">
        <f t="shared" si="0"/>
        <v>44196</v>
      </c>
      <c r="H7" s="52">
        <f t="shared" si="0"/>
        <v>44561</v>
      </c>
      <c r="I7" s="52">
        <f t="shared" si="0"/>
        <v>44926</v>
      </c>
      <c r="J7" s="52">
        <f>DATE(Base_Year,MONTH(FY_Year_End),DAY(FY_Year_End))</f>
        <v>45291</v>
      </c>
      <c r="K7" s="53">
        <f>DATE(Base_Year+K6,MONTH(FY_Year_End),DAY(FY_Year_End))</f>
        <v>45657</v>
      </c>
      <c r="L7" s="54">
        <f>DATE(Base_Year+L6,MONTH(FY_Year_End),DAY(FY_Year_End))</f>
        <v>46022</v>
      </c>
      <c r="M7" s="54">
        <f>DATE(Base_Year+M6,MONTH(FY_Year_End),DAY(FY_Year_End))</f>
        <v>46387</v>
      </c>
      <c r="N7" s="54">
        <f>DATE(Base_Year+N6,MONTH(FY_Year_End),DAY(FY_Year_End))</f>
        <v>46752</v>
      </c>
      <c r="O7" s="55">
        <f>DATE(Base_Year+O6,MONTH(FY_Year_End),DAY(FY_Year_End))</f>
        <v>47118</v>
      </c>
      <c r="P7" s="1373"/>
      <c r="Q7" s="1373"/>
      <c r="R7" s="56"/>
      <c r="S7" s="56" t="str">
        <f>TEXT(S5,"YYYY")&amp; " Q"&amp;$K$6</f>
        <v>2017 Q1</v>
      </c>
      <c r="T7" s="57" t="str">
        <f>TEXT(S5,"YYYY")&amp; " Q"&amp;$L$6</f>
        <v>2017 Q2</v>
      </c>
      <c r="U7" s="57" t="str">
        <f>TEXT(S5,"YYYY")&amp; " Q"&amp;$M$6</f>
        <v>2017 Q3</v>
      </c>
      <c r="V7" s="57" t="str">
        <f>TEXT(S5,"YYYY")&amp; " Q"&amp;$N$6</f>
        <v>2017 Q4</v>
      </c>
      <c r="W7" s="57" t="str">
        <f>TEXT(S5,"YYYY")&amp; " FY"</f>
        <v>2017 FY</v>
      </c>
      <c r="X7" s="57" t="str">
        <f>TEXT(X5,"YYYY")&amp; " Q"&amp;$K$6</f>
        <v>2018 Q1</v>
      </c>
      <c r="Y7" s="57" t="str">
        <f>TEXT(X5,"YYYY")&amp; " Q"&amp;$L$6</f>
        <v>2018 Q2</v>
      </c>
      <c r="Z7" s="57" t="str">
        <f>TEXT(X5,"YYYY")&amp; " Q"&amp;$M$6</f>
        <v>2018 Q3</v>
      </c>
      <c r="AA7" s="57" t="str">
        <f>TEXT(X5,"YYYY")&amp; " Q"&amp;$N$6</f>
        <v>2018 Q4</v>
      </c>
      <c r="AB7" s="57" t="str">
        <f>TEXT(X5,"YYYY")&amp; " FY"</f>
        <v>2018 FY</v>
      </c>
      <c r="AC7" s="57" t="str">
        <f>TEXT(AC5,"YYYY")&amp; " Q"&amp;$K$6</f>
        <v>2019 Q1</v>
      </c>
      <c r="AD7" s="57" t="str">
        <f>TEXT(AC5,"YYYY")&amp; " Q"&amp;$L$6</f>
        <v>2019 Q2</v>
      </c>
      <c r="AE7" s="57" t="str">
        <f>TEXT(AC5,"YYYY")&amp; " Q"&amp;$M$6</f>
        <v>2019 Q3</v>
      </c>
      <c r="AF7" s="57" t="str">
        <f>TEXT(AC5,"YYYY")&amp; " Q"&amp;$N$6</f>
        <v>2019 Q4</v>
      </c>
      <c r="AG7" s="57" t="str">
        <f>TEXT(AC5,"YYYY")&amp; " FY"</f>
        <v>2019 FY</v>
      </c>
      <c r="AH7" s="57" t="str">
        <f>TEXT(AH5,"YYYY")&amp; " Q"&amp;$K$6</f>
        <v>2020 Q1</v>
      </c>
      <c r="AI7" s="57" t="str">
        <f>TEXT(AH5,"YYYY")&amp; " Q"&amp;$L$6</f>
        <v>2020 Q2</v>
      </c>
      <c r="AJ7" s="57" t="str">
        <f>TEXT(AH5,"YYYY")&amp; " Q"&amp;$M$6</f>
        <v>2020 Q3</v>
      </c>
      <c r="AK7" s="57" t="str">
        <f>TEXT(AH5,"YYYY")&amp; " Q"&amp;$N$6</f>
        <v>2020 Q4</v>
      </c>
      <c r="AL7" s="57" t="str">
        <f>TEXT(AH5,"YYYY")&amp; " FY"</f>
        <v>2020 FY</v>
      </c>
      <c r="AM7" s="57" t="str">
        <f>TEXT(AM5,"YYYY")&amp; " Q"&amp;$K$6</f>
        <v>2021 Q1</v>
      </c>
      <c r="AN7" s="57" t="str">
        <f>TEXT(AM5,"YYYY")&amp; " Q"&amp;$L$6</f>
        <v>2021 Q2</v>
      </c>
      <c r="AO7" s="57" t="str">
        <f>TEXT(AM5,"YYYY")&amp; " Q"&amp;$M$6</f>
        <v>2021 Q3</v>
      </c>
      <c r="AP7" s="57" t="str">
        <f>TEXT(AM5,"YYYY")&amp; " Q"&amp;$N$6</f>
        <v>2021 Q4</v>
      </c>
      <c r="AQ7" s="57" t="str">
        <f>TEXT(AM5,"YYYY")&amp; " FY"</f>
        <v>2021 FY</v>
      </c>
      <c r="AR7" s="57" t="str">
        <f>TEXT(AR5,"YYYY")&amp; " Q"&amp;$K$6</f>
        <v>2022 Q1</v>
      </c>
      <c r="AS7" s="57" t="str">
        <f>TEXT(AR5,"YYYY")&amp; " Q"&amp;$L$6</f>
        <v>2022 Q2</v>
      </c>
      <c r="AT7" s="57" t="str">
        <f>TEXT(AR5,"YYYY")&amp; " Q"&amp;$M$6</f>
        <v>2022 Q3</v>
      </c>
      <c r="AU7" s="57" t="str">
        <f>TEXT(AR5,"YYYY")&amp; " Q"&amp;$N$6</f>
        <v>2022 Q4</v>
      </c>
      <c r="AV7" s="57" t="str">
        <f>TEXT(AR5,"YYYY")&amp; " FY"</f>
        <v>2022 FY</v>
      </c>
      <c r="AW7" s="57" t="str">
        <f>TEXT(AW5,"YYYY")&amp; " Q"&amp;$K$6</f>
        <v>2023 Q1</v>
      </c>
      <c r="AX7" s="57" t="str">
        <f>TEXT(AW5,"YYYY")&amp; " Q"&amp;$L$6</f>
        <v>2023 Q2</v>
      </c>
      <c r="AY7" s="57" t="str">
        <f>TEXT(AW5,"YYYY")&amp; " Q"&amp;$M$6</f>
        <v>2023 Q3</v>
      </c>
      <c r="AZ7" s="57" t="str">
        <f>TEXT(AW5,"YYYY")&amp; " Q"&amp;$N$6</f>
        <v>2023 Q4</v>
      </c>
      <c r="BA7" s="57" t="str">
        <f>TEXT(AW5,"YYYY")&amp; " FY"</f>
        <v>2023 FY</v>
      </c>
      <c r="BB7" s="57" t="str">
        <f>TEXT(BB5,"YYYY")&amp; " Q"&amp;$K$6</f>
        <v>2024 Q1</v>
      </c>
      <c r="BC7" s="57" t="str">
        <f>TEXT(BB5,"YYYY")&amp; " Q"&amp;$L$6</f>
        <v>2024 Q2</v>
      </c>
      <c r="BD7" s="57" t="str">
        <f>TEXT(BB5,"YYYY")&amp; " Q"&amp;$M$6</f>
        <v>2024 Q3</v>
      </c>
      <c r="BE7" s="58" t="str">
        <f>TEXT(BB5,"YYYY")&amp; " Q"&amp;$N$6</f>
        <v>2024 Q4</v>
      </c>
      <c r="BF7" s="58" t="str">
        <f>TEXT(BB5,"YYYY")&amp; " FY"</f>
        <v>2024 FY</v>
      </c>
      <c r="BG7" s="58" t="str">
        <f>TEXT(BG5,"YYYY")&amp; " Q"&amp;$K$6</f>
        <v>2025 Q1</v>
      </c>
      <c r="BH7" s="58" t="str">
        <f>TEXT(BG5,"YYYY")&amp; " Q"&amp;$L$6</f>
        <v>2025 Q2</v>
      </c>
      <c r="BI7" s="58" t="str">
        <f>TEXT(BG5,"YYYY")&amp; " Q"&amp;$M$6</f>
        <v>2025 Q3</v>
      </c>
      <c r="BJ7" s="58" t="str">
        <f>TEXT(BG5,"YYYY")&amp; " Q"&amp;$N$6</f>
        <v>2025 Q4</v>
      </c>
      <c r="BK7" s="58" t="str">
        <f>TEXT(BG5,"YYYY")&amp; " FY"</f>
        <v>2025 FY</v>
      </c>
      <c r="BL7" s="58" t="str">
        <f>TEXT(BL5,"YYYY")&amp; " Q"&amp;$K$6</f>
        <v>2026 Q1</v>
      </c>
      <c r="BM7" s="58" t="str">
        <f>TEXT(BL5,"YYYY")&amp; " Q"&amp;$L$6</f>
        <v>2026 Q2</v>
      </c>
      <c r="BN7" s="58" t="str">
        <f>TEXT(BL5,"YYYY")&amp; " Q"&amp;$M$6</f>
        <v>2026 Q3</v>
      </c>
      <c r="BO7" s="58" t="str">
        <f>TEXT(BL5,"YYYY")&amp; " Q"&amp;$N$6</f>
        <v>2026 Q4</v>
      </c>
      <c r="BP7" s="58" t="str">
        <f>TEXT(BL5,"YYYY")&amp; " FY"</f>
        <v>2026 FY</v>
      </c>
      <c r="BQ7" s="58" t="str">
        <f>TEXT(BQ5,"YYYY")&amp; " Q"&amp;$K$6</f>
        <v>2027 Q1</v>
      </c>
      <c r="BR7" s="58" t="str">
        <f>TEXT(BQ5,"YYYY")&amp; " Q"&amp;$L$6</f>
        <v>2027 Q2</v>
      </c>
      <c r="BS7" s="58" t="str">
        <f>TEXT(BQ5,"YYYY")&amp; " Q"&amp;$M$6</f>
        <v>2027 Q3</v>
      </c>
      <c r="BT7" s="58" t="str">
        <f>TEXT(BQ5,"YYYY")&amp; " Q"&amp;$N$6</f>
        <v>2027 Q4</v>
      </c>
      <c r="BU7" s="58" t="str">
        <f>TEXT(BQ5,"YYYY")&amp; " FY"</f>
        <v>2027 FY</v>
      </c>
      <c r="BV7" s="58" t="str">
        <f>TEXT(BV5,"YYYY")&amp; " Q"&amp;$K$6</f>
        <v>2028 Q1</v>
      </c>
      <c r="BW7" s="58" t="str">
        <f>TEXT(BV5,"YYYY")&amp; " Q"&amp;$L$6</f>
        <v>2028 Q2</v>
      </c>
      <c r="BX7" s="58" t="str">
        <f>TEXT(BV5,"YYYY")&amp; " Q"&amp;$M$6</f>
        <v>2028 Q3</v>
      </c>
      <c r="BY7" s="58" t="str">
        <f>TEXT(BV5,"YYYY")&amp; " Q"&amp;$N$6</f>
        <v>2028 Q4</v>
      </c>
      <c r="BZ7" s="59" t="str">
        <f>TEXT(BV5,"YYYY")&amp; " FY"</f>
        <v>2028 FY</v>
      </c>
    </row>
    <row r="8" spans="1:83" ht="14.1" customHeight="1" x14ac:dyDescent="0.2">
      <c r="C8" s="364" t="s">
        <v>67</v>
      </c>
      <c r="D8" s="60">
        <f>W8</f>
        <v>1404.703</v>
      </c>
      <c r="E8" s="60">
        <f>AB8</f>
        <v>1653.8489999999999</v>
      </c>
      <c r="F8" s="60">
        <f>AG8</f>
        <v>1786.7349999999999</v>
      </c>
      <c r="G8" s="60">
        <f>AL8</f>
        <v>1822.366</v>
      </c>
      <c r="H8" s="60">
        <f>AQ8</f>
        <v>2288.7040000000002</v>
      </c>
      <c r="I8" s="60">
        <f>AV8</f>
        <v>2792.0569999999998</v>
      </c>
      <c r="J8" s="502">
        <f>BA8</f>
        <v>2881.433</v>
      </c>
      <c r="K8" s="60">
        <f>BF8</f>
        <v>3209.1038092250042</v>
      </c>
      <c r="L8" s="60">
        <f>BK8</f>
        <v>3562.4709953821239</v>
      </c>
      <c r="M8" s="60">
        <f>BP8</f>
        <v>4091.1190527385565</v>
      </c>
      <c r="N8" s="60">
        <f>BU8</f>
        <v>4453.9683821196895</v>
      </c>
      <c r="O8" s="365">
        <f>BZ8</f>
        <v>4808.2133569301523</v>
      </c>
      <c r="R8" s="364" t="str">
        <f>C8</f>
        <v>Revenue</v>
      </c>
      <c r="S8" s="107">
        <v>323.08999999999997</v>
      </c>
      <c r="T8" s="107">
        <v>358.16</v>
      </c>
      <c r="U8" s="107">
        <v>350.06200000000001</v>
      </c>
      <c r="V8" s="107">
        <f>W8-SUM(S8:U8)</f>
        <v>373.39100000000008</v>
      </c>
      <c r="W8" s="465">
        <v>1404.703</v>
      </c>
      <c r="X8" s="440">
        <v>392.80500000000001</v>
      </c>
      <c r="Y8" s="107">
        <v>428.73200000000003</v>
      </c>
      <c r="Z8" s="107">
        <v>425.56200000000001</v>
      </c>
      <c r="AA8" s="107">
        <f>AB8-SUM(X8:Z8)</f>
        <v>406.74999999999977</v>
      </c>
      <c r="AB8" s="465">
        <v>1653.8489999999999</v>
      </c>
      <c r="AC8" s="440">
        <v>410.584</v>
      </c>
      <c r="AD8" s="107">
        <v>464.19499999999999</v>
      </c>
      <c r="AE8" s="107">
        <v>468.89100000000002</v>
      </c>
      <c r="AF8" s="107">
        <f>AG8-SUM(AC8:AE8)</f>
        <v>443.06499999999983</v>
      </c>
      <c r="AG8" s="465">
        <v>1786.7349999999999</v>
      </c>
      <c r="AH8" s="440">
        <v>446.39600000000002</v>
      </c>
      <c r="AI8" s="107">
        <v>418.11399999999998</v>
      </c>
      <c r="AJ8" s="107">
        <v>481.37400000000002</v>
      </c>
      <c r="AK8" s="107">
        <f>AL8-SUM(AH8:AJ8)</f>
        <v>476.48199999999997</v>
      </c>
      <c r="AL8" s="465">
        <v>1822.366</v>
      </c>
      <c r="AM8" s="440">
        <v>484.07400000000001</v>
      </c>
      <c r="AN8" s="107">
        <v>571.33299999999997</v>
      </c>
      <c r="AO8" s="107">
        <v>616.21600000000001</v>
      </c>
      <c r="AP8" s="107">
        <f>AQ8-SUM(AM8:AO8)</f>
        <v>617.08100000000013</v>
      </c>
      <c r="AQ8" s="465">
        <v>2288.7040000000002</v>
      </c>
      <c r="AR8" s="440">
        <v>661.21600000000001</v>
      </c>
      <c r="AS8" s="107">
        <v>745.55399999999997</v>
      </c>
      <c r="AT8" s="107">
        <v>729.56100000000004</v>
      </c>
      <c r="AU8" s="107">
        <f>AV8-SUM(AR8:AT8)</f>
        <v>655.72599999999966</v>
      </c>
      <c r="AV8" s="465">
        <v>2792.0569999999998</v>
      </c>
      <c r="AW8" s="440">
        <v>660.53499999999997</v>
      </c>
      <c r="AX8" s="107">
        <v>694.62199999999996</v>
      </c>
      <c r="AY8" s="107">
        <v>775.14400000000001</v>
      </c>
      <c r="AZ8" s="107">
        <f>BA8-SUM(AW8:AY8)</f>
        <v>751.13200000000006</v>
      </c>
      <c r="BA8" s="465">
        <v>2881.433</v>
      </c>
      <c r="BB8" s="440">
        <v>754.77499999999998</v>
      </c>
      <c r="BC8" s="107">
        <v>823.24400000000003</v>
      </c>
      <c r="BD8" s="107">
        <v>842.10299999999995</v>
      </c>
      <c r="BE8" s="107">
        <f>AZ8*(1+BE9)</f>
        <v>788.98180922500444</v>
      </c>
      <c r="BF8" s="465">
        <f>SUM(BB8:BE8)</f>
        <v>3209.1038092250042</v>
      </c>
      <c r="BG8" s="440">
        <f>BB8*(1+BG9)</f>
        <v>831.393335333256</v>
      </c>
      <c r="BH8" s="107">
        <f>BC8*(1+BH9)</f>
        <v>919.80692134619244</v>
      </c>
      <c r="BI8" s="107">
        <f>BD8*(1+BI9)</f>
        <v>920.53938463302063</v>
      </c>
      <c r="BJ8" s="107">
        <f>BE8*(1+BJ9)</f>
        <v>890.73135406965434</v>
      </c>
      <c r="BK8" s="465">
        <f>SUM(BG8:BJ8)</f>
        <v>3562.4709953821239</v>
      </c>
      <c r="BL8" s="440">
        <f>BG8*(1+BL9)</f>
        <v>942.3417948893433</v>
      </c>
      <c r="BM8" s="107">
        <f>BH8*(1+BM9)</f>
        <v>1047.4091784813086</v>
      </c>
      <c r="BN8" s="107">
        <f>BI8*(1+BN9)</f>
        <v>1055.1873432116497</v>
      </c>
      <c r="BO8" s="107">
        <f>BJ8*(1+BO9)</f>
        <v>1046.1807361562546</v>
      </c>
      <c r="BP8" s="465">
        <f>SUM(BL8:BO8)</f>
        <v>4091.1190527385565</v>
      </c>
      <c r="BQ8" s="440">
        <f>BL8*(1+BQ9)</f>
        <v>1022.5242635506211</v>
      </c>
      <c r="BR8" s="107">
        <f>BM8*(1+BR9)</f>
        <v>1140.8598842609374</v>
      </c>
      <c r="BS8" s="107">
        <f>BN8*(1+BS9)</f>
        <v>1154.9810741872325</v>
      </c>
      <c r="BT8" s="107">
        <f>BO8*(1+BT9)</f>
        <v>1135.6031601208988</v>
      </c>
      <c r="BU8" s="465">
        <f>SUM(BQ8:BT8)</f>
        <v>4453.9683821196895</v>
      </c>
      <c r="BV8" s="440">
        <f>BQ8*(1+BV9)</f>
        <v>1102.7746263171589</v>
      </c>
      <c r="BW8" s="107">
        <f>BR8*(1+BW9)</f>
        <v>1238.6890756802663</v>
      </c>
      <c r="BX8" s="107">
        <f>BS8*(1+BX9)</f>
        <v>1250.9172671524466</v>
      </c>
      <c r="BY8" s="107">
        <f>BT8*(1+BY9)</f>
        <v>1215.8323877802802</v>
      </c>
      <c r="BZ8" s="465">
        <f>SUM(BV8:BY8)</f>
        <v>4808.2133569301523</v>
      </c>
    </row>
    <row r="9" spans="1:83" s="100" customFormat="1" ht="14.1" customHeight="1" x14ac:dyDescent="0.2">
      <c r="A9"/>
      <c r="B9"/>
      <c r="C9" s="509" t="s">
        <v>68</v>
      </c>
      <c r="D9" s="510"/>
      <c r="E9" s="510">
        <f>AB9</f>
        <v>0.17736560682222513</v>
      </c>
      <c r="F9" s="510">
        <f>AG9</f>
        <v>8.0349536142658717E-2</v>
      </c>
      <c r="G9" s="510">
        <f>AL9</f>
        <v>1.9941961174992473E-2</v>
      </c>
      <c r="H9" s="510">
        <f>AQ9</f>
        <v>0.25589700422417905</v>
      </c>
      <c r="I9" s="510">
        <f>AV9</f>
        <v>0.21992927001482032</v>
      </c>
      <c r="J9" s="503">
        <f>BA9</f>
        <v>3.2010807802276275E-2</v>
      </c>
      <c r="K9" s="510">
        <f>BF9</f>
        <v>0.11371800393241971</v>
      </c>
      <c r="L9" s="510">
        <f>BK9</f>
        <v>0.11011397797145661</v>
      </c>
      <c r="M9" s="510">
        <f>BP9</f>
        <v>0.14839364532137833</v>
      </c>
      <c r="N9" s="510">
        <f>BU9</f>
        <v>8.8691950711687229E-2</v>
      </c>
      <c r="O9" s="511">
        <f>BZ9</f>
        <v>7.953468556996679E-2</v>
      </c>
      <c r="P9" s="1081"/>
      <c r="Q9" s="1081"/>
      <c r="R9" s="498" t="str">
        <f t="shared" ref="R9:R87" si="1">C9</f>
        <v>% Change</v>
      </c>
      <c r="S9" s="487"/>
      <c r="T9" s="487"/>
      <c r="U9" s="487"/>
      <c r="V9" s="487"/>
      <c r="W9" s="488"/>
      <c r="X9" s="493">
        <f>IF(ISERROR(X8/S8-1)=TRUE,"NA",X8/S8-1)</f>
        <v>0.21577579002754654</v>
      </c>
      <c r="Y9" s="487">
        <f t="shared" ref="Y9:BA9" si="2">IF(ISERROR(Y8/T8-1)=TRUE,"NA",Y8/T8-1)</f>
        <v>0.19704042885861073</v>
      </c>
      <c r="Z9" s="487">
        <f t="shared" si="2"/>
        <v>0.21567608023721507</v>
      </c>
      <c r="AA9" s="487">
        <f t="shared" si="2"/>
        <v>8.9340664343810383E-2</v>
      </c>
      <c r="AB9" s="488">
        <f t="shared" si="2"/>
        <v>0.17736560682222513</v>
      </c>
      <c r="AC9" s="493">
        <f t="shared" si="2"/>
        <v>4.5261643818179431E-2</v>
      </c>
      <c r="AD9" s="487">
        <f t="shared" si="2"/>
        <v>8.2716009068602103E-2</v>
      </c>
      <c r="AE9" s="487">
        <f t="shared" si="2"/>
        <v>0.10181595161222101</v>
      </c>
      <c r="AF9" s="487">
        <f t="shared" si="2"/>
        <v>8.9280885064536131E-2</v>
      </c>
      <c r="AG9" s="488">
        <f t="shared" si="2"/>
        <v>8.0349536142658717E-2</v>
      </c>
      <c r="AH9" s="493">
        <f t="shared" si="2"/>
        <v>8.7222103150634167E-2</v>
      </c>
      <c r="AI9" s="487">
        <f t="shared" si="2"/>
        <v>-9.9270780598670894E-2</v>
      </c>
      <c r="AJ9" s="487">
        <f t="shared" si="2"/>
        <v>2.6622391984491012E-2</v>
      </c>
      <c r="AK9" s="487">
        <f t="shared" si="2"/>
        <v>7.5422342094275452E-2</v>
      </c>
      <c r="AL9" s="488">
        <f t="shared" si="2"/>
        <v>1.9941961174992473E-2</v>
      </c>
      <c r="AM9" s="493">
        <f t="shared" si="2"/>
        <v>8.4404878179912046E-2</v>
      </c>
      <c r="AN9" s="487">
        <f t="shared" si="2"/>
        <v>0.36645268993623747</v>
      </c>
      <c r="AO9" s="487">
        <f t="shared" si="2"/>
        <v>0.28011899271668184</v>
      </c>
      <c r="AP9" s="487">
        <f t="shared" si="2"/>
        <v>0.29507725370528193</v>
      </c>
      <c r="AQ9" s="488">
        <f t="shared" si="2"/>
        <v>0.25589700422417905</v>
      </c>
      <c r="AR9" s="493">
        <f t="shared" si="2"/>
        <v>0.3659399182769576</v>
      </c>
      <c r="AS9" s="487">
        <f t="shared" si="2"/>
        <v>0.30493775083882779</v>
      </c>
      <c r="AT9" s="487">
        <f t="shared" si="2"/>
        <v>0.18393712594285128</v>
      </c>
      <c r="AU9" s="487">
        <f t="shared" si="2"/>
        <v>6.262549000860429E-2</v>
      </c>
      <c r="AV9" s="488">
        <f t="shared" si="2"/>
        <v>0.21992927001482032</v>
      </c>
      <c r="AW9" s="493">
        <f>IF(ISERROR(AW8/AR8-1)=TRUE,"NA",AW8/AR8-1)</f>
        <v>-1.0299206310797615E-3</v>
      </c>
      <c r="AX9" s="487">
        <f t="shared" si="2"/>
        <v>-6.8314300506737258E-2</v>
      </c>
      <c r="AY9" s="487">
        <f t="shared" si="2"/>
        <v>6.2480039366139328E-2</v>
      </c>
      <c r="AZ9" s="487">
        <f t="shared" si="2"/>
        <v>0.14549674711693683</v>
      </c>
      <c r="BA9" s="488">
        <f t="shared" si="2"/>
        <v>3.2010807802276275E-2</v>
      </c>
      <c r="BB9" s="493">
        <f>IF(ISERROR(BB8/AW8-1)=TRUE,"NA",BB8/AW8-1)</f>
        <v>0.14267222781533162</v>
      </c>
      <c r="BC9" s="487">
        <f>IF(ISERROR(BC8/AX8-1)=TRUE,"NA",BC8/AX8-1)</f>
        <v>0.18516833615981088</v>
      </c>
      <c r="BD9" s="487">
        <f>IF(ISERROR(BD8/AY8-1)=TRUE,"NA",BD8/AY8-1)</f>
        <v>8.6382659222028257E-2</v>
      </c>
      <c r="BE9" s="487">
        <f>'Revenue Build'!BE9</f>
        <v>5.0390356455329188E-2</v>
      </c>
      <c r="BF9" s="488">
        <f>'Revenue Build'!BF9</f>
        <v>0.11371800393241971</v>
      </c>
      <c r="BG9" s="493">
        <f>'Revenue Build'!BG9</f>
        <v>0.10151149062072284</v>
      </c>
      <c r="BH9" s="487">
        <f>'Revenue Build'!BH9</f>
        <v>0.11729562723347198</v>
      </c>
      <c r="BI9" s="487">
        <f>'Revenue Build'!BI9</f>
        <v>9.3143457074752911E-2</v>
      </c>
      <c r="BJ9" s="487">
        <f>'Revenue Build'!BJ9</f>
        <v>0.12896310618947693</v>
      </c>
      <c r="BK9" s="488">
        <f>BK8/BF8-1</f>
        <v>0.11011397797145661</v>
      </c>
      <c r="BL9" s="493">
        <f>'Revenue Build'!BL9</f>
        <v>0.13344881999999991</v>
      </c>
      <c r="BM9" s="487">
        <f>'Revenue Build'!BM9</f>
        <v>0.13872722000000026</v>
      </c>
      <c r="BN9" s="487">
        <f>'Revenue Build'!BN9</f>
        <v>0.14627072000000019</v>
      </c>
      <c r="BO9" s="487">
        <f>'Revenue Build'!BO9</f>
        <v>0.17451881689846105</v>
      </c>
      <c r="BP9" s="488">
        <f>BP8/BK8-1</f>
        <v>0.14839364532137833</v>
      </c>
      <c r="BQ9" s="493">
        <f>'Revenue Build'!BQ9</f>
        <v>8.5088520000000001E-2</v>
      </c>
      <c r="BR9" s="487">
        <f>'Revenue Build'!BR9</f>
        <v>8.9220820000000201E-2</v>
      </c>
      <c r="BS9" s="487">
        <f>'Revenue Build'!BS9</f>
        <v>9.4574420000000048E-2</v>
      </c>
      <c r="BT9" s="487">
        <f>'Revenue Build'!BT9</f>
        <v>8.5475119999999905E-2</v>
      </c>
      <c r="BU9" s="488">
        <f>BU8/BP8-1</f>
        <v>8.8691950711687229E-2</v>
      </c>
      <c r="BV9" s="493">
        <f>'Revenue Build'!BV9</f>
        <v>7.8482599999999847E-2</v>
      </c>
      <c r="BW9" s="487">
        <f>'Revenue Build'!BW9</f>
        <v>8.5750399999999782E-2</v>
      </c>
      <c r="BX9" s="487">
        <f>'Revenue Build'!BX9</f>
        <v>8.3063000000000109E-2</v>
      </c>
      <c r="BY9" s="487">
        <f>'Revenue Build'!BY9</f>
        <v>7.0648999999999962E-2</v>
      </c>
      <c r="BZ9" s="488">
        <f>BZ8/BU8-1</f>
        <v>7.953468556996679E-2</v>
      </c>
    </row>
    <row r="10" spans="1:83" ht="3" customHeight="1" x14ac:dyDescent="0.2">
      <c r="C10" s="364"/>
      <c r="J10" s="502"/>
      <c r="O10" s="365"/>
      <c r="R10" s="364"/>
      <c r="W10" s="365"/>
      <c r="X10" s="364"/>
      <c r="AB10" s="365"/>
      <c r="AC10" s="364"/>
      <c r="AG10" s="365"/>
      <c r="AH10" s="364"/>
      <c r="AL10" s="365"/>
      <c r="AM10" s="364"/>
      <c r="AQ10" s="365"/>
      <c r="AR10" s="364"/>
      <c r="AV10" s="365"/>
      <c r="AW10" s="364"/>
      <c r="BA10" s="365"/>
      <c r="BB10" s="364"/>
      <c r="BF10" s="365"/>
      <c r="BG10" s="364"/>
      <c r="BK10" s="365"/>
      <c r="BL10" s="364"/>
      <c r="BP10" s="365"/>
      <c r="BQ10" s="364"/>
      <c r="BU10" s="365"/>
      <c r="BV10" s="364"/>
      <c r="BZ10" s="365"/>
    </row>
    <row r="11" spans="1:83" ht="14.1" customHeight="1" x14ac:dyDescent="0.2">
      <c r="C11" s="364" t="s">
        <v>69</v>
      </c>
      <c r="D11" s="60">
        <f t="shared" ref="D11:D18" si="3">W11</f>
        <v>766.79</v>
      </c>
      <c r="E11" s="60">
        <f t="shared" ref="E11:E18" si="4">AB11</f>
        <v>872.72199999999998</v>
      </c>
      <c r="F11" s="60">
        <f t="shared" ref="F11:F18" si="5">AG11</f>
        <v>947.91099999999994</v>
      </c>
      <c r="G11" s="60">
        <f t="shared" ref="G11:G18" si="6">AL11</f>
        <v>963.26</v>
      </c>
      <c r="H11" s="60">
        <f t="shared" ref="H11:H18" si="7">AQ11</f>
        <v>1063.703</v>
      </c>
      <c r="I11" s="60">
        <f>AV11</f>
        <v>1169.539</v>
      </c>
      <c r="J11" s="502">
        <f>BA11</f>
        <v>1301.28</v>
      </c>
      <c r="K11" s="60">
        <f t="shared" ref="K11:K21" si="8">BF11</f>
        <v>1499.2403737867096</v>
      </c>
      <c r="L11" s="60">
        <f t="shared" ref="L11:L21" si="9">BK11</f>
        <v>1660.3417787515627</v>
      </c>
      <c r="M11" s="60">
        <f t="shared" ref="M11:M21" si="10">BP11</f>
        <v>1861.4919786863479</v>
      </c>
      <c r="N11" s="60">
        <f t="shared" ref="N11:N21" si="11">BU11</f>
        <v>2003.7724959687746</v>
      </c>
      <c r="O11" s="365">
        <f t="shared" ref="O11:O21" si="12">BZ11</f>
        <v>2142.9574027372851</v>
      </c>
      <c r="R11" s="364" t="str">
        <f t="shared" si="1"/>
        <v>Salaries, Wages and employees’ benefits</v>
      </c>
      <c r="S11" s="60">
        <v>180.90299999999999</v>
      </c>
      <c r="T11" s="60">
        <v>196.38800000000001</v>
      </c>
      <c r="U11" s="60">
        <v>194.92</v>
      </c>
      <c r="V11" s="60">
        <f t="shared" ref="V11:V16" si="13">W11-SUM(S11:U11)</f>
        <v>194.57899999999995</v>
      </c>
      <c r="W11" s="365">
        <v>766.79</v>
      </c>
      <c r="X11" s="364">
        <v>211.124</v>
      </c>
      <c r="Y11" s="60">
        <v>220.40600000000001</v>
      </c>
      <c r="Z11" s="60">
        <v>224.63499999999999</v>
      </c>
      <c r="AA11" s="60">
        <f t="shared" ref="AA11:AA16" si="14">AB11-SUM(X11:Z11)</f>
        <v>216.55700000000002</v>
      </c>
      <c r="AB11" s="365">
        <v>872.72199999999998</v>
      </c>
      <c r="AC11" s="364">
        <v>220.352</v>
      </c>
      <c r="AD11" s="60">
        <v>237.68899999999999</v>
      </c>
      <c r="AE11" s="60">
        <v>250.16200000000001</v>
      </c>
      <c r="AF11" s="60">
        <f t="shared" ref="AF11:AF16" si="15">AG11-SUM(AC11:AE11)</f>
        <v>239.70799999999997</v>
      </c>
      <c r="AG11" s="365">
        <v>947.91099999999994</v>
      </c>
      <c r="AH11" s="364">
        <v>238.64500000000001</v>
      </c>
      <c r="AI11" s="60">
        <v>224.27699999999999</v>
      </c>
      <c r="AJ11" s="60">
        <v>252.09200000000001</v>
      </c>
      <c r="AK11" s="60">
        <f t="shared" ref="AK11:AK18" si="16">AL11-SUM(AH11:AJ11)</f>
        <v>248.24599999999998</v>
      </c>
      <c r="AL11" s="365">
        <v>963.26</v>
      </c>
      <c r="AM11" s="364">
        <v>244.43700000000001</v>
      </c>
      <c r="AN11" s="60">
        <v>268.786</v>
      </c>
      <c r="AO11" s="60">
        <v>277.084</v>
      </c>
      <c r="AP11" s="60">
        <f t="shared" ref="AP11:AP18" si="17">AQ11-SUM(AM11:AO11)</f>
        <v>273.39599999999996</v>
      </c>
      <c r="AQ11" s="365">
        <v>1063.703</v>
      </c>
      <c r="AR11" s="364">
        <v>289.46300000000002</v>
      </c>
      <c r="AS11" s="60">
        <v>295.05200000000002</v>
      </c>
      <c r="AT11" s="60">
        <v>297.24700000000001</v>
      </c>
      <c r="AU11" s="60">
        <f t="shared" ref="AU11:AU18" si="18">AV11-SUM(AR11:AT11)</f>
        <v>287.77699999999982</v>
      </c>
      <c r="AV11" s="365">
        <v>1169.539</v>
      </c>
      <c r="AW11" s="364">
        <v>298.95600000000002</v>
      </c>
      <c r="AX11" s="60">
        <v>311.88799999999998</v>
      </c>
      <c r="AY11" s="60">
        <v>344.60500000000002</v>
      </c>
      <c r="AZ11" s="60">
        <f t="shared" ref="AZ11:AZ16" si="19">BA11-SUM(AW11:AY11)</f>
        <v>345.8309999999999</v>
      </c>
      <c r="BA11" s="365">
        <v>1301.28</v>
      </c>
      <c r="BB11" s="364">
        <v>341.71300000000002</v>
      </c>
      <c r="BC11" s="60">
        <v>372.24</v>
      </c>
      <c r="BD11" s="60">
        <v>398.13400000000001</v>
      </c>
      <c r="BE11" s="60">
        <f>AZ11*(1+'Revenue Build'!BE123)</f>
        <v>387.15337378670966</v>
      </c>
      <c r="BF11" s="365">
        <f t="shared" ref="BF11:BF18" si="20">SUM(BB11:BE11)</f>
        <v>1499.2403737867096</v>
      </c>
      <c r="BG11" s="364">
        <f>BB11*(1+'Revenue Build'!BG123)</f>
        <v>382.44093425329783</v>
      </c>
      <c r="BH11" s="60">
        <f>BC11*(1+'Revenue Build'!BH123)</f>
        <v>413.45321114511353</v>
      </c>
      <c r="BI11" s="60">
        <f>BD11*(1+'Revenue Build'!BI123)</f>
        <v>434.40253560832235</v>
      </c>
      <c r="BJ11" s="60">
        <f>BE11*(1+'Revenue Build'!BJ123)</f>
        <v>430.04509774482904</v>
      </c>
      <c r="BK11" s="365">
        <f t="shared" ref="BK11:BK18" si="21">SUM(BG11:BJ11)</f>
        <v>1660.3417787515627</v>
      </c>
      <c r="BL11" s="364">
        <f>BG11*(1+'Revenue Build'!BL123)</f>
        <v>434.23109908500948</v>
      </c>
      <c r="BM11" s="60">
        <f>BH11*(1+'Revenue Build'!BM123)</f>
        <v>469.02983012392997</v>
      </c>
      <c r="BN11" s="60">
        <f>BI11*(1+'Revenue Build'!BN123)</f>
        <v>482.00957837908152</v>
      </c>
      <c r="BO11" s="60">
        <f>BJ11*(1+'Revenue Build'!BO123)</f>
        <v>476.22147109832702</v>
      </c>
      <c r="BP11" s="365">
        <f t="shared" ref="BP11:BP18" si="22">SUM(BL11:BO11)</f>
        <v>1861.4919786863479</v>
      </c>
      <c r="BQ11" s="364">
        <f>BL11*(1+'Revenue Build'!BQ123)</f>
        <v>459.72690889235935</v>
      </c>
      <c r="BR11" s="60">
        <f>BM11*(1+'Revenue Build'!BR123)</f>
        <v>503.46146692435167</v>
      </c>
      <c r="BS11" s="60">
        <f>BN11*(1+'Revenue Build'!BS123)</f>
        <v>529.78981872968347</v>
      </c>
      <c r="BT11" s="60">
        <f>BO11*(1+'Revenue Build'!BT123)</f>
        <v>510.79430142238022</v>
      </c>
      <c r="BU11" s="365">
        <f t="shared" ref="BU11:BU18" si="23">SUM(BQ11:BT11)</f>
        <v>2003.7724959687746</v>
      </c>
      <c r="BV11" s="364">
        <f>BQ11*(1+'Revenue Build'!BV123)</f>
        <v>497.57191139430222</v>
      </c>
      <c r="BW11" s="60">
        <f>BR11*(1+'Revenue Build'!BW123)</f>
        <v>542.05033951768439</v>
      </c>
      <c r="BX11" s="60">
        <f>BS11*(1+'Revenue Build'!BX123)</f>
        <v>571.0437324550918</v>
      </c>
      <c r="BY11" s="60">
        <f>BT11*(1+'Revenue Build'!BY123)</f>
        <v>532.29141937020665</v>
      </c>
      <c r="BZ11" s="365">
        <f t="shared" ref="BZ11:BZ18" si="24">SUM(BV11:BY11)</f>
        <v>2142.9574027372851</v>
      </c>
    </row>
    <row r="12" spans="1:83" ht="14.1" customHeight="1" x14ac:dyDescent="0.2">
      <c r="C12" s="364" t="s">
        <v>70</v>
      </c>
      <c r="D12" s="60">
        <f t="shared" si="3"/>
        <v>107.702</v>
      </c>
      <c r="E12" s="60">
        <f t="shared" si="4"/>
        <v>123.904</v>
      </c>
      <c r="F12" s="60">
        <f t="shared" si="5"/>
        <v>129.97999999999999</v>
      </c>
      <c r="G12" s="60">
        <f t="shared" si="6"/>
        <v>141.369</v>
      </c>
      <c r="H12" s="60">
        <f t="shared" si="7"/>
        <v>249.71</v>
      </c>
      <c r="I12" s="60">
        <f t="shared" ref="I12:I18" si="25">AV12</f>
        <v>315.89600000000002</v>
      </c>
      <c r="J12" s="502">
        <f t="shared" ref="J12:J18" si="26">BA12</f>
        <v>238.68799999999999</v>
      </c>
      <c r="K12" s="60">
        <f t="shared" si="8"/>
        <v>235.94469026420032</v>
      </c>
      <c r="L12" s="60">
        <f t="shared" si="9"/>
        <v>213.86106872031104</v>
      </c>
      <c r="M12" s="60">
        <f t="shared" si="10"/>
        <v>224.17052372744092</v>
      </c>
      <c r="N12" s="60">
        <f t="shared" si="11"/>
        <v>217.30544496696015</v>
      </c>
      <c r="O12" s="365">
        <f t="shared" si="12"/>
        <v>235.03056107092218</v>
      </c>
      <c r="R12" s="364" t="str">
        <f t="shared" si="1"/>
        <v>Purchased transportation</v>
      </c>
      <c r="S12" s="60">
        <v>20.82</v>
      </c>
      <c r="T12" s="60">
        <v>22.363</v>
      </c>
      <c r="U12" s="60">
        <v>23.074000000000002</v>
      </c>
      <c r="V12" s="60">
        <f t="shared" si="13"/>
        <v>41.444999999999993</v>
      </c>
      <c r="W12" s="365">
        <v>107.702</v>
      </c>
      <c r="X12" s="364">
        <v>29.916</v>
      </c>
      <c r="Y12" s="60">
        <v>34.113</v>
      </c>
      <c r="Z12" s="60">
        <v>31.216000000000001</v>
      </c>
      <c r="AA12" s="60">
        <f t="shared" si="14"/>
        <v>28.658999999999992</v>
      </c>
      <c r="AB12" s="365">
        <v>123.904</v>
      </c>
      <c r="AC12" s="364">
        <v>28.417999999999999</v>
      </c>
      <c r="AD12" s="60">
        <v>34.154000000000003</v>
      </c>
      <c r="AE12" s="60">
        <v>35.843000000000004</v>
      </c>
      <c r="AF12" s="60">
        <f t="shared" si="15"/>
        <v>31.564999999999984</v>
      </c>
      <c r="AG12" s="365">
        <v>129.97999999999999</v>
      </c>
      <c r="AH12" s="364">
        <v>30.059000000000001</v>
      </c>
      <c r="AI12" s="60">
        <v>26.405999999999999</v>
      </c>
      <c r="AJ12" s="60">
        <v>40.052999999999997</v>
      </c>
      <c r="AK12" s="60">
        <f t="shared" si="16"/>
        <v>44.850999999999999</v>
      </c>
      <c r="AL12" s="365">
        <v>141.369</v>
      </c>
      <c r="AM12" s="364">
        <v>45.030999999999999</v>
      </c>
      <c r="AN12" s="60">
        <v>62.481000000000002</v>
      </c>
      <c r="AO12" s="60">
        <v>72.192999999999998</v>
      </c>
      <c r="AP12" s="60">
        <f t="shared" si="17"/>
        <v>70.005000000000024</v>
      </c>
      <c r="AQ12" s="365">
        <v>249.71</v>
      </c>
      <c r="AR12" s="364">
        <v>78.248000000000005</v>
      </c>
      <c r="AS12" s="60">
        <v>91.819000000000003</v>
      </c>
      <c r="AT12" s="60">
        <v>85.451999999999998</v>
      </c>
      <c r="AU12" s="60">
        <f t="shared" si="18"/>
        <v>60.37700000000001</v>
      </c>
      <c r="AV12" s="365">
        <v>315.89600000000002</v>
      </c>
      <c r="AW12" s="364">
        <v>46.726999999999997</v>
      </c>
      <c r="AX12" s="60">
        <v>49.771000000000001</v>
      </c>
      <c r="AY12" s="60">
        <v>76.745999999999995</v>
      </c>
      <c r="AZ12" s="60">
        <f t="shared" si="19"/>
        <v>65.444000000000017</v>
      </c>
      <c r="BA12" s="365">
        <v>238.68799999999999</v>
      </c>
      <c r="BB12" s="364">
        <v>52.506999999999998</v>
      </c>
      <c r="BC12" s="60">
        <v>61.046999999999997</v>
      </c>
      <c r="BD12" s="60">
        <v>65.584000000000003</v>
      </c>
      <c r="BE12" s="60">
        <f>AZ12*(1+'Revenue Build'!BE124)</f>
        <v>56.806690264200306</v>
      </c>
      <c r="BF12" s="365">
        <f t="shared" si="20"/>
        <v>235.94469026420032</v>
      </c>
      <c r="BG12" s="364">
        <f>BB12*(1+'Revenue Build'!BG124)</f>
        <v>39.491183428329663</v>
      </c>
      <c r="BH12" s="60">
        <f>BC12*(1+'Revenue Build'!BH124)</f>
        <v>47.002133680790436</v>
      </c>
      <c r="BI12" s="60">
        <f>BD12*(1+'Revenue Build'!BI124)</f>
        <v>63.056947847361911</v>
      </c>
      <c r="BJ12" s="60">
        <f>BE12*(1+'Revenue Build'!BJ124)</f>
        <v>64.310803763829028</v>
      </c>
      <c r="BK12" s="365">
        <f t="shared" si="21"/>
        <v>213.86106872031104</v>
      </c>
      <c r="BL12" s="364">
        <f>BG12*(1+'Revenue Build'!BL124)</f>
        <v>41.65150733410897</v>
      </c>
      <c r="BM12" s="60">
        <f>BH12*(1+'Revenue Build'!BM124)</f>
        <v>54.570018198876177</v>
      </c>
      <c r="BN12" s="60">
        <f>BI12*(1+'Revenue Build'!BN124)</f>
        <v>61.411903374918005</v>
      </c>
      <c r="BO12" s="60">
        <f>BJ12*(1+'Revenue Build'!BO124)</f>
        <v>66.537094819537785</v>
      </c>
      <c r="BP12" s="365">
        <f t="shared" si="22"/>
        <v>224.17052372744092</v>
      </c>
      <c r="BQ12" s="364">
        <f>BL12*(1+'Revenue Build'!BQ124)</f>
        <v>44.070795759031768</v>
      </c>
      <c r="BR12" s="60">
        <f>BM12*(1+'Revenue Build'!BR124)</f>
        <v>53.620414560264059</v>
      </c>
      <c r="BS12" s="60">
        <f>BN12*(1+'Revenue Build'!BS124)</f>
        <v>56.247578312918208</v>
      </c>
      <c r="BT12" s="60">
        <f>BO12*(1+'Revenue Build'!BT124)</f>
        <v>63.366656334746132</v>
      </c>
      <c r="BU12" s="365">
        <f t="shared" si="23"/>
        <v>217.30544496696015</v>
      </c>
      <c r="BV12" s="364">
        <f>BQ12*(1+'Revenue Build'!BV124)</f>
        <v>47.309031469006122</v>
      </c>
      <c r="BW12" s="60">
        <f>BR12*(1+'Revenue Build'!BW124)</f>
        <v>58.218386556972511</v>
      </c>
      <c r="BX12" s="60">
        <f>BS12*(1+'Revenue Build'!BX124)</f>
        <v>61.294946090469857</v>
      </c>
      <c r="BY12" s="60">
        <f>BT12*(1+'Revenue Build'!BY124)</f>
        <v>68.208196954473692</v>
      </c>
      <c r="BZ12" s="365">
        <f t="shared" si="24"/>
        <v>235.03056107092218</v>
      </c>
    </row>
    <row r="13" spans="1:83" ht="14.1" customHeight="1" x14ac:dyDescent="0.2">
      <c r="C13" s="364" t="s">
        <v>71</v>
      </c>
      <c r="D13" s="60">
        <f t="shared" si="3"/>
        <v>268.08999999999997</v>
      </c>
      <c r="E13" s="60">
        <f t="shared" si="4"/>
        <v>325</v>
      </c>
      <c r="F13" s="60">
        <f t="shared" si="5"/>
        <v>340.05599999999998</v>
      </c>
      <c r="G13" s="60">
        <f t="shared" si="6"/>
        <v>299.23399999999998</v>
      </c>
      <c r="H13" s="60">
        <f t="shared" si="7"/>
        <v>381.904</v>
      </c>
      <c r="I13" s="60">
        <f t="shared" si="25"/>
        <v>558.45600000000002</v>
      </c>
      <c r="J13" s="502">
        <f t="shared" si="26"/>
        <v>563.68799999999999</v>
      </c>
      <c r="K13" s="60">
        <f t="shared" si="8"/>
        <v>617.95172566050076</v>
      </c>
      <c r="L13" s="60">
        <f t="shared" si="9"/>
        <v>628.79686729812624</v>
      </c>
      <c r="M13" s="60">
        <f t="shared" si="10"/>
        <v>721.36181064152584</v>
      </c>
      <c r="N13" s="60">
        <f t="shared" si="11"/>
        <v>783.03746873294881</v>
      </c>
      <c r="O13" s="365">
        <f t="shared" si="12"/>
        <v>810.38096934207601</v>
      </c>
      <c r="R13" s="364" t="str">
        <f t="shared" si="1"/>
        <v>Fuel, operating expenses and supplies</v>
      </c>
      <c r="S13" s="60">
        <v>63.99</v>
      </c>
      <c r="T13" s="60">
        <v>66.091999999999999</v>
      </c>
      <c r="U13" s="60">
        <v>66.679000000000002</v>
      </c>
      <c r="V13" s="60">
        <f t="shared" si="13"/>
        <v>71.328999999999979</v>
      </c>
      <c r="W13" s="365">
        <v>268.08999999999997</v>
      </c>
      <c r="X13" s="364">
        <v>78.793999999999997</v>
      </c>
      <c r="Y13" s="60">
        <v>84.745000000000005</v>
      </c>
      <c r="Z13" s="60">
        <v>81.643000000000001</v>
      </c>
      <c r="AA13" s="60">
        <f t="shared" si="14"/>
        <v>79.818000000000012</v>
      </c>
      <c r="AB13" s="365">
        <v>325</v>
      </c>
      <c r="AC13" s="364">
        <v>83.543000000000006</v>
      </c>
      <c r="AD13" s="60">
        <v>85.328000000000003</v>
      </c>
      <c r="AE13" s="60">
        <v>84.259</v>
      </c>
      <c r="AF13" s="60">
        <f t="shared" si="15"/>
        <v>86.925999999999988</v>
      </c>
      <c r="AG13" s="365">
        <v>340.05599999999998</v>
      </c>
      <c r="AH13" s="364">
        <v>82.899000000000001</v>
      </c>
      <c r="AI13" s="60">
        <v>65.902000000000001</v>
      </c>
      <c r="AJ13" s="60">
        <v>74.105999999999995</v>
      </c>
      <c r="AK13" s="60">
        <f t="shared" si="16"/>
        <v>76.326999999999998</v>
      </c>
      <c r="AL13" s="365">
        <v>299.23399999999998</v>
      </c>
      <c r="AM13" s="364">
        <v>84.900999999999996</v>
      </c>
      <c r="AN13" s="60">
        <v>90.664000000000001</v>
      </c>
      <c r="AO13" s="60">
        <v>98.834000000000003</v>
      </c>
      <c r="AP13" s="60">
        <f t="shared" si="17"/>
        <v>107.505</v>
      </c>
      <c r="AQ13" s="365">
        <v>381.904</v>
      </c>
      <c r="AR13" s="364">
        <v>122.771</v>
      </c>
      <c r="AS13" s="60">
        <v>145.53</v>
      </c>
      <c r="AT13" s="60">
        <v>145.46100000000001</v>
      </c>
      <c r="AU13" s="60">
        <f t="shared" si="18"/>
        <v>144.69400000000002</v>
      </c>
      <c r="AV13" s="365">
        <v>558.45600000000002</v>
      </c>
      <c r="AW13" s="364">
        <v>141.625</v>
      </c>
      <c r="AX13" s="60">
        <v>133.49</v>
      </c>
      <c r="AY13" s="60">
        <v>144.28200000000001</v>
      </c>
      <c r="AZ13" s="60">
        <f t="shared" si="19"/>
        <v>144.29099999999994</v>
      </c>
      <c r="BA13" s="365">
        <v>563.68799999999999</v>
      </c>
      <c r="BB13" s="364">
        <v>156.32499999999999</v>
      </c>
      <c r="BC13" s="60">
        <v>160.87700000000001</v>
      </c>
      <c r="BD13" s="60">
        <v>158.733</v>
      </c>
      <c r="BE13" s="60">
        <f>AZ13*(1+'Revenue Build'!BE125)</f>
        <v>142.01672566050078</v>
      </c>
      <c r="BF13" s="365">
        <f t="shared" si="20"/>
        <v>617.95172566050076</v>
      </c>
      <c r="BG13" s="364">
        <f>BB13*(1+'Revenue Build'!BG125)</f>
        <v>153.80776703665239</v>
      </c>
      <c r="BH13" s="60">
        <f>BC13*(1+'Revenue Build'!BH125)</f>
        <v>158.20679047154508</v>
      </c>
      <c r="BI13" s="60">
        <f>BD13*(1+'Revenue Build'!BI125)</f>
        <v>160.72617655692537</v>
      </c>
      <c r="BJ13" s="60">
        <f>BE13*(1+'Revenue Build'!BJ125)</f>
        <v>156.05613323300341</v>
      </c>
      <c r="BK13" s="365">
        <f t="shared" si="21"/>
        <v>628.79686729812624</v>
      </c>
      <c r="BL13" s="364">
        <f>BG13*(1+'Revenue Build'!BL125)</f>
        <v>178.85647266999734</v>
      </c>
      <c r="BM13" s="60">
        <f>BH13*(1+'Revenue Build'!BM125)</f>
        <v>185.70564734473601</v>
      </c>
      <c r="BN13" s="60">
        <f>BI13*(1+'Revenue Build'!BN125)</f>
        <v>177.69354859684171</v>
      </c>
      <c r="BO13" s="60">
        <f>BJ13*(1+'Revenue Build'!BO125)</f>
        <v>179.10614202995075</v>
      </c>
      <c r="BP13" s="365">
        <f t="shared" si="22"/>
        <v>721.36181064152584</v>
      </c>
      <c r="BQ13" s="364">
        <f>BL13*(1+'Revenue Build'!BQ125)</f>
        <v>193.25708581106736</v>
      </c>
      <c r="BR13" s="60">
        <f>BM13*(1+'Revenue Build'!BR125)</f>
        <v>201.24768358362937</v>
      </c>
      <c r="BS13" s="60">
        <f>BN13*(1+'Revenue Build'!BS125)</f>
        <v>192.07335263733668</v>
      </c>
      <c r="BT13" s="60">
        <f>BO13*(1+'Revenue Build'!BT125)</f>
        <v>196.45934670091543</v>
      </c>
      <c r="BU13" s="365">
        <f t="shared" si="23"/>
        <v>783.03746873294881</v>
      </c>
      <c r="BV13" s="364">
        <f>BQ13*(1+'Revenue Build'!BV125)</f>
        <v>200.37414960182775</v>
      </c>
      <c r="BW13" s="60">
        <f>BR13*(1+'Revenue Build'!BW125)</f>
        <v>208.22363362185277</v>
      </c>
      <c r="BX13" s="60">
        <f>BS13*(1+'Revenue Build'!BX125)</f>
        <v>197.64492821008648</v>
      </c>
      <c r="BY13" s="60">
        <f>BT13*(1+'Revenue Build'!BY125)</f>
        <v>204.13825790830899</v>
      </c>
      <c r="BZ13" s="365">
        <f t="shared" si="24"/>
        <v>810.38096934207601</v>
      </c>
    </row>
    <row r="14" spans="1:83" ht="14.1" customHeight="1" x14ac:dyDescent="0.2">
      <c r="C14" s="364" t="s">
        <v>72</v>
      </c>
      <c r="D14" s="60">
        <f t="shared" si="3"/>
        <v>43.33</v>
      </c>
      <c r="E14" s="60">
        <f t="shared" si="4"/>
        <v>50.088999999999999</v>
      </c>
      <c r="F14" s="60">
        <f t="shared" si="5"/>
        <v>54.396999999999998</v>
      </c>
      <c r="G14" s="60">
        <f t="shared" si="6"/>
        <v>56.293999999999997</v>
      </c>
      <c r="H14" s="60">
        <f t="shared" si="7"/>
        <v>59.094999999999999</v>
      </c>
      <c r="I14" s="60">
        <f t="shared" si="25"/>
        <v>63.823999999999998</v>
      </c>
      <c r="J14" s="502">
        <f t="shared" si="26"/>
        <v>69.542000000000002</v>
      </c>
      <c r="K14" s="60">
        <f t="shared" si="8"/>
        <v>78.415461602322608</v>
      </c>
      <c r="L14" s="60">
        <f t="shared" si="9"/>
        <v>84.368463840185512</v>
      </c>
      <c r="M14" s="60">
        <f t="shared" si="10"/>
        <v>90.912862918051559</v>
      </c>
      <c r="N14" s="60">
        <f t="shared" si="11"/>
        <v>90.733215961024754</v>
      </c>
      <c r="O14" s="365">
        <f t="shared" si="12"/>
        <v>93.391288203006695</v>
      </c>
      <c r="R14" s="364" t="str">
        <f t="shared" si="1"/>
        <v>Operating taxes and licenses</v>
      </c>
      <c r="S14" s="60">
        <v>10.582000000000001</v>
      </c>
      <c r="T14" s="60">
        <v>10.875</v>
      </c>
      <c r="U14" s="60">
        <v>10.631</v>
      </c>
      <c r="V14" s="60">
        <f t="shared" si="13"/>
        <v>11.241999999999997</v>
      </c>
      <c r="W14" s="365">
        <v>43.33</v>
      </c>
      <c r="X14" s="364">
        <v>12.15</v>
      </c>
      <c r="Y14" s="60">
        <v>12.794</v>
      </c>
      <c r="Z14" s="60">
        <v>12.366</v>
      </c>
      <c r="AA14" s="60">
        <f t="shared" si="14"/>
        <v>12.778999999999996</v>
      </c>
      <c r="AB14" s="365">
        <v>50.088999999999999</v>
      </c>
      <c r="AC14" s="364">
        <v>13.202</v>
      </c>
      <c r="AD14" s="60">
        <v>13.529</v>
      </c>
      <c r="AE14" s="60">
        <v>13.634</v>
      </c>
      <c r="AF14" s="60">
        <f t="shared" si="15"/>
        <v>14.031999999999996</v>
      </c>
      <c r="AG14" s="365">
        <v>54.396999999999998</v>
      </c>
      <c r="AH14" s="364">
        <v>14.396000000000001</v>
      </c>
      <c r="AI14" s="60">
        <v>13.743</v>
      </c>
      <c r="AJ14" s="60">
        <v>14.061</v>
      </c>
      <c r="AK14" s="60">
        <f t="shared" si="16"/>
        <v>14.093999999999994</v>
      </c>
      <c r="AL14" s="365">
        <v>56.293999999999997</v>
      </c>
      <c r="AM14" s="364">
        <v>14.337999999999999</v>
      </c>
      <c r="AN14" s="60">
        <v>14.558999999999999</v>
      </c>
      <c r="AO14" s="60">
        <v>14.571999999999999</v>
      </c>
      <c r="AP14" s="60">
        <f t="shared" si="17"/>
        <v>15.626000000000005</v>
      </c>
      <c r="AQ14" s="365">
        <v>59.094999999999999</v>
      </c>
      <c r="AR14" s="364">
        <v>16.573</v>
      </c>
      <c r="AS14" s="60">
        <v>15.978999999999999</v>
      </c>
      <c r="AT14" s="60">
        <v>16.260999999999999</v>
      </c>
      <c r="AU14" s="60">
        <f t="shared" si="18"/>
        <v>15.010999999999996</v>
      </c>
      <c r="AV14" s="365">
        <v>63.823999999999998</v>
      </c>
      <c r="AW14" s="364">
        <v>17.065000000000001</v>
      </c>
      <c r="AX14" s="60">
        <v>17.457000000000001</v>
      </c>
      <c r="AY14" s="60">
        <v>17.018000000000001</v>
      </c>
      <c r="AZ14" s="60">
        <f t="shared" si="19"/>
        <v>18.001999999999995</v>
      </c>
      <c r="BA14" s="365">
        <v>69.542000000000002</v>
      </c>
      <c r="BB14" s="364">
        <v>19.765999999999998</v>
      </c>
      <c r="BC14" s="60">
        <v>19.693000000000001</v>
      </c>
      <c r="BD14" s="60">
        <v>19.942</v>
      </c>
      <c r="BE14" s="60">
        <f>AZ14*(1+'Revenue Build'!BE126)</f>
        <v>19.014461602322605</v>
      </c>
      <c r="BF14" s="365">
        <f t="shared" si="20"/>
        <v>78.415461602322608</v>
      </c>
      <c r="BG14" s="364">
        <f>BB14*(1+'Revenue Build'!BG126)</f>
        <v>21.366808718064682</v>
      </c>
      <c r="BH14" s="60">
        <f>BC14*(1+'Revenue Build'!BH126)</f>
        <v>21.431501267366283</v>
      </c>
      <c r="BI14" s="60">
        <f>BD14*(1+'Revenue Build'!BI126)</f>
        <v>21.172405846559471</v>
      </c>
      <c r="BJ14" s="60">
        <f>BE14*(1+'Revenue Build'!BJ126)</f>
        <v>20.39774800819508</v>
      </c>
      <c r="BK14" s="365">
        <f t="shared" si="21"/>
        <v>84.368463840185512</v>
      </c>
      <c r="BL14" s="364">
        <f>BG14*(1+'Revenue Build'!BL126)</f>
        <v>22.898905615811046</v>
      </c>
      <c r="BM14" s="60">
        <f>BH14*(1+'Revenue Build'!BM126)</f>
        <v>22.93826100874066</v>
      </c>
      <c r="BN14" s="60">
        <f>BI14*(1+'Revenue Build'!BN126)</f>
        <v>22.792046613371628</v>
      </c>
      <c r="BO14" s="60">
        <f>BJ14*(1+'Revenue Build'!BO126)</f>
        <v>22.283649680128221</v>
      </c>
      <c r="BP14" s="365">
        <f t="shared" si="22"/>
        <v>90.912862918051559</v>
      </c>
      <c r="BQ14" s="364">
        <f>BL14*(1+'Revenue Build'!BQ126)</f>
        <v>22.904543503533915</v>
      </c>
      <c r="BR14" s="60">
        <f>BM14*(1+'Revenue Build'!BR126)</f>
        <v>22.931283673644842</v>
      </c>
      <c r="BS14" s="60">
        <f>BN14*(1+'Revenue Build'!BS126)</f>
        <v>22.753127161488479</v>
      </c>
      <c r="BT14" s="60">
        <f>BO14*(1+'Revenue Build'!BT126)</f>
        <v>22.144261622357522</v>
      </c>
      <c r="BU14" s="365">
        <f t="shared" si="23"/>
        <v>90.733215961024754</v>
      </c>
      <c r="BV14" s="364">
        <f>BQ14*(1+'Revenue Build'!BV126)</f>
        <v>23.599377003187204</v>
      </c>
      <c r="BW14" s="60">
        <f>BR14*(1+'Revenue Build'!BW126)</f>
        <v>23.535092437925059</v>
      </c>
      <c r="BX14" s="60">
        <f>BS14*(1+'Revenue Build'!BX126)</f>
        <v>23.642336349181235</v>
      </c>
      <c r="BY14" s="60">
        <f>BT14*(1+'Revenue Build'!BY126)</f>
        <v>22.614482412713205</v>
      </c>
      <c r="BZ14" s="365">
        <f t="shared" si="24"/>
        <v>93.391288203006695</v>
      </c>
    </row>
    <row r="15" spans="1:83" ht="14.1" customHeight="1" x14ac:dyDescent="0.2">
      <c r="C15" s="364" t="s">
        <v>73</v>
      </c>
      <c r="D15" s="60">
        <f t="shared" si="3"/>
        <v>37.161999999999999</v>
      </c>
      <c r="E15" s="60">
        <f t="shared" si="4"/>
        <v>38.424999999999997</v>
      </c>
      <c r="F15" s="60">
        <f t="shared" si="5"/>
        <v>43.073</v>
      </c>
      <c r="G15" s="60">
        <f t="shared" si="6"/>
        <v>49.761000000000003</v>
      </c>
      <c r="H15" s="60">
        <f t="shared" si="7"/>
        <v>61.344999999999999</v>
      </c>
      <c r="I15" s="60">
        <f t="shared" si="25"/>
        <v>56.600999999999999</v>
      </c>
      <c r="J15" s="502">
        <f t="shared" si="26"/>
        <v>67.983999999999995</v>
      </c>
      <c r="K15" s="60">
        <f t="shared" si="8"/>
        <v>75.762934316160113</v>
      </c>
      <c r="L15" s="60">
        <f t="shared" si="9"/>
        <v>79.413752282280697</v>
      </c>
      <c r="M15" s="60">
        <f t="shared" si="10"/>
        <v>87.061105558234914</v>
      </c>
      <c r="N15" s="60">
        <f t="shared" si="11"/>
        <v>90.788627672176872</v>
      </c>
      <c r="O15" s="365">
        <f t="shared" si="12"/>
        <v>96.442948970968089</v>
      </c>
      <c r="R15" s="364" t="str">
        <f t="shared" si="1"/>
        <v>Claims and insurance</v>
      </c>
      <c r="S15" s="60">
        <v>9.0489999999999995</v>
      </c>
      <c r="T15" s="60">
        <v>10.426</v>
      </c>
      <c r="U15" s="60">
        <v>8.5350000000000001</v>
      </c>
      <c r="V15" s="60">
        <f t="shared" si="13"/>
        <v>9.1519999999999975</v>
      </c>
      <c r="W15" s="365">
        <v>37.161999999999999</v>
      </c>
      <c r="X15" s="364">
        <v>10.191000000000001</v>
      </c>
      <c r="Y15" s="60">
        <v>9.91</v>
      </c>
      <c r="Z15" s="60">
        <v>9.9849999999999994</v>
      </c>
      <c r="AA15" s="60">
        <f t="shared" si="14"/>
        <v>8.3389999999999986</v>
      </c>
      <c r="AB15" s="365">
        <v>38.424999999999997</v>
      </c>
      <c r="AC15" s="364">
        <v>9.5299999999999994</v>
      </c>
      <c r="AD15" s="60">
        <v>13.156000000000001</v>
      </c>
      <c r="AE15" s="60">
        <v>7.85</v>
      </c>
      <c r="AF15" s="60">
        <f t="shared" si="15"/>
        <v>12.536999999999999</v>
      </c>
      <c r="AG15" s="365">
        <v>43.073</v>
      </c>
      <c r="AH15" s="364">
        <v>10.420999999999999</v>
      </c>
      <c r="AI15" s="60">
        <v>18.292999999999999</v>
      </c>
      <c r="AJ15" s="60">
        <v>11.938000000000001</v>
      </c>
      <c r="AK15" s="60">
        <f t="shared" si="16"/>
        <v>9.1090000000000018</v>
      </c>
      <c r="AL15" s="365">
        <v>49.761000000000003</v>
      </c>
      <c r="AM15" s="364">
        <v>11.48</v>
      </c>
      <c r="AN15" s="60">
        <v>17.327999999999999</v>
      </c>
      <c r="AO15" s="60">
        <v>15.518000000000001</v>
      </c>
      <c r="AP15" s="60">
        <f t="shared" si="17"/>
        <v>17.018999999999998</v>
      </c>
      <c r="AQ15" s="365">
        <v>61.344999999999999</v>
      </c>
      <c r="AR15" s="364">
        <v>10.736000000000001</v>
      </c>
      <c r="AS15" s="60">
        <v>14.215999999999999</v>
      </c>
      <c r="AT15" s="60">
        <v>15.988</v>
      </c>
      <c r="AU15" s="60">
        <f t="shared" si="18"/>
        <v>15.661000000000001</v>
      </c>
      <c r="AV15" s="365">
        <v>56.600999999999999</v>
      </c>
      <c r="AW15" s="364">
        <v>14.058999999999999</v>
      </c>
      <c r="AX15" s="60">
        <v>16.956</v>
      </c>
      <c r="AY15" s="60">
        <v>18.024000000000001</v>
      </c>
      <c r="AZ15" s="60">
        <f t="shared" si="19"/>
        <v>18.944999999999993</v>
      </c>
      <c r="BA15" s="365">
        <v>67.983999999999995</v>
      </c>
      <c r="BB15" s="364">
        <v>17.463000000000001</v>
      </c>
      <c r="BC15" s="60">
        <v>18.827999999999999</v>
      </c>
      <c r="BD15" s="60">
        <v>19.274000000000001</v>
      </c>
      <c r="BE15" s="60">
        <f>AZ15*(1+'Revenue Build'!BE127)</f>
        <v>20.197934316160111</v>
      </c>
      <c r="BF15" s="365">
        <f t="shared" si="20"/>
        <v>75.762934316160113</v>
      </c>
      <c r="BG15" s="364">
        <f>BB15*(1+'Revenue Build'!BG127)</f>
        <v>18.373792710864961</v>
      </c>
      <c r="BH15" s="60">
        <f>BC15*(1+'Revenue Build'!BH127)</f>
        <v>19.867829501077757</v>
      </c>
      <c r="BI15" s="60">
        <f>BD15*(1+'Revenue Build'!BI127)</f>
        <v>19.883650708073244</v>
      </c>
      <c r="BJ15" s="60">
        <f>BE15*(1+'Revenue Build'!BJ127)</f>
        <v>21.288479362264734</v>
      </c>
      <c r="BK15" s="365">
        <f t="shared" si="21"/>
        <v>79.413752282280697</v>
      </c>
      <c r="BL15" s="364">
        <f>BG15*(1+'Revenue Build'!BL127)</f>
        <v>19.789177692676212</v>
      </c>
      <c r="BM15" s="60">
        <f>BH15*(1+'Revenue Build'!BM127)</f>
        <v>21.576629076714958</v>
      </c>
      <c r="BN15" s="60">
        <f>BI15*(1+'Revenue Build'!BN127)</f>
        <v>21.842378004481144</v>
      </c>
      <c r="BO15" s="60">
        <f>BJ15*(1+'Revenue Build'!BO127)</f>
        <v>23.852920784362603</v>
      </c>
      <c r="BP15" s="365">
        <f t="shared" si="22"/>
        <v>87.061105558234914</v>
      </c>
      <c r="BQ15" s="364">
        <f>BL15*(1+'Revenue Build'!BQ127)</f>
        <v>20.348232844657357</v>
      </c>
      <c r="BR15" s="60">
        <f>BM15*(1+'Revenue Build'!BR127)</f>
        <v>22.474939719940465</v>
      </c>
      <c r="BS15" s="60">
        <f>BN15*(1+'Revenue Build'!BS127)</f>
        <v>22.868625268907195</v>
      </c>
      <c r="BT15" s="60">
        <f>BO15*(1+'Revenue Build'!BT127)</f>
        <v>25.096829838671855</v>
      </c>
      <c r="BU15" s="365">
        <f t="shared" si="23"/>
        <v>90.788627672176872</v>
      </c>
      <c r="BV15" s="364">
        <f>BQ15*(1+'Revenue Build'!BV127)</f>
        <v>21.393827750552884</v>
      </c>
      <c r="BW15" s="60">
        <f>BR15*(1+'Revenue Build'!BW127)</f>
        <v>23.782830253061114</v>
      </c>
      <c r="BX15" s="60">
        <f>BS15*(1+'Revenue Build'!BX127)</f>
        <v>24.517978436187949</v>
      </c>
      <c r="BY15" s="60">
        <f>BT15*(1+'Revenue Build'!BY127)</f>
        <v>26.748312531166153</v>
      </c>
      <c r="BZ15" s="365">
        <f t="shared" si="24"/>
        <v>96.442948970968089</v>
      </c>
    </row>
    <row r="16" spans="1:83" ht="14.1" customHeight="1" x14ac:dyDescent="0.2">
      <c r="C16" s="364" t="s">
        <v>74</v>
      </c>
      <c r="D16" s="60">
        <f t="shared" si="3"/>
        <v>87.102000000000004</v>
      </c>
      <c r="E16" s="60">
        <f t="shared" si="4"/>
        <v>102.15300000000001</v>
      </c>
      <c r="F16" s="60">
        <f t="shared" si="5"/>
        <v>119.13500000000001</v>
      </c>
      <c r="G16" s="60">
        <f t="shared" si="6"/>
        <v>134.655</v>
      </c>
      <c r="H16" s="60">
        <f t="shared" si="7"/>
        <v>141.69999999999999</v>
      </c>
      <c r="I16" s="60">
        <f t="shared" si="25"/>
        <v>157.203</v>
      </c>
      <c r="J16" s="502">
        <f t="shared" si="26"/>
        <v>178.845</v>
      </c>
      <c r="K16" s="60">
        <f t="shared" si="8"/>
        <v>212.25441176470588</v>
      </c>
      <c r="L16" s="60">
        <f t="shared" si="9"/>
        <v>245.89075436571608</v>
      </c>
      <c r="M16" s="60">
        <f t="shared" si="10"/>
        <v>280.9445836415091</v>
      </c>
      <c r="N16" s="60">
        <f t="shared" si="11"/>
        <v>313.50313641113974</v>
      </c>
      <c r="O16" s="365">
        <f t="shared" si="12"/>
        <v>342.6138232395121</v>
      </c>
      <c r="R16" s="364" t="str">
        <f t="shared" si="1"/>
        <v xml:space="preserve">Depreciation and Amortization </v>
      </c>
      <c r="S16" s="114">
        <v>20.087</v>
      </c>
      <c r="T16" s="114">
        <v>22.181999999999999</v>
      </c>
      <c r="U16" s="114">
        <v>22.338000000000001</v>
      </c>
      <c r="V16" s="114">
        <f t="shared" si="13"/>
        <v>22.495000000000005</v>
      </c>
      <c r="W16" s="200">
        <v>87.102000000000004</v>
      </c>
      <c r="X16" s="210">
        <v>23.03</v>
      </c>
      <c r="Y16" s="114">
        <v>25.241</v>
      </c>
      <c r="Z16" s="114">
        <v>26.693999999999999</v>
      </c>
      <c r="AA16" s="114">
        <f t="shared" si="14"/>
        <v>27.188000000000002</v>
      </c>
      <c r="AB16" s="200">
        <v>102.15300000000001</v>
      </c>
      <c r="AC16" s="210">
        <v>26.782</v>
      </c>
      <c r="AD16" s="114">
        <v>29.143000000000001</v>
      </c>
      <c r="AE16" s="114">
        <v>31.332999999999998</v>
      </c>
      <c r="AF16" s="114">
        <f t="shared" si="15"/>
        <v>31.87700000000001</v>
      </c>
      <c r="AG16" s="200">
        <v>119.13500000000001</v>
      </c>
      <c r="AH16" s="210">
        <v>32.590000000000003</v>
      </c>
      <c r="AI16" s="114">
        <v>33.664000000000001</v>
      </c>
      <c r="AJ16" s="114">
        <v>34.223999999999997</v>
      </c>
      <c r="AK16" s="114">
        <f t="shared" si="16"/>
        <v>34.176999999999992</v>
      </c>
      <c r="AL16" s="200">
        <v>134.655</v>
      </c>
      <c r="AM16" s="210">
        <v>35.372</v>
      </c>
      <c r="AN16" s="114">
        <v>34.658999999999999</v>
      </c>
      <c r="AO16" s="114">
        <v>35.741999999999997</v>
      </c>
      <c r="AP16" s="114">
        <f t="shared" si="17"/>
        <v>35.926999999999992</v>
      </c>
      <c r="AQ16" s="200">
        <v>141.69999999999999</v>
      </c>
      <c r="AR16" s="210">
        <v>39.951999999999998</v>
      </c>
      <c r="AS16" s="114">
        <v>36.944000000000003</v>
      </c>
      <c r="AT16" s="114">
        <v>40.682000000000002</v>
      </c>
      <c r="AU16" s="114">
        <f t="shared" si="18"/>
        <v>39.625</v>
      </c>
      <c r="AV16" s="200">
        <v>157.203</v>
      </c>
      <c r="AW16" s="210">
        <v>42.88</v>
      </c>
      <c r="AX16" s="114">
        <v>44.658000000000001</v>
      </c>
      <c r="AY16" s="114">
        <v>45.618000000000002</v>
      </c>
      <c r="AZ16" s="114">
        <f t="shared" si="19"/>
        <v>45.688999999999993</v>
      </c>
      <c r="BA16" s="200">
        <v>178.845</v>
      </c>
      <c r="BB16" s="210">
        <v>48.848999999999997</v>
      </c>
      <c r="BC16" s="114">
        <v>52.536000000000001</v>
      </c>
      <c r="BD16" s="114">
        <v>54.655999999999999</v>
      </c>
      <c r="BE16" s="491">
        <f>'Balance Sheet'!BE149</f>
        <v>56.213411764705882</v>
      </c>
      <c r="BF16" s="495">
        <f t="shared" si="20"/>
        <v>212.25441176470588</v>
      </c>
      <c r="BG16" s="491">
        <f>'Balance Sheet'!BG149</f>
        <v>57.988549018270106</v>
      </c>
      <c r="BH16" s="491">
        <f>'Balance Sheet'!BH149</f>
        <v>60.287763326414449</v>
      </c>
      <c r="BI16" s="491">
        <f>'Balance Sheet'!BI149</f>
        <v>62.612777772588394</v>
      </c>
      <c r="BJ16" s="491">
        <f>'Balance Sheet'!BJ149</f>
        <v>65.001664248443106</v>
      </c>
      <c r="BK16" s="495">
        <f t="shared" si="21"/>
        <v>245.89075436571608</v>
      </c>
      <c r="BL16" s="491">
        <f>'Balance Sheet'!BL149</f>
        <v>66.89100688691947</v>
      </c>
      <c r="BM16" s="491">
        <f>'Balance Sheet'!BM149</f>
        <v>69.100094504639159</v>
      </c>
      <c r="BN16" s="491">
        <f>'Balance Sheet'!BN149</f>
        <v>71.353062243036575</v>
      </c>
      <c r="BO16" s="491">
        <f>'Balance Sheet'!BO149</f>
        <v>73.600420006913879</v>
      </c>
      <c r="BP16" s="495">
        <f t="shared" si="22"/>
        <v>280.9445836415091</v>
      </c>
      <c r="BQ16" s="491">
        <f>'Balance Sheet'!BQ149</f>
        <v>75.450838559009043</v>
      </c>
      <c r="BR16" s="491">
        <f>'Balance Sheet'!BR149</f>
        <v>77.426286102925459</v>
      </c>
      <c r="BS16" s="491">
        <f>'Balance Sheet'!BS149</f>
        <v>79.41114825494148</v>
      </c>
      <c r="BT16" s="491">
        <f>'Balance Sheet'!BT149</f>
        <v>81.214863494263739</v>
      </c>
      <c r="BU16" s="495">
        <f t="shared" si="23"/>
        <v>313.50313641113974</v>
      </c>
      <c r="BV16" s="491">
        <f>'Balance Sheet'!BV149</f>
        <v>82.923364653451273</v>
      </c>
      <c r="BW16" s="491">
        <f>'Balance Sheet'!BW149</f>
        <v>84.761801477153782</v>
      </c>
      <c r="BX16" s="491">
        <f>'Balance Sheet'!BX149</f>
        <v>86.585815452746814</v>
      </c>
      <c r="BY16" s="491">
        <f>'Balance Sheet'!BY149</f>
        <v>88.342841656160203</v>
      </c>
      <c r="BZ16" s="495">
        <f t="shared" si="24"/>
        <v>342.6138232395121</v>
      </c>
    </row>
    <row r="17" spans="1:78" ht="14.1" customHeight="1" x14ac:dyDescent="0.2">
      <c r="C17" s="364" t="s">
        <v>75</v>
      </c>
      <c r="D17" s="60">
        <f t="shared" si="3"/>
        <v>0</v>
      </c>
      <c r="E17" s="60">
        <f t="shared" si="4"/>
        <v>0</v>
      </c>
      <c r="F17" s="60">
        <f t="shared" si="5"/>
        <v>0</v>
      </c>
      <c r="G17" s="60">
        <f t="shared" si="6"/>
        <v>-5.5755929999999996</v>
      </c>
      <c r="H17" s="60">
        <f t="shared" si="7"/>
        <v>-5.0559149999999997</v>
      </c>
      <c r="I17" s="60">
        <f t="shared" si="25"/>
        <v>-5.3664990000000001</v>
      </c>
      <c r="J17" s="502">
        <f t="shared" si="26"/>
        <v>-6.4678709999999997</v>
      </c>
      <c r="K17" s="60">
        <f t="shared" si="8"/>
        <v>-6.5944935000000005</v>
      </c>
      <c r="L17" s="60">
        <f t="shared" si="9"/>
        <v>-7.0532088807102689</v>
      </c>
      <c r="M17" s="60">
        <f t="shared" si="10"/>
        <v>-7.921279359525232</v>
      </c>
      <c r="N17" s="60">
        <f t="shared" si="11"/>
        <v>-8.7734389554108798</v>
      </c>
      <c r="O17" s="365">
        <f t="shared" si="12"/>
        <v>-9.5026271945262639</v>
      </c>
      <c r="R17" s="364" t="str">
        <f t="shared" si="1"/>
        <v>Capitalized Leases</v>
      </c>
      <c r="S17" s="114"/>
      <c r="T17" s="114"/>
      <c r="U17" s="114"/>
      <c r="V17" s="114"/>
      <c r="W17" s="200"/>
      <c r="X17" s="210"/>
      <c r="Y17" s="114"/>
      <c r="Z17" s="114"/>
      <c r="AA17" s="114"/>
      <c r="AB17" s="200"/>
      <c r="AC17" s="210">
        <f t="shared" ref="AC17:BC17" si="27">-AC122</f>
        <v>0</v>
      </c>
      <c r="AD17" s="114">
        <f t="shared" si="27"/>
        <v>0</v>
      </c>
      <c r="AE17" s="114">
        <f t="shared" si="27"/>
        <v>0</v>
      </c>
      <c r="AF17" s="114">
        <f t="shared" si="27"/>
        <v>0</v>
      </c>
      <c r="AG17" s="200">
        <f t="shared" si="27"/>
        <v>0</v>
      </c>
      <c r="AH17" s="210">
        <f t="shared" si="27"/>
        <v>-1.2631080000000001</v>
      </c>
      <c r="AI17" s="114">
        <f t="shared" si="27"/>
        <v>-1.45665925</v>
      </c>
      <c r="AJ17" s="114">
        <f t="shared" si="27"/>
        <v>-1.4555194999999999</v>
      </c>
      <c r="AK17" s="114">
        <f t="shared" si="27"/>
        <v>-1.4003062500000001</v>
      </c>
      <c r="AL17" s="200">
        <f t="shared" si="27"/>
        <v>-5.5755929999999996</v>
      </c>
      <c r="AM17" s="210">
        <f t="shared" si="27"/>
        <v>-1.3574775000000001</v>
      </c>
      <c r="AN17" s="114">
        <f t="shared" si="27"/>
        <v>-1.2791474999999999</v>
      </c>
      <c r="AO17" s="114">
        <f t="shared" si="27"/>
        <v>-1.2146849999999998</v>
      </c>
      <c r="AP17" s="114">
        <f t="shared" si="27"/>
        <v>-1.2046049999999999</v>
      </c>
      <c r="AQ17" s="200">
        <f t="shared" si="27"/>
        <v>-5.0559149999999997</v>
      </c>
      <c r="AR17" s="210">
        <f t="shared" si="27"/>
        <v>-1.2372075</v>
      </c>
      <c r="AS17" s="114">
        <f t="shared" si="27"/>
        <v>-1.35215025</v>
      </c>
      <c r="AT17" s="114">
        <f t="shared" si="27"/>
        <v>-1.3728817499999999</v>
      </c>
      <c r="AU17" s="114">
        <f t="shared" si="27"/>
        <v>-1.4042595</v>
      </c>
      <c r="AV17" s="200">
        <f t="shared" si="27"/>
        <v>-5.3664990000000001</v>
      </c>
      <c r="AW17" s="210">
        <f t="shared" si="27"/>
        <v>-1.5747015</v>
      </c>
      <c r="AX17" s="114">
        <f t="shared" si="27"/>
        <v>-1.6052175</v>
      </c>
      <c r="AY17" s="114">
        <f t="shared" si="27"/>
        <v>-1.5376365000000001</v>
      </c>
      <c r="AZ17" s="114">
        <f t="shared" si="27"/>
        <v>-1.7503154999999999</v>
      </c>
      <c r="BA17" s="200">
        <f t="shared" si="27"/>
        <v>-6.4678709999999997</v>
      </c>
      <c r="BB17" s="210">
        <f t="shared" si="27"/>
        <v>-1.6499565</v>
      </c>
      <c r="BC17" s="114">
        <f t="shared" si="27"/>
        <v>-1.6836659999999999</v>
      </c>
      <c r="BD17" s="114">
        <f>-BD122</f>
        <v>-1.6678170000000001</v>
      </c>
      <c r="BE17" s="491">
        <f>-BE122</f>
        <v>-1.593054</v>
      </c>
      <c r="BF17" s="495">
        <f>SUM(BB17:BE17)</f>
        <v>-6.5944935000000005</v>
      </c>
      <c r="BG17" s="494">
        <f>-BG122</f>
        <v>-1.5770889748416939</v>
      </c>
      <c r="BH17" s="491">
        <f>-BH122</f>
        <v>-1.8706017529083019</v>
      </c>
      <c r="BI17" s="491">
        <f>-BI122</f>
        <v>-1.8636756615837564</v>
      </c>
      <c r="BJ17" s="491">
        <f>-BJ122</f>
        <v>-1.7418424913765167</v>
      </c>
      <c r="BK17" s="495">
        <f t="shared" si="21"/>
        <v>-7.0532088807102689</v>
      </c>
      <c r="BL17" s="494">
        <f>-BL122</f>
        <v>-1.6822067581877012</v>
      </c>
      <c r="BM17" s="491">
        <f>-BM122</f>
        <v>-2.1202313495238458</v>
      </c>
      <c r="BN17" s="491">
        <f>-BN122</f>
        <v>-2.122218205096932</v>
      </c>
      <c r="BO17" s="491">
        <f>-BO122</f>
        <v>-1.9966230467167536</v>
      </c>
      <c r="BP17" s="495">
        <f>SUM(BL17:BO17)</f>
        <v>-7.921279359525232</v>
      </c>
      <c r="BQ17" s="494">
        <f>-BQ122</f>
        <v>-1.9757834914052148</v>
      </c>
      <c r="BR17" s="491">
        <f>-BR122</f>
        <v>-2.3006386971124324</v>
      </c>
      <c r="BS17" s="491">
        <f>-BS122</f>
        <v>-2.311564253574609</v>
      </c>
      <c r="BT17" s="491">
        <f>-BT122</f>
        <v>-2.1854525133186238</v>
      </c>
      <c r="BU17" s="495">
        <f>SUM(BQ17:BT17)</f>
        <v>-8.7734389554108798</v>
      </c>
      <c r="BV17" s="494">
        <f>-BV122</f>
        <v>-2.1446638224270944</v>
      </c>
      <c r="BW17" s="491">
        <f>-BW122</f>
        <v>-2.4811988037224282</v>
      </c>
      <c r="BX17" s="491">
        <f>-BX122</f>
        <v>-2.5097818129443326</v>
      </c>
      <c r="BY17" s="491">
        <f>-BY122</f>
        <v>-2.3669827554324083</v>
      </c>
      <c r="BZ17" s="495">
        <f>SUM(BV17:BY17)</f>
        <v>-9.5026271945262639</v>
      </c>
    </row>
    <row r="18" spans="1:78" ht="14.1" customHeight="1" x14ac:dyDescent="0.2">
      <c r="C18" s="364" t="s">
        <v>76</v>
      </c>
      <c r="D18" s="60">
        <f t="shared" si="3"/>
        <v>-0.183</v>
      </c>
      <c r="E18" s="60">
        <f t="shared" si="4"/>
        <v>0.379</v>
      </c>
      <c r="F18" s="60">
        <f t="shared" si="5"/>
        <v>-0.40300000000000002</v>
      </c>
      <c r="G18" s="60">
        <f t="shared" si="6"/>
        <v>-2.528</v>
      </c>
      <c r="H18" s="60">
        <f t="shared" si="7"/>
        <v>-3.8940000000000001</v>
      </c>
      <c r="I18" s="60">
        <f t="shared" si="25"/>
        <v>0.05</v>
      </c>
      <c r="J18" s="502">
        <f t="shared" si="26"/>
        <v>0.91</v>
      </c>
      <c r="K18" s="60">
        <f t="shared" si="8"/>
        <v>1.5594542251735728</v>
      </c>
      <c r="L18" s="60">
        <f t="shared" si="9"/>
        <v>1.727146716013811</v>
      </c>
      <c r="M18" s="60">
        <f t="shared" si="10"/>
        <v>1.9817078817577387</v>
      </c>
      <c r="N18" s="60">
        <f t="shared" si="11"/>
        <v>2.1599716614077842</v>
      </c>
      <c r="O18" s="365">
        <f t="shared" si="12"/>
        <v>2.3344864409464763</v>
      </c>
      <c r="R18" s="364" t="str">
        <f t="shared" si="1"/>
        <v>Other Operating Expenses</v>
      </c>
      <c r="S18" s="114">
        <v>0.13200000000000001</v>
      </c>
      <c r="T18" s="114">
        <v>0.11600000000000001</v>
      </c>
      <c r="U18" s="114">
        <v>-0.71699999999999997</v>
      </c>
      <c r="V18" s="114">
        <f>W18-SUM(S18:U18)</f>
        <v>0.28599999999999998</v>
      </c>
      <c r="W18" s="200">
        <v>-0.183</v>
      </c>
      <c r="X18" s="210">
        <v>2.1000000000000001E-2</v>
      </c>
      <c r="Y18" s="114">
        <v>-4.2000000000000003E-2</v>
      </c>
      <c r="Z18" s="114">
        <v>0.32600000000000001</v>
      </c>
      <c r="AA18" s="114">
        <f>AB18-SUM(X18:Z18)</f>
        <v>7.400000000000001E-2</v>
      </c>
      <c r="AB18" s="200">
        <v>0.379</v>
      </c>
      <c r="AC18" s="210">
        <v>0.126</v>
      </c>
      <c r="AD18" s="114">
        <v>0.03</v>
      </c>
      <c r="AE18" s="114">
        <v>0.45100000000000001</v>
      </c>
      <c r="AF18" s="114">
        <f>AG18-SUM(AC18:AE18)</f>
        <v>-1.01</v>
      </c>
      <c r="AG18" s="200">
        <v>-0.40300000000000002</v>
      </c>
      <c r="AH18" s="210">
        <v>-1.39</v>
      </c>
      <c r="AI18" s="114">
        <v>0.14799999999999999</v>
      </c>
      <c r="AJ18" s="114">
        <v>-0.316</v>
      </c>
      <c r="AK18" s="114">
        <f t="shared" si="16"/>
        <v>-0.97</v>
      </c>
      <c r="AL18" s="200">
        <v>-2.528</v>
      </c>
      <c r="AM18" s="210">
        <v>-0.19900000000000001</v>
      </c>
      <c r="AN18" s="114">
        <v>-6.9000000000000006E-2</v>
      </c>
      <c r="AO18" s="114">
        <v>-3.847</v>
      </c>
      <c r="AP18" s="114">
        <f t="shared" si="17"/>
        <v>0.22100000000000009</v>
      </c>
      <c r="AQ18" s="200">
        <v>-3.8940000000000001</v>
      </c>
      <c r="AR18" s="210">
        <v>2.4E-2</v>
      </c>
      <c r="AS18" s="114">
        <v>2.1000000000000001E-2</v>
      </c>
      <c r="AT18" s="114">
        <v>0.115</v>
      </c>
      <c r="AU18" s="114">
        <f t="shared" si="18"/>
        <v>-0.11</v>
      </c>
      <c r="AV18" s="200">
        <v>0.05</v>
      </c>
      <c r="AW18" s="210">
        <v>0.08</v>
      </c>
      <c r="AX18" s="114">
        <v>0.14699999999999999</v>
      </c>
      <c r="AY18" s="114">
        <v>0.41599999999999998</v>
      </c>
      <c r="AZ18" s="114">
        <f>BA18-SUM(AW18:AY18)</f>
        <v>0.26700000000000002</v>
      </c>
      <c r="BA18" s="200">
        <v>0.91</v>
      </c>
      <c r="BB18" s="210">
        <v>0.24</v>
      </c>
      <c r="BC18" s="114">
        <v>0.43</v>
      </c>
      <c r="BD18" s="114">
        <v>0.60899999999999999</v>
      </c>
      <c r="BE18" s="491">
        <f>AZ18/AZ8*BE8</f>
        <v>0.28045422517357294</v>
      </c>
      <c r="BF18" s="495">
        <f t="shared" si="20"/>
        <v>1.5594542251735728</v>
      </c>
      <c r="BG18" s="494">
        <f>BB18/BB8*BG8</f>
        <v>0.2643627577489735</v>
      </c>
      <c r="BH18" s="491">
        <f>BC18/BC8*BH8</f>
        <v>0.48043711971039299</v>
      </c>
      <c r="BI18" s="491">
        <f>BD18/BD8*BI8</f>
        <v>0.66572436535852453</v>
      </c>
      <c r="BJ18" s="491">
        <f>BE18/BE8*BJ8</f>
        <v>0.31662247319591991</v>
      </c>
      <c r="BK18" s="495">
        <f t="shared" si="21"/>
        <v>1.727146716013811</v>
      </c>
      <c r="BL18" s="494">
        <f>BG18/BG8*BL8</f>
        <v>0.29964165582251989</v>
      </c>
      <c r="BM18" s="491">
        <f>BH18/BH8*BM8</f>
        <v>0.54708682571262313</v>
      </c>
      <c r="BN18" s="491">
        <f>BI18/BI8*BN8</f>
        <v>0.76310034760105905</v>
      </c>
      <c r="BO18" s="491">
        <f>BJ18/BJ8*BO8</f>
        <v>0.37187905262153653</v>
      </c>
      <c r="BP18" s="495">
        <f t="shared" si="22"/>
        <v>1.9817078817577387</v>
      </c>
      <c r="BQ18" s="494">
        <f>BL18/BL8*BQ8</f>
        <v>0.32513772084680748</v>
      </c>
      <c r="BR18" s="491">
        <f>BM18/BM8*BR8</f>
        <v>0.59589836091390047</v>
      </c>
      <c r="BS18" s="491">
        <f>BN18/BN8*BS8</f>
        <v>0.8352701203772277</v>
      </c>
      <c r="BT18" s="491">
        <f>BO18/BO8*BT8</f>
        <v>0.4036654592698487</v>
      </c>
      <c r="BU18" s="495">
        <f t="shared" si="23"/>
        <v>2.1599716614077842</v>
      </c>
      <c r="BV18" s="494">
        <f>BQ18/BQ8*BV8</f>
        <v>0.35065537453693907</v>
      </c>
      <c r="BW18" s="491">
        <f>BR18/BR8*BW8</f>
        <v>0.64699688372161179</v>
      </c>
      <c r="BX18" s="491">
        <f>BS18/BS8*BX8</f>
        <v>0.90465016238612139</v>
      </c>
      <c r="BY18" s="491">
        <f>BT18/BT8*BY8</f>
        <v>0.43218402030180425</v>
      </c>
      <c r="BZ18" s="495">
        <f t="shared" si="24"/>
        <v>2.3344864409464763</v>
      </c>
    </row>
    <row r="19" spans="1:78" ht="14.1" customHeight="1" x14ac:dyDescent="0.2">
      <c r="C19" s="298" t="s">
        <v>77</v>
      </c>
      <c r="D19" s="107">
        <f>IFERROR(D8-SUM(D11:D18),"NA")</f>
        <v>94.710000000000036</v>
      </c>
      <c r="E19" s="107">
        <f t="shared" ref="E19:O19" si="28">IFERROR(E8-SUM(E11:E18),"NA")</f>
        <v>141.17700000000013</v>
      </c>
      <c r="F19" s="107">
        <f t="shared" si="28"/>
        <v>152.58600000000001</v>
      </c>
      <c r="G19" s="107">
        <f t="shared" si="28"/>
        <v>185.89659300000017</v>
      </c>
      <c r="H19" s="107">
        <f t="shared" si="28"/>
        <v>340.19691499999999</v>
      </c>
      <c r="I19" s="107">
        <f t="shared" si="28"/>
        <v>475.85449899999958</v>
      </c>
      <c r="J19" s="504">
        <f t="shared" si="28"/>
        <v>466.96387100000038</v>
      </c>
      <c r="K19" s="107">
        <f t="shared" si="28"/>
        <v>494.56925110523161</v>
      </c>
      <c r="L19" s="107">
        <f t="shared" si="28"/>
        <v>655.12437228863791</v>
      </c>
      <c r="M19" s="107">
        <f t="shared" si="28"/>
        <v>831.11575904321444</v>
      </c>
      <c r="N19" s="107">
        <f t="shared" si="28"/>
        <v>961.44145970066802</v>
      </c>
      <c r="O19" s="465">
        <f t="shared" si="28"/>
        <v>1094.5645041199623</v>
      </c>
      <c r="P19" s="364"/>
      <c r="Q19" s="365"/>
      <c r="R19" s="298" t="str">
        <f t="shared" si="1"/>
        <v>Operating Income</v>
      </c>
      <c r="S19" s="107">
        <f t="shared" ref="S19:BZ19" si="29">IFERROR(S8-SUM(S11:S18),"NA")</f>
        <v>17.527000000000044</v>
      </c>
      <c r="T19" s="107">
        <f t="shared" si="29"/>
        <v>29.718000000000018</v>
      </c>
      <c r="U19" s="107">
        <f t="shared" si="29"/>
        <v>24.601999999999975</v>
      </c>
      <c r="V19" s="107">
        <f t="shared" si="29"/>
        <v>22.863000000000113</v>
      </c>
      <c r="W19" s="465">
        <f t="shared" si="29"/>
        <v>94.710000000000036</v>
      </c>
      <c r="X19" s="440">
        <f t="shared" si="29"/>
        <v>27.579000000000065</v>
      </c>
      <c r="Y19" s="107">
        <f t="shared" si="29"/>
        <v>41.564999999999998</v>
      </c>
      <c r="Z19" s="107">
        <f t="shared" si="29"/>
        <v>38.696999999999946</v>
      </c>
      <c r="AA19" s="107">
        <f t="shared" si="29"/>
        <v>33.335999999999785</v>
      </c>
      <c r="AB19" s="465">
        <f t="shared" si="29"/>
        <v>141.17700000000013</v>
      </c>
      <c r="AC19" s="440">
        <f t="shared" si="29"/>
        <v>28.631000000000085</v>
      </c>
      <c r="AD19" s="107">
        <f t="shared" si="29"/>
        <v>51.165999999999997</v>
      </c>
      <c r="AE19" s="107">
        <f t="shared" si="29"/>
        <v>45.35899999999998</v>
      </c>
      <c r="AF19" s="107">
        <f t="shared" si="29"/>
        <v>27.429999999999893</v>
      </c>
      <c r="AG19" s="465">
        <f t="shared" si="29"/>
        <v>152.58600000000001</v>
      </c>
      <c r="AH19" s="440">
        <f t="shared" si="29"/>
        <v>40.039107999999999</v>
      </c>
      <c r="AI19" s="107">
        <f t="shared" si="29"/>
        <v>37.137659249999956</v>
      </c>
      <c r="AJ19" s="107">
        <f t="shared" si="29"/>
        <v>56.671519500000045</v>
      </c>
      <c r="AK19" s="107">
        <f t="shared" si="29"/>
        <v>52.048306250000053</v>
      </c>
      <c r="AL19" s="465">
        <f t="shared" si="29"/>
        <v>185.89659300000017</v>
      </c>
      <c r="AM19" s="440">
        <f t="shared" si="29"/>
        <v>50.071477499999958</v>
      </c>
      <c r="AN19" s="107">
        <f t="shared" si="29"/>
        <v>84.204147500000033</v>
      </c>
      <c r="AO19" s="107">
        <f t="shared" si="29"/>
        <v>107.33468500000004</v>
      </c>
      <c r="AP19" s="107">
        <f t="shared" si="29"/>
        <v>98.586605000000191</v>
      </c>
      <c r="AQ19" s="465">
        <f t="shared" si="29"/>
        <v>340.19691499999999</v>
      </c>
      <c r="AR19" s="440">
        <f t="shared" si="29"/>
        <v>104.68620749999991</v>
      </c>
      <c r="AS19" s="107">
        <f t="shared" si="29"/>
        <v>147.34515024999996</v>
      </c>
      <c r="AT19" s="107">
        <f t="shared" si="29"/>
        <v>129.72788174999994</v>
      </c>
      <c r="AU19" s="107">
        <f t="shared" si="29"/>
        <v>94.095259499999884</v>
      </c>
      <c r="AV19" s="465">
        <f t="shared" si="29"/>
        <v>475.85449899999958</v>
      </c>
      <c r="AW19" s="440">
        <f t="shared" si="29"/>
        <v>100.71770149999986</v>
      </c>
      <c r="AX19" s="107">
        <f t="shared" si="29"/>
        <v>121.86021749999986</v>
      </c>
      <c r="AY19" s="107">
        <f t="shared" si="29"/>
        <v>129.97263649999979</v>
      </c>
      <c r="AZ19" s="107">
        <f t="shared" si="29"/>
        <v>114.41331550000041</v>
      </c>
      <c r="BA19" s="465">
        <f t="shared" si="29"/>
        <v>466.96387100000038</v>
      </c>
      <c r="BB19" s="440">
        <f t="shared" si="29"/>
        <v>119.56195649999995</v>
      </c>
      <c r="BC19" s="107">
        <f t="shared" si="29"/>
        <v>139.27666600000009</v>
      </c>
      <c r="BD19" s="107">
        <f t="shared" si="29"/>
        <v>126.83881699999995</v>
      </c>
      <c r="BE19" s="107">
        <f t="shared" si="29"/>
        <v>108.89181160523162</v>
      </c>
      <c r="BF19" s="465">
        <f t="shared" si="29"/>
        <v>494.56925110523161</v>
      </c>
      <c r="BG19" s="440">
        <f t="shared" si="29"/>
        <v>159.23702638486907</v>
      </c>
      <c r="BH19" s="107">
        <f t="shared" si="29"/>
        <v>200.94785658708304</v>
      </c>
      <c r="BI19" s="107">
        <f t="shared" si="29"/>
        <v>159.88284158941508</v>
      </c>
      <c r="BJ19" s="107">
        <f t="shared" si="29"/>
        <v>135.05664772727039</v>
      </c>
      <c r="BK19" s="465">
        <f t="shared" si="29"/>
        <v>655.12437228863791</v>
      </c>
      <c r="BL19" s="440">
        <f t="shared" si="29"/>
        <v>179.40619070718594</v>
      </c>
      <c r="BM19" s="107">
        <f t="shared" si="29"/>
        <v>226.06184274748273</v>
      </c>
      <c r="BN19" s="107">
        <f t="shared" si="29"/>
        <v>219.44394385741509</v>
      </c>
      <c r="BO19" s="107">
        <f t="shared" si="29"/>
        <v>206.20378173112965</v>
      </c>
      <c r="BP19" s="465">
        <f t="shared" si="29"/>
        <v>831.11575904321444</v>
      </c>
      <c r="BQ19" s="440">
        <f t="shared" si="29"/>
        <v>208.41650395152078</v>
      </c>
      <c r="BR19" s="107">
        <f t="shared" si="29"/>
        <v>261.40255003237996</v>
      </c>
      <c r="BS19" s="107">
        <f t="shared" si="29"/>
        <v>253.31371795515429</v>
      </c>
      <c r="BT19" s="107">
        <f t="shared" si="29"/>
        <v>238.30868776161276</v>
      </c>
      <c r="BU19" s="465">
        <f t="shared" si="29"/>
        <v>961.44145970066802</v>
      </c>
      <c r="BV19" s="440">
        <f t="shared" si="29"/>
        <v>231.39697289272169</v>
      </c>
      <c r="BW19" s="107">
        <f t="shared" si="29"/>
        <v>299.95119373561761</v>
      </c>
      <c r="BX19" s="107">
        <f t="shared" si="29"/>
        <v>287.7926618092406</v>
      </c>
      <c r="BY19" s="107">
        <f t="shared" si="29"/>
        <v>275.42367568238194</v>
      </c>
      <c r="BZ19" s="465">
        <f t="shared" si="29"/>
        <v>1094.5645041199623</v>
      </c>
    </row>
    <row r="20" spans="1:78" ht="14.1" customHeight="1" x14ac:dyDescent="0.2">
      <c r="C20" s="512" t="s">
        <v>78</v>
      </c>
      <c r="D20" s="487">
        <f>IFERROR(D19/D8,"NA")</f>
        <v>6.7423505182234278E-2</v>
      </c>
      <c r="E20" s="487">
        <f t="shared" ref="E20:J20" si="30">IFERROR(E19/E8,"NA")</f>
        <v>8.5362690306067926E-2</v>
      </c>
      <c r="F20" s="487">
        <f t="shared" si="30"/>
        <v>8.5399345733978477E-2</v>
      </c>
      <c r="G20" s="487">
        <f t="shared" si="30"/>
        <v>0.1020083742782735</v>
      </c>
      <c r="H20" s="487">
        <f t="shared" si="30"/>
        <v>0.14864172693367075</v>
      </c>
      <c r="I20" s="487">
        <f t="shared" si="30"/>
        <v>0.17043151303859472</v>
      </c>
      <c r="J20" s="505">
        <f t="shared" si="30"/>
        <v>0.16205959708242404</v>
      </c>
      <c r="K20" s="487">
        <f t="shared" si="8"/>
        <v>0.15411444456347134</v>
      </c>
      <c r="L20" s="487">
        <f t="shared" si="9"/>
        <v>0.1838960578592351</v>
      </c>
      <c r="M20" s="487">
        <f t="shared" si="10"/>
        <v>0.20315120345541482</v>
      </c>
      <c r="N20" s="487">
        <f t="shared" si="11"/>
        <v>0.21586176129142348</v>
      </c>
      <c r="O20" s="488">
        <f t="shared" si="12"/>
        <v>0.22764474511979579</v>
      </c>
      <c r="P20" s="520"/>
      <c r="Q20" s="520"/>
      <c r="R20" s="499" t="str">
        <f t="shared" si="1"/>
        <v>EBIT Margin %</v>
      </c>
      <c r="S20" s="487">
        <f t="shared" ref="S20:BZ20" si="31">IFERROR(S19/S8,"NA")</f>
        <v>5.4248042341143471E-2</v>
      </c>
      <c r="T20" s="487">
        <f t="shared" si="31"/>
        <v>8.2974089792271652E-2</v>
      </c>
      <c r="U20" s="487">
        <f t="shared" si="31"/>
        <v>7.0278979152264387E-2</v>
      </c>
      <c r="V20" s="487">
        <f t="shared" si="31"/>
        <v>6.1230720611905771E-2</v>
      </c>
      <c r="W20" s="488">
        <f t="shared" si="31"/>
        <v>6.7423505182234278E-2</v>
      </c>
      <c r="X20" s="493">
        <f t="shared" si="31"/>
        <v>7.0210409745293634E-2</v>
      </c>
      <c r="Y20" s="487">
        <f t="shared" si="31"/>
        <v>9.694867656251456E-2</v>
      </c>
      <c r="Z20" s="487">
        <f t="shared" si="31"/>
        <v>9.0931521141455168E-2</v>
      </c>
      <c r="AA20" s="487">
        <f t="shared" si="31"/>
        <v>8.1956976029501666E-2</v>
      </c>
      <c r="AB20" s="488">
        <f t="shared" si="31"/>
        <v>8.5362690306067926E-2</v>
      </c>
      <c r="AC20" s="493">
        <f t="shared" si="31"/>
        <v>6.9732381193617105E-2</v>
      </c>
      <c r="AD20" s="487">
        <f t="shared" si="31"/>
        <v>0.11022522862159222</v>
      </c>
      <c r="AE20" s="487">
        <f t="shared" si="31"/>
        <v>9.6736768246777988E-2</v>
      </c>
      <c r="AF20" s="487">
        <f t="shared" si="31"/>
        <v>6.1909652082651312E-2</v>
      </c>
      <c r="AG20" s="488">
        <f t="shared" si="31"/>
        <v>8.5399345733978477E-2</v>
      </c>
      <c r="AH20" s="493">
        <f t="shared" si="31"/>
        <v>8.9694146004892505E-2</v>
      </c>
      <c r="AI20" s="487">
        <f t="shared" si="31"/>
        <v>8.8821850619687351E-2</v>
      </c>
      <c r="AJ20" s="487">
        <f t="shared" si="31"/>
        <v>0.11772866731481144</v>
      </c>
      <c r="AK20" s="487">
        <f t="shared" si="31"/>
        <v>0.10923456972141667</v>
      </c>
      <c r="AL20" s="488">
        <f t="shared" si="31"/>
        <v>0.1020083742782735</v>
      </c>
      <c r="AM20" s="493">
        <f t="shared" si="31"/>
        <v>0.10343765106161446</v>
      </c>
      <c r="AN20" s="487">
        <f t="shared" si="31"/>
        <v>0.14738190774907109</v>
      </c>
      <c r="AO20" s="487">
        <f t="shared" si="31"/>
        <v>0.17418354116089169</v>
      </c>
      <c r="AP20" s="487">
        <f t="shared" si="31"/>
        <v>0.15976282692223576</v>
      </c>
      <c r="AQ20" s="488">
        <f t="shared" si="31"/>
        <v>0.14864172693367075</v>
      </c>
      <c r="AR20" s="493">
        <f t="shared" si="31"/>
        <v>0.15832376636379022</v>
      </c>
      <c r="AS20" s="487">
        <f t="shared" si="31"/>
        <v>0.19763176141500141</v>
      </c>
      <c r="AT20" s="487">
        <f t="shared" si="31"/>
        <v>0.17781636045512292</v>
      </c>
      <c r="AU20" s="487">
        <f t="shared" si="31"/>
        <v>0.14349783217380421</v>
      </c>
      <c r="AV20" s="488">
        <f t="shared" si="31"/>
        <v>0.17043151303859472</v>
      </c>
      <c r="AW20" s="493">
        <f t="shared" si="31"/>
        <v>0.15247897764690724</v>
      </c>
      <c r="AX20" s="487">
        <f t="shared" si="31"/>
        <v>0.17543385827111704</v>
      </c>
      <c r="AY20" s="487">
        <f t="shared" si="31"/>
        <v>0.16767547255735682</v>
      </c>
      <c r="AZ20" s="487">
        <f t="shared" si="31"/>
        <v>0.15232118389311119</v>
      </c>
      <c r="BA20" s="488">
        <f t="shared" si="31"/>
        <v>0.16205959708242404</v>
      </c>
      <c r="BB20" s="493">
        <f t="shared" si="31"/>
        <v>0.15840741479248777</v>
      </c>
      <c r="BC20" s="487">
        <f t="shared" si="31"/>
        <v>0.16918029891502409</v>
      </c>
      <c r="BD20" s="487">
        <f t="shared" si="31"/>
        <v>0.15062149998278115</v>
      </c>
      <c r="BE20" s="487">
        <f t="shared" si="31"/>
        <v>0.13801561751112248</v>
      </c>
      <c r="BF20" s="488">
        <f t="shared" si="31"/>
        <v>0.15411444456347134</v>
      </c>
      <c r="BG20" s="493">
        <f t="shared" si="31"/>
        <v>0.19153031377265065</v>
      </c>
      <c r="BH20" s="487">
        <f t="shared" si="31"/>
        <v>0.21846743259224863</v>
      </c>
      <c r="BI20" s="487">
        <f t="shared" si="31"/>
        <v>0.17368386867353153</v>
      </c>
      <c r="BJ20" s="487">
        <f t="shared" si="31"/>
        <v>0.15162444558644006</v>
      </c>
      <c r="BK20" s="488">
        <f t="shared" si="31"/>
        <v>0.1838960578592351</v>
      </c>
      <c r="BL20" s="493">
        <f t="shared" si="31"/>
        <v>0.19038335313170859</v>
      </c>
      <c r="BM20" s="487">
        <f t="shared" si="31"/>
        <v>0.21582954149328842</v>
      </c>
      <c r="BN20" s="487">
        <f t="shared" si="31"/>
        <v>0.20796680823473351</v>
      </c>
      <c r="BO20" s="487">
        <f t="shared" si="31"/>
        <v>0.19710148983314069</v>
      </c>
      <c r="BP20" s="488">
        <f t="shared" si="31"/>
        <v>0.20315120345541482</v>
      </c>
      <c r="BQ20" s="493">
        <f t="shared" si="31"/>
        <v>0.20382548500884831</v>
      </c>
      <c r="BR20" s="487">
        <f t="shared" si="31"/>
        <v>0.22912765505969179</v>
      </c>
      <c r="BS20" s="487">
        <f t="shared" si="31"/>
        <v>0.21932283014543139</v>
      </c>
      <c r="BT20" s="487">
        <f t="shared" si="31"/>
        <v>0.20985208225049487</v>
      </c>
      <c r="BU20" s="488">
        <f t="shared" si="31"/>
        <v>0.21586176129142348</v>
      </c>
      <c r="BV20" s="493">
        <f t="shared" si="31"/>
        <v>0.2098316078104718</v>
      </c>
      <c r="BW20" s="487">
        <f t="shared" si="31"/>
        <v>0.24215212648976472</v>
      </c>
      <c r="BX20" s="487">
        <f t="shared" si="31"/>
        <v>0.23006530437009942</v>
      </c>
      <c r="BY20" s="487">
        <f t="shared" si="31"/>
        <v>0.2265309580913675</v>
      </c>
      <c r="BZ20" s="488">
        <f t="shared" si="31"/>
        <v>0.22764474511979579</v>
      </c>
    </row>
    <row r="21" spans="1:78" s="99" customFormat="1" ht="14.1" customHeight="1" x14ac:dyDescent="0.2">
      <c r="A21"/>
      <c r="B21"/>
      <c r="C21" s="513" t="s">
        <v>79</v>
      </c>
      <c r="D21" s="492">
        <f t="shared" ref="D21:J21" si="32">IFERROR(SUM(D11:D16)/D8,"NA")</f>
        <v>0.93270677146699332</v>
      </c>
      <c r="E21" s="492">
        <f t="shared" si="32"/>
        <v>0.914408147297607</v>
      </c>
      <c r="F21" s="492">
        <f t="shared" si="32"/>
        <v>0.9148262053410271</v>
      </c>
      <c r="G21" s="492">
        <f t="shared" si="32"/>
        <v>0.90243836858238125</v>
      </c>
      <c r="H21" s="492">
        <f t="shared" si="32"/>
        <v>0.85526874598025782</v>
      </c>
      <c r="I21" s="492">
        <f t="shared" si="32"/>
        <v>0.83147263827350248</v>
      </c>
      <c r="J21" s="506">
        <f t="shared" si="32"/>
        <v>0.83986925949692381</v>
      </c>
      <c r="K21" s="492">
        <f t="shared" si="8"/>
        <v>0.84745454153799182</v>
      </c>
      <c r="L21" s="492">
        <f t="shared" si="9"/>
        <v>0.81759898930651032</v>
      </c>
      <c r="M21" s="492">
        <f t="shared" si="10"/>
        <v>0.79830061728145463</v>
      </c>
      <c r="N21" s="492">
        <f t="shared" si="11"/>
        <v>0.78562308698916883</v>
      </c>
      <c r="O21" s="497">
        <f t="shared" si="12"/>
        <v>0.77384606658539778</v>
      </c>
      <c r="P21" s="521"/>
      <c r="Q21" s="521"/>
      <c r="R21" s="500" t="str">
        <f t="shared" si="1"/>
        <v xml:space="preserve">Operating Ratio % </v>
      </c>
      <c r="S21" s="492">
        <f t="shared" ref="S21:BZ21" si="33">IFERROR(SUM(S11:S16)/S8,"NA")</f>
        <v>0.94534340276703066</v>
      </c>
      <c r="T21" s="492">
        <f t="shared" si="33"/>
        <v>0.91670203261112349</v>
      </c>
      <c r="U21" s="492">
        <f t="shared" si="33"/>
        <v>0.931769229450783</v>
      </c>
      <c r="V21" s="492">
        <f t="shared" si="33"/>
        <v>0.93800332627192373</v>
      </c>
      <c r="W21" s="497">
        <f t="shared" si="33"/>
        <v>0.93270677146699332</v>
      </c>
      <c r="X21" s="496">
        <f t="shared" si="33"/>
        <v>0.92973612861343391</v>
      </c>
      <c r="Y21" s="492">
        <f t="shared" si="33"/>
        <v>0.9031492867339036</v>
      </c>
      <c r="Z21" s="492">
        <f t="shared" si="33"/>
        <v>0.90830243301798574</v>
      </c>
      <c r="AA21" s="492">
        <f t="shared" si="33"/>
        <v>0.91786109403810745</v>
      </c>
      <c r="AB21" s="497">
        <f t="shared" si="33"/>
        <v>0.914408147297607</v>
      </c>
      <c r="AC21" s="496">
        <f t="shared" si="33"/>
        <v>0.92996073885002806</v>
      </c>
      <c r="AD21" s="492">
        <f t="shared" si="33"/>
        <v>0.88971014336647325</v>
      </c>
      <c r="AE21" s="492">
        <f t="shared" si="33"/>
        <v>0.90230138774256707</v>
      </c>
      <c r="AF21" s="492">
        <f t="shared" si="33"/>
        <v>0.94036992314897383</v>
      </c>
      <c r="AG21" s="497">
        <f t="shared" si="33"/>
        <v>0.9148262053410271</v>
      </c>
      <c r="AH21" s="496">
        <f t="shared" si="33"/>
        <v>0.91624924954524678</v>
      </c>
      <c r="AI21" s="492">
        <f t="shared" si="33"/>
        <v>0.91430805952443595</v>
      </c>
      <c r="AJ21" s="492">
        <f t="shared" si="33"/>
        <v>0.88595146393448732</v>
      </c>
      <c r="AK21" s="492">
        <f t="shared" si="33"/>
        <v>0.89574002795488605</v>
      </c>
      <c r="AL21" s="497">
        <f t="shared" si="33"/>
        <v>0.90243836858238125</v>
      </c>
      <c r="AM21" s="496">
        <f t="shared" si="33"/>
        <v>0.89977771993538191</v>
      </c>
      <c r="AN21" s="492">
        <f t="shared" si="33"/>
        <v>0.85497774502785595</v>
      </c>
      <c r="AO21" s="492">
        <f t="shared" si="33"/>
        <v>0.83403059965985948</v>
      </c>
      <c r="AP21" s="492">
        <f t="shared" si="33"/>
        <v>0.84183113724130199</v>
      </c>
      <c r="AQ21" s="497">
        <f t="shared" si="33"/>
        <v>0.85526874598025782</v>
      </c>
      <c r="AR21" s="496">
        <f t="shared" si="33"/>
        <v>0.84351104631466878</v>
      </c>
      <c r="AS21" s="492">
        <f t="shared" si="33"/>
        <v>0.80415368973944223</v>
      </c>
      <c r="AT21" s="492">
        <f t="shared" si="33"/>
        <v>0.82390780208920167</v>
      </c>
      <c r="AU21" s="492">
        <f t="shared" si="33"/>
        <v>0.85881145478446796</v>
      </c>
      <c r="AV21" s="497">
        <f t="shared" si="33"/>
        <v>0.83147263827350248</v>
      </c>
      <c r="AW21" s="496">
        <f t="shared" si="33"/>
        <v>0.84978388730347376</v>
      </c>
      <c r="AX21" s="492">
        <f t="shared" si="33"/>
        <v>0.82666543818076599</v>
      </c>
      <c r="AY21" s="492">
        <f t="shared" si="33"/>
        <v>0.83377153148318262</v>
      </c>
      <c r="AZ21" s="492">
        <f t="shared" si="33"/>
        <v>0.84965358951555736</v>
      </c>
      <c r="BA21" s="497">
        <f t="shared" si="33"/>
        <v>0.83986925949692381</v>
      </c>
      <c r="BB21" s="496">
        <f t="shared" si="33"/>
        <v>0.84346063396376414</v>
      </c>
      <c r="BC21" s="492">
        <f t="shared" si="33"/>
        <v>0.83234253757087806</v>
      </c>
      <c r="BD21" s="492">
        <f t="shared" si="33"/>
        <v>0.85063584858384311</v>
      </c>
      <c r="BE21" s="492">
        <f>IFERROR(SUM(BE11:BE16)/BE8,"NA")</f>
        <v>0.86364804540160778</v>
      </c>
      <c r="BF21" s="497">
        <f>IFERROR(SUM(BF11:BF16)/BF8,"NA")</f>
        <v>0.84745454153799182</v>
      </c>
      <c r="BG21" s="496">
        <f t="shared" si="33"/>
        <v>0.81004863347325984</v>
      </c>
      <c r="BH21" s="492">
        <f t="shared" si="33"/>
        <v>0.78304393310954823</v>
      </c>
      <c r="BI21" s="492">
        <f t="shared" si="33"/>
        <v>0.82761748933050738</v>
      </c>
      <c r="BJ21" s="492">
        <f t="shared" si="33"/>
        <v>0.84997561038068048</v>
      </c>
      <c r="BK21" s="497">
        <f t="shared" si="33"/>
        <v>0.81759898930651032</v>
      </c>
      <c r="BL21" s="496">
        <f t="shared" si="33"/>
        <v>0.81108380571645389</v>
      </c>
      <c r="BM21" s="492">
        <f t="shared" si="33"/>
        <v>0.78567239734411243</v>
      </c>
      <c r="BN21" s="492">
        <f t="shared" si="33"/>
        <v>0.79332122641261094</v>
      </c>
      <c r="BO21" s="492">
        <f t="shared" si="33"/>
        <v>0.80445153436042705</v>
      </c>
      <c r="BP21" s="497">
        <f t="shared" si="33"/>
        <v>0.79830061728145463</v>
      </c>
      <c r="BQ21" s="496">
        <f>IFERROR(SUM(BQ11:BQ16)/BQ8,"NA")</f>
        <v>0.79778880017674392</v>
      </c>
      <c r="BR21" s="492">
        <f t="shared" si="33"/>
        <v>0.77236660410369606</v>
      </c>
      <c r="BS21" s="492">
        <f t="shared" si="33"/>
        <v>0.78195536753779582</v>
      </c>
      <c r="BT21" s="492">
        <f t="shared" si="33"/>
        <v>0.7917169403769686</v>
      </c>
      <c r="BU21" s="497">
        <f t="shared" si="33"/>
        <v>0.78562308698916883</v>
      </c>
      <c r="BV21" s="496">
        <f t="shared" si="33"/>
        <v>0.79179520550666216</v>
      </c>
      <c r="BW21" s="492">
        <f t="shared" si="33"/>
        <v>0.75932863406267137</v>
      </c>
      <c r="BX21" s="492">
        <f t="shared" si="33"/>
        <v>0.77121785934720388</v>
      </c>
      <c r="BY21" s="492">
        <f t="shared" si="33"/>
        <v>0.77506037863775423</v>
      </c>
      <c r="BZ21" s="497">
        <f t="shared" si="33"/>
        <v>0.77384606658539778</v>
      </c>
    </row>
    <row r="22" spans="1:78" ht="3" customHeight="1" x14ac:dyDescent="0.2">
      <c r="C22" s="364"/>
      <c r="J22" s="502"/>
      <c r="O22" s="365"/>
      <c r="R22" s="364"/>
      <c r="W22" s="365"/>
      <c r="X22" s="364"/>
      <c r="AB22" s="365"/>
      <c r="AC22" s="364"/>
      <c r="AG22" s="365"/>
      <c r="AH22" s="364"/>
      <c r="AL22" s="365"/>
      <c r="AM22" s="364"/>
      <c r="AQ22" s="365"/>
      <c r="AR22" s="364"/>
      <c r="AV22" s="365"/>
      <c r="AW22" s="364"/>
      <c r="BA22" s="365"/>
      <c r="BB22" s="364"/>
      <c r="BF22" s="365"/>
      <c r="BG22" s="364"/>
      <c r="BK22" s="365"/>
      <c r="BL22" s="364"/>
      <c r="BP22" s="365"/>
      <c r="BQ22" s="364"/>
      <c r="BU22" s="365"/>
      <c r="BV22" s="364"/>
      <c r="BZ22" s="365"/>
    </row>
    <row r="23" spans="1:78" ht="14.1" customHeight="1" x14ac:dyDescent="0.2">
      <c r="C23" s="364" t="s">
        <v>80</v>
      </c>
      <c r="D23" s="60">
        <f>W23</f>
        <v>5.0510000000000002</v>
      </c>
      <c r="E23" s="60">
        <f>AB23</f>
        <v>5.4180000000000001</v>
      </c>
      <c r="F23" s="60">
        <f>AG23</f>
        <v>6.6879999999999997</v>
      </c>
      <c r="G23" s="60">
        <f>AL23</f>
        <v>10.752592999999999</v>
      </c>
      <c r="H23" s="60">
        <f>AQ23</f>
        <v>8.2679150000000003</v>
      </c>
      <c r="I23" s="60">
        <f>AV23</f>
        <v>7.9774989999999999</v>
      </c>
      <c r="J23" s="502">
        <f>BA23</f>
        <v>9.002870999999999</v>
      </c>
      <c r="K23" s="60">
        <f>BF23</f>
        <v>15.58136425</v>
      </c>
      <c r="L23" s="60">
        <f>BK23</f>
        <v>19.230347880710269</v>
      </c>
      <c r="M23" s="60">
        <f>BP23</f>
        <v>18.576633609525231</v>
      </c>
      <c r="N23" s="60">
        <f>BU23</f>
        <v>8.7734389554108798</v>
      </c>
      <c r="O23" s="365">
        <f>BZ23</f>
        <v>9.5026271945262639</v>
      </c>
      <c r="R23" s="364" t="str">
        <f t="shared" si="1"/>
        <v>Interest Expense</v>
      </c>
      <c r="S23" s="60">
        <v>0.91100000000000003</v>
      </c>
      <c r="T23" s="60">
        <v>1.538</v>
      </c>
      <c r="U23" s="60">
        <v>1.3129999999999999</v>
      </c>
      <c r="V23" s="60">
        <f>W23-SUM(S23:U23)</f>
        <v>1.2890000000000006</v>
      </c>
      <c r="W23" s="365">
        <v>5.0510000000000002</v>
      </c>
      <c r="X23" s="364">
        <v>1.226</v>
      </c>
      <c r="Y23" s="60">
        <v>1.454</v>
      </c>
      <c r="Z23" s="60">
        <v>1.41</v>
      </c>
      <c r="AA23" s="60">
        <f>AB23-SUM(X23:Z23)</f>
        <v>1.3280000000000003</v>
      </c>
      <c r="AB23" s="365">
        <v>5.4180000000000001</v>
      </c>
      <c r="AC23" s="364">
        <v>1.383</v>
      </c>
      <c r="AD23" s="60">
        <v>1.903</v>
      </c>
      <c r="AE23" s="60">
        <v>1.8680000000000001</v>
      </c>
      <c r="AF23" s="60">
        <f>AG23-SUM(AC23:AE23)</f>
        <v>1.5339999999999998</v>
      </c>
      <c r="AG23" s="365">
        <v>6.6879999999999997</v>
      </c>
      <c r="AH23" s="364">
        <f>AH122+1.402</f>
        <v>2.665108</v>
      </c>
      <c r="AI23" s="60">
        <f>AI122+1.594</f>
        <v>3.0506592499999998</v>
      </c>
      <c r="AJ23" s="60">
        <f>AJ122+1.174</f>
        <v>2.6295194999999998</v>
      </c>
      <c r="AK23" s="60">
        <f>AL23-SUM(AH23:AJ23)</f>
        <v>2.4073062499999995</v>
      </c>
      <c r="AL23" s="365">
        <f>AL122+5.177</f>
        <v>10.752592999999999</v>
      </c>
      <c r="AM23" s="364">
        <f>AM122+0.852</f>
        <v>2.2094775000000002</v>
      </c>
      <c r="AN23" s="60">
        <f>AN122+0.834</f>
        <v>2.1131474999999997</v>
      </c>
      <c r="AO23" s="60">
        <f>AO122+0.777</f>
        <v>1.9916849999999999</v>
      </c>
      <c r="AP23" s="60">
        <f>AQ23-SUM(AM23:AO23)</f>
        <v>1.9536049999999996</v>
      </c>
      <c r="AQ23" s="365">
        <f>AQ122+3.212</f>
        <v>8.2679150000000003</v>
      </c>
      <c r="AR23" s="364">
        <f>AR122+0.692</f>
        <v>1.9292075</v>
      </c>
      <c r="AS23" s="60">
        <f>AS122+0.668</f>
        <v>2.0201502499999999</v>
      </c>
      <c r="AT23" s="60">
        <f>AT122+0.581</f>
        <v>1.9538817499999999</v>
      </c>
      <c r="AU23" s="60">
        <f>AV23-SUM(AR23:AT23)</f>
        <v>2.0742595000000001</v>
      </c>
      <c r="AV23" s="365">
        <f>AV122+2.611</f>
        <v>7.9774989999999999</v>
      </c>
      <c r="AW23" s="364">
        <f>AW122+0.688</f>
        <v>2.2627014999999999</v>
      </c>
      <c r="AX23" s="60">
        <f>AX122+0.458</f>
        <v>2.0632174999999999</v>
      </c>
      <c r="AY23" s="60">
        <f>AY122+0.454</f>
        <v>1.9916365</v>
      </c>
      <c r="AZ23" s="60">
        <f>BA23-SUM(AW23:AY23)</f>
        <v>2.6853154999999989</v>
      </c>
      <c r="BA23" s="365">
        <f>BA122+2.535</f>
        <v>9.002870999999999</v>
      </c>
      <c r="BB23" s="364">
        <f>BB122+0.542</f>
        <v>2.1919564999999999</v>
      </c>
      <c r="BC23" s="60">
        <f>BC122+2.412</f>
        <v>4.0956659999999996</v>
      </c>
      <c r="BD23" s="60">
        <f>2.997+BD122</f>
        <v>4.6648170000000002</v>
      </c>
      <c r="BE23" s="60">
        <f>SUM(BE124:BE125)+BE122</f>
        <v>4.6289247499999995</v>
      </c>
      <c r="BF23" s="365">
        <f>SUM(BB23:BE23)</f>
        <v>15.58136425</v>
      </c>
      <c r="BG23" s="364">
        <f t="shared" ref="BG23:BY23" si="34">SUM(BG124:BG125)+BG122</f>
        <v>4.6213737248416944</v>
      </c>
      <c r="BH23" s="60">
        <f t="shared" si="34"/>
        <v>4.9148865029083018</v>
      </c>
      <c r="BI23" s="60">
        <f t="shared" si="34"/>
        <v>4.9079604115837565</v>
      </c>
      <c r="BJ23" s="60">
        <f t="shared" si="34"/>
        <v>4.7861272413765166</v>
      </c>
      <c r="BK23" s="365">
        <f>SUM(BG23:BJ23)</f>
        <v>19.230347880710269</v>
      </c>
      <c r="BL23" s="364">
        <f t="shared" si="34"/>
        <v>4.726491508187701</v>
      </c>
      <c r="BM23" s="60">
        <f t="shared" si="34"/>
        <v>5.1645160995238459</v>
      </c>
      <c r="BN23" s="60">
        <f t="shared" si="34"/>
        <v>5.1665029550969326</v>
      </c>
      <c r="BO23" s="60">
        <f t="shared" si="34"/>
        <v>3.5191230467167536</v>
      </c>
      <c r="BP23" s="365">
        <f>SUM(BL23:BO23)</f>
        <v>18.576633609525231</v>
      </c>
      <c r="BQ23" s="364">
        <f t="shared" si="34"/>
        <v>1.9757834914052148</v>
      </c>
      <c r="BR23" s="60">
        <f t="shared" si="34"/>
        <v>2.3006386971124324</v>
      </c>
      <c r="BS23" s="60">
        <f t="shared" si="34"/>
        <v>2.311564253574609</v>
      </c>
      <c r="BT23" s="60">
        <f t="shared" si="34"/>
        <v>2.1854525133186238</v>
      </c>
      <c r="BU23" s="365">
        <f>SUM(BQ23:BT23)</f>
        <v>8.7734389554108798</v>
      </c>
      <c r="BV23" s="364">
        <f t="shared" si="34"/>
        <v>2.1446638224270944</v>
      </c>
      <c r="BW23" s="60">
        <f t="shared" si="34"/>
        <v>2.4811988037224282</v>
      </c>
      <c r="BX23" s="60">
        <f t="shared" si="34"/>
        <v>2.5097818129443326</v>
      </c>
      <c r="BY23" s="60">
        <f t="shared" si="34"/>
        <v>2.3669827554324083</v>
      </c>
      <c r="BZ23" s="365">
        <f>SUM(BV23:BY23)</f>
        <v>9.5026271945262639</v>
      </c>
    </row>
    <row r="24" spans="1:78" ht="14.1" customHeight="1" x14ac:dyDescent="0.2">
      <c r="C24" s="364" t="s">
        <v>81</v>
      </c>
      <c r="D24" s="60">
        <f>W24</f>
        <v>0</v>
      </c>
      <c r="E24" s="60">
        <f>AB24</f>
        <v>0</v>
      </c>
      <c r="F24" s="60">
        <f>AG24</f>
        <v>0</v>
      </c>
      <c r="G24" s="60">
        <f>AL24</f>
        <v>0</v>
      </c>
      <c r="H24" s="60">
        <f>AQ24</f>
        <v>-1.0999999999999999E-2</v>
      </c>
      <c r="I24" s="60">
        <f>AV24</f>
        <v>-0.217</v>
      </c>
      <c r="J24" s="502">
        <f>BA24</f>
        <v>-6.2080000000000002</v>
      </c>
      <c r="K24" s="60">
        <f>BF24</f>
        <v>-0.95216132873903214</v>
      </c>
      <c r="L24" s="60">
        <f>BK24</f>
        <v>-0.1903700554352562</v>
      </c>
      <c r="M24" s="60">
        <f>BP24</f>
        <v>-0.21861976192132676</v>
      </c>
      <c r="N24" s="60">
        <f>BU24</f>
        <v>-0.23800957507025389</v>
      </c>
      <c r="O24" s="365">
        <f>BZ24</f>
        <v>-0.25693959178610792</v>
      </c>
      <c r="R24" s="364" t="str">
        <f t="shared" si="1"/>
        <v>Interest Income</v>
      </c>
      <c r="V24" s="60">
        <f>W24-SUM(S24:U24)</f>
        <v>0</v>
      </c>
      <c r="W24" s="365"/>
      <c r="X24" s="364"/>
      <c r="AA24" s="60">
        <f>AB24-SUM(X24:Z24)</f>
        <v>0</v>
      </c>
      <c r="AB24" s="365"/>
      <c r="AC24" s="364"/>
      <c r="AF24" s="60">
        <f>AG24-SUM(AC24:AE24)</f>
        <v>0</v>
      </c>
      <c r="AG24" s="365"/>
      <c r="AH24" s="364"/>
      <c r="AK24" s="60">
        <f>AL24-SUM(AH24:AJ24)</f>
        <v>0</v>
      </c>
      <c r="AL24" s="365"/>
      <c r="AM24" s="364"/>
      <c r="AP24" s="60">
        <f>AQ24-SUM(AM24:AO24)</f>
        <v>-1.0999999999999999E-2</v>
      </c>
      <c r="AQ24" s="365">
        <v>-1.0999999999999999E-2</v>
      </c>
      <c r="AR24" s="364"/>
      <c r="AU24" s="60">
        <f>AV24-SUM(AR24:AT24)</f>
        <v>-0.217</v>
      </c>
      <c r="AV24" s="365">
        <v>-0.217</v>
      </c>
      <c r="AW24" s="364">
        <v>-0.14000000000000001</v>
      </c>
      <c r="AX24" s="60">
        <v>-0.48699999999999999</v>
      </c>
      <c r="AY24" s="60">
        <v>-2.423</v>
      </c>
      <c r="AZ24" s="60">
        <f>BA24-SUM(AW24:AY24)</f>
        <v>-3.1580000000000004</v>
      </c>
      <c r="BA24" s="365">
        <v>-6.2080000000000002</v>
      </c>
      <c r="BB24" s="364">
        <v>-0.755</v>
      </c>
      <c r="BC24" s="60">
        <v>-0.11</v>
      </c>
      <c r="BD24" s="60">
        <v>-4.4999999999999998E-2</v>
      </c>
      <c r="BE24" s="60">
        <f>BD24/BD8*BE8</f>
        <v>-4.216132873903216E-2</v>
      </c>
      <c r="BF24" s="365">
        <f>SUM(BB24:BE24)</f>
        <v>-0.95216132873903214</v>
      </c>
      <c r="BG24" s="364">
        <f>BE24/BE8*BG8</f>
        <v>-4.4427700756316649E-2</v>
      </c>
      <c r="BH24" s="60">
        <f>BG24/BG8*BH8</f>
        <v>-4.9152314456282258E-2</v>
      </c>
      <c r="BI24" s="60">
        <f>BH24/BH8*BI8</f>
        <v>-4.9191455568363879E-2</v>
      </c>
      <c r="BJ24" s="60">
        <f>BI24/BI8*BJ8</f>
        <v>-4.759858465429341E-2</v>
      </c>
      <c r="BK24" s="365">
        <f>SUM(BG24:BJ24)</f>
        <v>-0.1903700554352562</v>
      </c>
      <c r="BL24" s="364">
        <f>BJ24/BJ8*BL8</f>
        <v>-5.0356524997560208E-2</v>
      </c>
      <c r="BM24" s="60">
        <f>BL24/BL8*BM8</f>
        <v>-5.5971078397368118E-2</v>
      </c>
      <c r="BN24" s="60">
        <f>BM24/BM8*BN8</f>
        <v>-5.638672519219648E-2</v>
      </c>
      <c r="BO24" s="60">
        <f>BN24/BN8*BO8</f>
        <v>-5.5905433334201934E-2</v>
      </c>
      <c r="BP24" s="365">
        <f>SUM(BL24:BO24)</f>
        <v>-0.21861976192132676</v>
      </c>
      <c r="BQ24" s="364">
        <f>BO24/BO8*BQ8</f>
        <v>-5.4641287181945608E-2</v>
      </c>
      <c r="BR24" s="60">
        <f>BQ24/BQ8*BR8</f>
        <v>-6.0964863908265589E-2</v>
      </c>
      <c r="BS24" s="60">
        <f>BR24/BR8*BS8</f>
        <v>-6.1719467022947852E-2</v>
      </c>
      <c r="BT24" s="60">
        <f>BS24/BS8*BT8</f>
        <v>-6.0683956957094845E-2</v>
      </c>
      <c r="BU24" s="365">
        <f>SUM(BQ24:BT24)</f>
        <v>-0.23800957507025389</v>
      </c>
      <c r="BV24" s="364">
        <f>BT24/BT8*BV8</f>
        <v>-5.8929677467331368E-2</v>
      </c>
      <c r="BW24" s="60">
        <f>BV24/BV8*BW8</f>
        <v>-6.6192625374344921E-2</v>
      </c>
      <c r="BX24" s="60">
        <f>BW24/BW8*BX8</f>
        <v>-6.6846071112274974E-2</v>
      </c>
      <c r="BY24" s="60">
        <f>BX24/BX8*BY8</f>
        <v>-6.4971217832156647E-2</v>
      </c>
      <c r="BZ24" s="365">
        <f>SUM(BV24:BY24)</f>
        <v>-0.25693959178610792</v>
      </c>
    </row>
    <row r="25" spans="1:78" ht="14.1" customHeight="1" x14ac:dyDescent="0.2">
      <c r="C25" s="364" t="s">
        <v>82</v>
      </c>
      <c r="D25" s="60">
        <f>W25</f>
        <v>-9.1999999999999998E-2</v>
      </c>
      <c r="E25" s="60">
        <f>AB25</f>
        <v>-7.3999999999999996E-2</v>
      </c>
      <c r="F25" s="60">
        <f>AG25</f>
        <v>-0.754</v>
      </c>
      <c r="G25" s="60">
        <f>AL25</f>
        <v>-1.1339999999999999</v>
      </c>
      <c r="H25" s="60">
        <f>AQ25</f>
        <v>-0.83299999999999996</v>
      </c>
      <c r="I25" s="60">
        <f>AV25</f>
        <v>4.5999999999999999E-2</v>
      </c>
      <c r="J25" s="502">
        <f>BA25</f>
        <v>-2.0579999999999998</v>
      </c>
      <c r="K25" s="60">
        <f>BF25</f>
        <v>-2.3323818373607477</v>
      </c>
      <c r="L25" s="60">
        <f>BK25</f>
        <v>-2.5912605341261004</v>
      </c>
      <c r="M25" s="60">
        <f>BP25</f>
        <v>-2.9805947515647935</v>
      </c>
      <c r="N25" s="60">
        <f>BU25</f>
        <v>-3.2417795115538337</v>
      </c>
      <c r="O25" s="365">
        <f>BZ25</f>
        <v>-3.4938251780495255</v>
      </c>
      <c r="R25" s="364" t="str">
        <f t="shared" si="1"/>
        <v>Other, net (Income)</v>
      </c>
      <c r="S25" s="60">
        <v>9.8000000000000004E-2</v>
      </c>
      <c r="T25" s="60">
        <v>0.09</v>
      </c>
      <c r="U25" s="60">
        <v>-0.13100000000000001</v>
      </c>
      <c r="V25" s="60">
        <f>W25-SUM(S25:U25)</f>
        <v>-0.14899999999999999</v>
      </c>
      <c r="W25" s="365">
        <v>-9.1999999999999998E-2</v>
      </c>
      <c r="X25" s="364">
        <v>-0.10299999999999999</v>
      </c>
      <c r="Y25" s="60">
        <v>-0.14199999999999999</v>
      </c>
      <c r="Z25" s="60">
        <v>-0.13900000000000001</v>
      </c>
      <c r="AA25" s="60">
        <f>AB25-SUM(X25:Z25)</f>
        <v>0.31</v>
      </c>
      <c r="AB25" s="365">
        <v>-7.3999999999999996E-2</v>
      </c>
      <c r="AC25" s="364">
        <v>-0.33400000000000002</v>
      </c>
      <c r="AD25" s="60">
        <v>-0.14000000000000001</v>
      </c>
      <c r="AE25" s="60">
        <v>-0.02</v>
      </c>
      <c r="AF25" s="60">
        <f>AG25-SUM(AC25:AE25)</f>
        <v>-0.25999999999999995</v>
      </c>
      <c r="AG25" s="365">
        <v>-0.754</v>
      </c>
      <c r="AH25" s="364">
        <v>0.54700000000000004</v>
      </c>
      <c r="AI25" s="60">
        <v>-0.751</v>
      </c>
      <c r="AJ25" s="60">
        <v>-0.39100000000000001</v>
      </c>
      <c r="AK25" s="60">
        <f>AL25-SUM(AH25:AJ25)</f>
        <v>-0.53899999999999992</v>
      </c>
      <c r="AL25" s="365">
        <v>-1.1339999999999999</v>
      </c>
      <c r="AM25" s="364">
        <v>-0.13100000000000001</v>
      </c>
      <c r="AN25" s="60">
        <v>-0.43</v>
      </c>
      <c r="AO25" s="60">
        <v>1.4E-2</v>
      </c>
      <c r="AP25" s="60">
        <f>AQ25-SUM(AM25:AO25)</f>
        <v>-0.28600000000000003</v>
      </c>
      <c r="AQ25" s="365">
        <v>-0.83299999999999996</v>
      </c>
      <c r="AR25" s="364">
        <v>0.23499999999999999</v>
      </c>
      <c r="AS25" s="60">
        <v>0.76900000000000002</v>
      </c>
      <c r="AT25" s="60">
        <v>6.8000000000000005E-2</v>
      </c>
      <c r="AU25" s="60">
        <f>AV25-SUM(AR25:AT25)</f>
        <v>-1.026</v>
      </c>
      <c r="AV25" s="365">
        <v>4.5999999999999999E-2</v>
      </c>
      <c r="AW25" s="364">
        <v>-0.503</v>
      </c>
      <c r="AX25" s="60">
        <v>-0.99</v>
      </c>
      <c r="AY25" s="60">
        <v>0.157</v>
      </c>
      <c r="AZ25" s="60">
        <f>BA25-SUM(AW25:AY25)</f>
        <v>-0.72199999999999998</v>
      </c>
      <c r="BA25" s="365">
        <v>-2.0579999999999998</v>
      </c>
      <c r="BB25" s="364">
        <v>-0.78800000000000003</v>
      </c>
      <c r="BC25" s="60">
        <v>-0.32600000000000001</v>
      </c>
      <c r="BD25" s="60">
        <v>-0.46</v>
      </c>
      <c r="BE25" s="60">
        <f>AZ25/AZ8*BE8</f>
        <v>-0.75838183736074771</v>
      </c>
      <c r="BF25" s="365">
        <f>SUM(BB25:BE25)</f>
        <v>-2.3323818373607477</v>
      </c>
      <c r="BG25" s="364">
        <f>BB25/BB8*BG8</f>
        <v>-0.86799105460912962</v>
      </c>
      <c r="BH25" s="60">
        <f>BC25/BC8*BH8</f>
        <v>-0.36423837447811186</v>
      </c>
      <c r="BI25" s="60">
        <f>BD25/BD8*BI8</f>
        <v>-0.50284599025438637</v>
      </c>
      <c r="BJ25" s="60">
        <f>BE25/BE8*BJ8</f>
        <v>-0.85618511478447246</v>
      </c>
      <c r="BK25" s="365">
        <f>SUM(BG25:BJ25)</f>
        <v>-2.5912605341261004</v>
      </c>
      <c r="BL25" s="364">
        <f>BG25/BG8*BL8</f>
        <v>-0.98382343661727356</v>
      </c>
      <c r="BM25" s="60">
        <f>BH25/BH8*BM8</f>
        <v>-0.41476815158677932</v>
      </c>
      <c r="BN25" s="60">
        <f>BI25/BI8*BN8</f>
        <v>-0.57639763529800858</v>
      </c>
      <c r="BO25" s="60">
        <f>BJ25/BJ8*BO8</f>
        <v>-1.0056055280627316</v>
      </c>
      <c r="BP25" s="365">
        <f>SUM(BL25:BO25)</f>
        <v>-2.9805947515647935</v>
      </c>
      <c r="BQ25" s="364">
        <f>BL25/BL8*BQ8</f>
        <v>-1.0675355167803511</v>
      </c>
      <c r="BR25" s="60">
        <f>BM25/BM8*BR8</f>
        <v>-0.45177410618123615</v>
      </c>
      <c r="BS25" s="60">
        <f>BN25/BN8*BS8</f>
        <v>-0.63091010734568931</v>
      </c>
      <c r="BT25" s="60">
        <f>BO25/BO8*BT8</f>
        <v>-1.0915597812465569</v>
      </c>
      <c r="BU25" s="365">
        <f>SUM(BQ25:BT25)</f>
        <v>-3.2417795115538337</v>
      </c>
      <c r="BV25" s="364">
        <f>BQ25/BQ8*BV8</f>
        <v>-1.1513184797296165</v>
      </c>
      <c r="BW25" s="60">
        <f>BR25/BR8*BW8</f>
        <v>-0.49051391649591958</v>
      </c>
      <c r="BX25" s="60">
        <f>BS25/BS8*BX8</f>
        <v>-0.68331539359214422</v>
      </c>
      <c r="BY25" s="60">
        <f>BT25/BT8*BY8</f>
        <v>-1.1686773882318451</v>
      </c>
      <c r="BZ25" s="365">
        <f>SUM(BV25:BY25)</f>
        <v>-3.4938251780495255</v>
      </c>
    </row>
    <row r="26" spans="1:78" ht="14.1" customHeight="1" x14ac:dyDescent="0.2">
      <c r="C26" s="440" t="s">
        <v>83</v>
      </c>
      <c r="D26" s="107">
        <f t="shared" ref="D26:I26" si="35">IFERROR(D19-SUM(D23:D25),"NA")</f>
        <v>89.751000000000033</v>
      </c>
      <c r="E26" s="107">
        <f t="shared" si="35"/>
        <v>135.83300000000014</v>
      </c>
      <c r="F26" s="107">
        <f t="shared" si="35"/>
        <v>146.65200000000002</v>
      </c>
      <c r="G26" s="107">
        <f t="shared" si="35"/>
        <v>176.27800000000016</v>
      </c>
      <c r="H26" s="107">
        <f t="shared" si="35"/>
        <v>332.77299999999997</v>
      </c>
      <c r="I26" s="107">
        <f t="shared" si="35"/>
        <v>468.0479999999996</v>
      </c>
      <c r="J26" s="504">
        <f t="shared" ref="J26:O26" si="36">IFERROR(J19-SUM(J23:J25),"NA")</f>
        <v>466.22700000000037</v>
      </c>
      <c r="K26" s="107">
        <f t="shared" si="36"/>
        <v>482.27243002133139</v>
      </c>
      <c r="L26" s="107">
        <f t="shared" si="36"/>
        <v>638.675654997489</v>
      </c>
      <c r="M26" s="107">
        <f t="shared" si="36"/>
        <v>815.73833994717529</v>
      </c>
      <c r="N26" s="107">
        <f t="shared" si="36"/>
        <v>956.1478098318812</v>
      </c>
      <c r="O26" s="465">
        <f t="shared" si="36"/>
        <v>1088.8126416952716</v>
      </c>
      <c r="P26" s="364"/>
      <c r="Q26" s="365"/>
      <c r="R26" s="440" t="str">
        <f t="shared" si="1"/>
        <v>Income Before Taxes</v>
      </c>
      <c r="S26" s="107">
        <f t="shared" ref="S26:BZ26" si="37">IFERROR(S19-SUM(S23:S25),"NA")</f>
        <v>16.518000000000043</v>
      </c>
      <c r="T26" s="107">
        <f t="shared" si="37"/>
        <v>28.090000000000018</v>
      </c>
      <c r="U26" s="107">
        <f t="shared" si="37"/>
        <v>23.419999999999977</v>
      </c>
      <c r="V26" s="107">
        <f t="shared" si="37"/>
        <v>21.723000000000113</v>
      </c>
      <c r="W26" s="465">
        <f t="shared" si="37"/>
        <v>89.751000000000033</v>
      </c>
      <c r="X26" s="440">
        <f t="shared" si="37"/>
        <v>26.456000000000063</v>
      </c>
      <c r="Y26" s="107">
        <f t="shared" si="37"/>
        <v>40.253</v>
      </c>
      <c r="Z26" s="107">
        <f t="shared" si="37"/>
        <v>37.425999999999945</v>
      </c>
      <c r="AA26" s="107">
        <f t="shared" si="37"/>
        <v>31.697999999999784</v>
      </c>
      <c r="AB26" s="465">
        <f t="shared" si="37"/>
        <v>135.83300000000014</v>
      </c>
      <c r="AC26" s="440">
        <f t="shared" si="37"/>
        <v>27.582000000000086</v>
      </c>
      <c r="AD26" s="107">
        <f t="shared" si="37"/>
        <v>49.402999999999999</v>
      </c>
      <c r="AE26" s="107">
        <f t="shared" si="37"/>
        <v>43.510999999999981</v>
      </c>
      <c r="AF26" s="107">
        <f t="shared" si="37"/>
        <v>26.155999999999892</v>
      </c>
      <c r="AG26" s="465">
        <f t="shared" si="37"/>
        <v>146.65200000000002</v>
      </c>
      <c r="AH26" s="440">
        <f t="shared" si="37"/>
        <v>36.826999999999998</v>
      </c>
      <c r="AI26" s="107">
        <f t="shared" si="37"/>
        <v>34.837999999999958</v>
      </c>
      <c r="AJ26" s="107">
        <f t="shared" si="37"/>
        <v>54.433000000000042</v>
      </c>
      <c r="AK26" s="107">
        <f t="shared" si="37"/>
        <v>50.180000000000057</v>
      </c>
      <c r="AL26" s="465">
        <f t="shared" si="37"/>
        <v>176.27800000000016</v>
      </c>
      <c r="AM26" s="440">
        <f t="shared" si="37"/>
        <v>47.992999999999959</v>
      </c>
      <c r="AN26" s="107">
        <f t="shared" si="37"/>
        <v>82.521000000000029</v>
      </c>
      <c r="AO26" s="107">
        <f t="shared" si="37"/>
        <v>105.32900000000004</v>
      </c>
      <c r="AP26" s="107">
        <f t="shared" si="37"/>
        <v>96.930000000000192</v>
      </c>
      <c r="AQ26" s="465">
        <f t="shared" si="37"/>
        <v>332.77299999999997</v>
      </c>
      <c r="AR26" s="440">
        <f t="shared" si="37"/>
        <v>102.52199999999991</v>
      </c>
      <c r="AS26" s="107">
        <f t="shared" si="37"/>
        <v>144.55599999999995</v>
      </c>
      <c r="AT26" s="107">
        <f t="shared" si="37"/>
        <v>127.70599999999993</v>
      </c>
      <c r="AU26" s="107">
        <f t="shared" si="37"/>
        <v>93.263999999999882</v>
      </c>
      <c r="AV26" s="465">
        <f t="shared" si="37"/>
        <v>468.0479999999996</v>
      </c>
      <c r="AW26" s="440">
        <f t="shared" si="37"/>
        <v>99.097999999999857</v>
      </c>
      <c r="AX26" s="107">
        <f t="shared" si="37"/>
        <v>121.27399999999986</v>
      </c>
      <c r="AY26" s="107">
        <f t="shared" si="37"/>
        <v>130.24699999999979</v>
      </c>
      <c r="AZ26" s="107">
        <f t="shared" si="37"/>
        <v>115.60800000000042</v>
      </c>
      <c r="BA26" s="465">
        <f t="shared" si="37"/>
        <v>466.22700000000037</v>
      </c>
      <c r="BB26" s="440">
        <f t="shared" si="37"/>
        <v>118.91299999999995</v>
      </c>
      <c r="BC26" s="107">
        <f t="shared" si="37"/>
        <v>135.6170000000001</v>
      </c>
      <c r="BD26" s="107">
        <f t="shared" si="37"/>
        <v>122.67899999999995</v>
      </c>
      <c r="BE26" s="107">
        <f t="shared" si="37"/>
        <v>105.0634300213314</v>
      </c>
      <c r="BF26" s="465">
        <f t="shared" si="37"/>
        <v>482.27243002133139</v>
      </c>
      <c r="BG26" s="440">
        <f t="shared" si="37"/>
        <v>155.52807141539282</v>
      </c>
      <c r="BH26" s="107">
        <f t="shared" si="37"/>
        <v>196.44636077310912</v>
      </c>
      <c r="BI26" s="107">
        <f t="shared" si="37"/>
        <v>155.52691862365407</v>
      </c>
      <c r="BJ26" s="107">
        <f t="shared" si="37"/>
        <v>131.17430418533263</v>
      </c>
      <c r="BK26" s="465">
        <f t="shared" si="37"/>
        <v>638.675654997489</v>
      </c>
      <c r="BL26" s="440">
        <f t="shared" si="37"/>
        <v>175.71387916061306</v>
      </c>
      <c r="BM26" s="107">
        <f t="shared" si="37"/>
        <v>221.36806587794302</v>
      </c>
      <c r="BN26" s="107">
        <f t="shared" si="37"/>
        <v>214.91022526280835</v>
      </c>
      <c r="BO26" s="107">
        <f>IFERROR(BO19-SUM(BO23:BO25),"NA")</f>
        <v>203.74616964580983</v>
      </c>
      <c r="BP26" s="465">
        <f t="shared" si="37"/>
        <v>815.73833994717529</v>
      </c>
      <c r="BQ26" s="440">
        <f t="shared" si="37"/>
        <v>207.56289726407786</v>
      </c>
      <c r="BR26" s="107">
        <f t="shared" si="37"/>
        <v>259.61465030535703</v>
      </c>
      <c r="BS26" s="107">
        <f t="shared" si="37"/>
        <v>251.69478327594831</v>
      </c>
      <c r="BT26" s="107">
        <f t="shared" si="37"/>
        <v>237.27547898649777</v>
      </c>
      <c r="BU26" s="465">
        <f t="shared" si="37"/>
        <v>956.1478098318812</v>
      </c>
      <c r="BV26" s="440">
        <f t="shared" si="37"/>
        <v>230.46255722749154</v>
      </c>
      <c r="BW26" s="107">
        <f t="shared" si="37"/>
        <v>298.02670147376546</v>
      </c>
      <c r="BX26" s="107">
        <f>IFERROR(BX19-SUM(BX23:BX25),"NA")</f>
        <v>286.03304146100066</v>
      </c>
      <c r="BY26" s="107">
        <f t="shared" si="37"/>
        <v>274.29034153301353</v>
      </c>
      <c r="BZ26" s="465">
        <f t="shared" si="37"/>
        <v>1088.8126416952716</v>
      </c>
    </row>
    <row r="27" spans="1:78" ht="3" customHeight="1" x14ac:dyDescent="0.2">
      <c r="C27" s="364"/>
      <c r="J27" s="502"/>
      <c r="O27" s="365"/>
      <c r="P27" s="364"/>
      <c r="Q27" s="365"/>
      <c r="R27" s="364"/>
      <c r="W27" s="365"/>
      <c r="X27" s="364"/>
      <c r="AB27" s="365"/>
      <c r="AC27" s="364"/>
      <c r="AG27" s="365"/>
      <c r="AH27" s="364"/>
      <c r="AL27" s="365"/>
      <c r="AM27" s="364"/>
      <c r="AQ27" s="365"/>
      <c r="AR27" s="364"/>
      <c r="AV27" s="365"/>
      <c r="AW27" s="364"/>
      <c r="BA27" s="365"/>
      <c r="BB27" s="364"/>
      <c r="BF27" s="365"/>
      <c r="BG27" s="364"/>
      <c r="BK27" s="365"/>
      <c r="BL27" s="364"/>
      <c r="BP27" s="365"/>
      <c r="BQ27" s="364"/>
      <c r="BU27" s="365"/>
      <c r="BV27" s="364"/>
      <c r="BZ27" s="365"/>
    </row>
    <row r="28" spans="1:78" ht="14.1" customHeight="1" x14ac:dyDescent="0.2">
      <c r="C28" s="364" t="s">
        <v>84</v>
      </c>
      <c r="D28" s="60">
        <f>W28</f>
        <v>-1.3779999999999999</v>
      </c>
      <c r="E28" s="60">
        <f>AB28</f>
        <v>30.852</v>
      </c>
      <c r="F28" s="60">
        <f>AG28</f>
        <v>32.933</v>
      </c>
      <c r="G28" s="60">
        <f>AL28</f>
        <v>37.938000000000002</v>
      </c>
      <c r="H28" s="60">
        <f>AQ28</f>
        <v>79.537999999999997</v>
      </c>
      <c r="I28" s="60">
        <f>AV28</f>
        <v>110.626</v>
      </c>
      <c r="J28" s="502">
        <f>BA28</f>
        <v>111.37</v>
      </c>
      <c r="K28" s="60">
        <f>BF28</f>
        <v>118.19121465790296</v>
      </c>
      <c r="L28" s="60">
        <f>BK28</f>
        <v>159.82990566432807</v>
      </c>
      <c r="M28" s="60">
        <f>BP28</f>
        <v>201.43542612085278</v>
      </c>
      <c r="N28" s="60">
        <f>BU28</f>
        <v>229.02637218689193</v>
      </c>
      <c r="O28" s="365">
        <f>BZ28</f>
        <v>260.67147560586113</v>
      </c>
      <c r="P28" s="364"/>
      <c r="Q28" s="365"/>
      <c r="R28" s="364" t="str">
        <f t="shared" si="1"/>
        <v>Income Taxes</v>
      </c>
      <c r="S28" s="60">
        <v>5.1230000000000002</v>
      </c>
      <c r="T28" s="60">
        <v>10.487</v>
      </c>
      <c r="U28" s="60">
        <v>9.0129999999999999</v>
      </c>
      <c r="V28" s="60">
        <f>W28-SUM(S28:U28)</f>
        <v>-26.000999999999998</v>
      </c>
      <c r="W28" s="365">
        <v>-1.3779999999999999</v>
      </c>
      <c r="X28" s="364">
        <v>5.3310000000000004</v>
      </c>
      <c r="Y28" s="60">
        <v>9.9719999999999995</v>
      </c>
      <c r="Z28" s="60">
        <v>9.2309999999999999</v>
      </c>
      <c r="AA28" s="60">
        <f>AB28-SUM(X28:Z28)</f>
        <v>6.3180000000000014</v>
      </c>
      <c r="AB28" s="365">
        <v>30.852</v>
      </c>
      <c r="AC28" s="364">
        <v>5.3230000000000004</v>
      </c>
      <c r="AD28" s="60">
        <v>12.33</v>
      </c>
      <c r="AE28" s="60">
        <v>10.542999999999999</v>
      </c>
      <c r="AF28" s="60">
        <f>AG28-SUM(AC28:AE28)</f>
        <v>4.7370000000000019</v>
      </c>
      <c r="AG28" s="365">
        <v>32.933</v>
      </c>
      <c r="AH28" s="364">
        <v>8.7159999999999993</v>
      </c>
      <c r="AI28" s="60">
        <v>6.3840000000000003</v>
      </c>
      <c r="AJ28" s="60">
        <v>12.894</v>
      </c>
      <c r="AK28" s="60">
        <f>AL28-SUM(AH28:AJ28)</f>
        <v>9.9440000000000026</v>
      </c>
      <c r="AL28" s="365">
        <v>37.938000000000002</v>
      </c>
      <c r="AM28" s="364">
        <v>10.702</v>
      </c>
      <c r="AN28" s="60">
        <v>20.047000000000001</v>
      </c>
      <c r="AO28" s="60">
        <v>25.617000000000001</v>
      </c>
      <c r="AP28" s="60">
        <f>AQ28-SUM(AM28:AO28)</f>
        <v>23.171999999999997</v>
      </c>
      <c r="AQ28" s="365">
        <v>79.537999999999997</v>
      </c>
      <c r="AR28" s="364">
        <v>23.097999999999999</v>
      </c>
      <c r="AS28" s="60">
        <v>35.311</v>
      </c>
      <c r="AT28" s="60">
        <v>29.815000000000001</v>
      </c>
      <c r="AU28" s="60">
        <f>AV28-SUM(AR28:AT28)</f>
        <v>22.402000000000001</v>
      </c>
      <c r="AV28" s="365">
        <v>110.626</v>
      </c>
      <c r="AW28" s="364">
        <v>23.001000000000001</v>
      </c>
      <c r="AX28" s="60">
        <v>29.954999999999998</v>
      </c>
      <c r="AY28" s="60">
        <v>32.033999999999999</v>
      </c>
      <c r="AZ28" s="60">
        <f>BA28-SUM(AW28:AY28)</f>
        <v>26.379999999999995</v>
      </c>
      <c r="BA28" s="365">
        <v>111.37</v>
      </c>
      <c r="BB28" s="364">
        <v>28.218</v>
      </c>
      <c r="BC28" s="60">
        <v>33.097999999999999</v>
      </c>
      <c r="BD28" s="60">
        <v>29.931000000000001</v>
      </c>
      <c r="BE28" s="60">
        <f>(BE19*BF65)+(BF68*SUM(BE23:BE25))</f>
        <v>26.944214657902961</v>
      </c>
      <c r="BF28" s="365">
        <f>SUM(BB28:BE28)</f>
        <v>118.19121465790296</v>
      </c>
      <c r="BG28" s="364">
        <f t="shared" ref="BG28:BY28" si="38">(BG19*BH65)+(BH68*SUM(BG23:BG25))</f>
        <v>38.778774927426468</v>
      </c>
      <c r="BH28" s="60">
        <f t="shared" si="38"/>
        <v>48.893166033673054</v>
      </c>
      <c r="BI28" s="60">
        <f t="shared" si="38"/>
        <v>39.089239510797512</v>
      </c>
      <c r="BJ28" s="60">
        <f t="shared" si="38"/>
        <v>33.068725192431039</v>
      </c>
      <c r="BK28" s="365">
        <f>SUM(BG28:BJ28)</f>
        <v>159.82990566432807</v>
      </c>
      <c r="BL28" s="364">
        <f t="shared" si="38"/>
        <v>43.572625910064303</v>
      </c>
      <c r="BM28" s="60">
        <f t="shared" si="38"/>
        <v>54.913949262371951</v>
      </c>
      <c r="BN28" s="60">
        <f t="shared" si="38"/>
        <v>53.300867770554056</v>
      </c>
      <c r="BO28" s="60">
        <f t="shared" si="38"/>
        <v>49.647983177862464</v>
      </c>
      <c r="BP28" s="365">
        <f>SUM(BL28:BO28)</f>
        <v>201.43542612085278</v>
      </c>
      <c r="BQ28" s="364">
        <f t="shared" si="38"/>
        <v>49.576240718479092</v>
      </c>
      <c r="BR28" s="60">
        <f t="shared" si="38"/>
        <v>62.353248174644264</v>
      </c>
      <c r="BS28" s="60">
        <f t="shared" si="38"/>
        <v>60.39635646217895</v>
      </c>
      <c r="BT28" s="60">
        <f t="shared" si="38"/>
        <v>56.70052683158962</v>
      </c>
      <c r="BU28" s="365">
        <f>SUM(BQ28:BT28)</f>
        <v>229.02637218689193</v>
      </c>
      <c r="BV28" s="364">
        <f t="shared" si="38"/>
        <v>55.039414022549586</v>
      </c>
      <c r="BW28" s="60">
        <f t="shared" si="38"/>
        <v>71.517712474940112</v>
      </c>
      <c r="BX28" s="1003">
        <f>(BX19*BY65)+(BY68*SUM(BX23:BX25))</f>
        <v>68.597769370886965</v>
      </c>
      <c r="BY28" s="60">
        <f t="shared" si="38"/>
        <v>65.516579737484506</v>
      </c>
      <c r="BZ28" s="365">
        <f>SUM(BV28:BY28)</f>
        <v>260.67147560586113</v>
      </c>
    </row>
    <row r="29" spans="1:78" ht="14.1" customHeight="1" x14ac:dyDescent="0.2">
      <c r="C29" s="440" t="s">
        <v>85</v>
      </c>
      <c r="D29" s="107">
        <f t="shared" ref="D29:I29" si="39">IFERROR(D26-D28,"NA")</f>
        <v>91.129000000000033</v>
      </c>
      <c r="E29" s="107">
        <f t="shared" si="39"/>
        <v>104.98100000000014</v>
      </c>
      <c r="F29" s="107">
        <f t="shared" si="39"/>
        <v>113.71900000000002</v>
      </c>
      <c r="G29" s="107">
        <f t="shared" si="39"/>
        <v>138.34000000000015</v>
      </c>
      <c r="H29" s="107">
        <f t="shared" si="39"/>
        <v>253.23499999999996</v>
      </c>
      <c r="I29" s="107">
        <f t="shared" si="39"/>
        <v>357.42199999999957</v>
      </c>
      <c r="J29" s="504">
        <f t="shared" ref="J29:O29" si="40">IFERROR(J26-J28,"NA")</f>
        <v>354.85700000000037</v>
      </c>
      <c r="K29" s="107">
        <f t="shared" si="40"/>
        <v>364.08121536342844</v>
      </c>
      <c r="L29" s="107">
        <f t="shared" si="40"/>
        <v>478.84574933316094</v>
      </c>
      <c r="M29" s="107">
        <f t="shared" si="40"/>
        <v>614.30291382632254</v>
      </c>
      <c r="N29" s="107">
        <f t="shared" si="40"/>
        <v>727.12143764498933</v>
      </c>
      <c r="O29" s="465">
        <f t="shared" si="40"/>
        <v>828.14116608941049</v>
      </c>
      <c r="R29" s="440" t="str">
        <f t="shared" si="1"/>
        <v>Net Income</v>
      </c>
      <c r="S29" s="107">
        <f t="shared" ref="S29:BZ29" si="41">IFERROR(S26-S28,"NA")</f>
        <v>11.395000000000042</v>
      </c>
      <c r="T29" s="107">
        <f t="shared" si="41"/>
        <v>17.603000000000016</v>
      </c>
      <c r="U29" s="107">
        <f t="shared" si="41"/>
        <v>14.406999999999977</v>
      </c>
      <c r="V29" s="107">
        <f t="shared" si="41"/>
        <v>47.72400000000011</v>
      </c>
      <c r="W29" s="465">
        <f t="shared" si="41"/>
        <v>91.129000000000033</v>
      </c>
      <c r="X29" s="440">
        <f t="shared" si="41"/>
        <v>21.125000000000064</v>
      </c>
      <c r="Y29" s="107">
        <f t="shared" si="41"/>
        <v>30.280999999999999</v>
      </c>
      <c r="Z29" s="107">
        <f t="shared" si="41"/>
        <v>28.194999999999943</v>
      </c>
      <c r="AA29" s="107">
        <f t="shared" si="41"/>
        <v>25.379999999999782</v>
      </c>
      <c r="AB29" s="465">
        <f t="shared" si="41"/>
        <v>104.98100000000014</v>
      </c>
      <c r="AC29" s="440">
        <f t="shared" si="41"/>
        <v>22.259000000000086</v>
      </c>
      <c r="AD29" s="107">
        <f t="shared" si="41"/>
        <v>37.073</v>
      </c>
      <c r="AE29" s="107">
        <f t="shared" si="41"/>
        <v>32.967999999999982</v>
      </c>
      <c r="AF29" s="107">
        <f t="shared" si="41"/>
        <v>21.41899999999989</v>
      </c>
      <c r="AG29" s="465">
        <f t="shared" si="41"/>
        <v>113.71900000000002</v>
      </c>
      <c r="AH29" s="440">
        <f t="shared" si="41"/>
        <v>28.110999999999997</v>
      </c>
      <c r="AI29" s="107">
        <f t="shared" si="41"/>
        <v>28.453999999999958</v>
      </c>
      <c r="AJ29" s="107">
        <f t="shared" si="41"/>
        <v>41.539000000000044</v>
      </c>
      <c r="AK29" s="107">
        <f t="shared" si="41"/>
        <v>40.236000000000054</v>
      </c>
      <c r="AL29" s="465">
        <f t="shared" si="41"/>
        <v>138.34000000000015</v>
      </c>
      <c r="AM29" s="440">
        <f t="shared" si="41"/>
        <v>37.290999999999961</v>
      </c>
      <c r="AN29" s="107">
        <f t="shared" si="41"/>
        <v>62.474000000000032</v>
      </c>
      <c r="AO29" s="107">
        <f t="shared" si="41"/>
        <v>79.712000000000032</v>
      </c>
      <c r="AP29" s="107">
        <f t="shared" si="41"/>
        <v>73.758000000000195</v>
      </c>
      <c r="AQ29" s="465">
        <f t="shared" si="41"/>
        <v>253.23499999999996</v>
      </c>
      <c r="AR29" s="440">
        <f t="shared" si="41"/>
        <v>79.423999999999907</v>
      </c>
      <c r="AS29" s="107">
        <f t="shared" si="41"/>
        <v>109.24499999999995</v>
      </c>
      <c r="AT29" s="107">
        <f t="shared" si="41"/>
        <v>97.890999999999934</v>
      </c>
      <c r="AU29" s="107">
        <f t="shared" si="41"/>
        <v>70.861999999999881</v>
      </c>
      <c r="AV29" s="465">
        <f t="shared" si="41"/>
        <v>357.42199999999957</v>
      </c>
      <c r="AW29" s="440">
        <f t="shared" si="41"/>
        <v>76.096999999999852</v>
      </c>
      <c r="AX29" s="107">
        <f t="shared" si="41"/>
        <v>91.318999999999861</v>
      </c>
      <c r="AY29" s="107">
        <f t="shared" si="41"/>
        <v>98.212999999999795</v>
      </c>
      <c r="AZ29" s="107">
        <f t="shared" si="41"/>
        <v>89.228000000000421</v>
      </c>
      <c r="BA29" s="465">
        <f t="shared" si="41"/>
        <v>354.85700000000037</v>
      </c>
      <c r="BB29" s="440">
        <f t="shared" si="41"/>
        <v>90.694999999999951</v>
      </c>
      <c r="BC29" s="107">
        <f t="shared" si="41"/>
        <v>102.5190000000001</v>
      </c>
      <c r="BD29" s="107">
        <f t="shared" si="41"/>
        <v>92.747999999999948</v>
      </c>
      <c r="BE29" s="107">
        <f t="shared" si="41"/>
        <v>78.119215363428438</v>
      </c>
      <c r="BF29" s="465">
        <f t="shared" si="41"/>
        <v>364.08121536342844</v>
      </c>
      <c r="BG29" s="440">
        <f t="shared" si="41"/>
        <v>116.74929648796635</v>
      </c>
      <c r="BH29" s="107">
        <f t="shared" si="41"/>
        <v>147.55319473943607</v>
      </c>
      <c r="BI29" s="107">
        <f t="shared" si="41"/>
        <v>116.43767911285656</v>
      </c>
      <c r="BJ29" s="107">
        <f t="shared" si="41"/>
        <v>98.105578992901599</v>
      </c>
      <c r="BK29" s="465">
        <f t="shared" si="41"/>
        <v>478.84574933316094</v>
      </c>
      <c r="BL29" s="440">
        <f t="shared" si="41"/>
        <v>132.14125325054874</v>
      </c>
      <c r="BM29" s="107">
        <f t="shared" si="41"/>
        <v>166.45411661557108</v>
      </c>
      <c r="BN29" s="107">
        <f t="shared" si="41"/>
        <v>161.6093574922543</v>
      </c>
      <c r="BO29" s="107">
        <f t="shared" si="41"/>
        <v>154.09818646794736</v>
      </c>
      <c r="BP29" s="465">
        <f t="shared" si="41"/>
        <v>614.30291382632254</v>
      </c>
      <c r="BQ29" s="440">
        <f t="shared" si="41"/>
        <v>157.98665654559878</v>
      </c>
      <c r="BR29" s="107">
        <f t="shared" si="41"/>
        <v>197.26140213071278</v>
      </c>
      <c r="BS29" s="107">
        <f t="shared" si="41"/>
        <v>191.29842681376937</v>
      </c>
      <c r="BT29" s="107">
        <f t="shared" si="41"/>
        <v>180.57495215490815</v>
      </c>
      <c r="BU29" s="465">
        <f t="shared" si="41"/>
        <v>727.12143764498933</v>
      </c>
      <c r="BV29" s="440">
        <f t="shared" si="41"/>
        <v>175.42314320494197</v>
      </c>
      <c r="BW29" s="107">
        <f t="shared" si="41"/>
        <v>226.50898899882534</v>
      </c>
      <c r="BX29" s="107">
        <f>IFERROR(BX26-BX28,"NA")</f>
        <v>217.4352720901137</v>
      </c>
      <c r="BY29" s="107">
        <f t="shared" si="41"/>
        <v>208.77376179552903</v>
      </c>
      <c r="BZ29" s="465">
        <f t="shared" si="41"/>
        <v>828.14116608941049</v>
      </c>
    </row>
    <row r="30" spans="1:78" ht="3" customHeight="1" x14ac:dyDescent="0.2">
      <c r="C30" s="364"/>
      <c r="J30" s="502"/>
      <c r="O30" s="365"/>
      <c r="R30" s="364"/>
      <c r="W30" s="365"/>
      <c r="X30" s="364"/>
      <c r="AB30" s="365"/>
      <c r="AC30" s="364"/>
      <c r="AG30" s="365"/>
      <c r="AH30" s="364"/>
      <c r="AL30" s="365"/>
      <c r="AM30" s="364"/>
      <c r="AQ30" s="365"/>
      <c r="AR30" s="364"/>
      <c r="AV30" s="365"/>
      <c r="AW30" s="364"/>
      <c r="BA30" s="365"/>
      <c r="BB30" s="364"/>
      <c r="BF30" s="365"/>
      <c r="BG30" s="364"/>
      <c r="BK30" s="365"/>
      <c r="BL30" s="364"/>
      <c r="BP30" s="365"/>
      <c r="BQ30" s="364"/>
      <c r="BU30" s="365"/>
      <c r="BV30" s="364"/>
      <c r="BZ30" s="365"/>
    </row>
    <row r="31" spans="1:78" ht="14.1" customHeight="1" x14ac:dyDescent="0.2">
      <c r="C31" s="364" t="s">
        <v>86</v>
      </c>
      <c r="D31" s="60">
        <f>W31</f>
        <v>0</v>
      </c>
      <c r="E31" s="60">
        <f>AB31</f>
        <v>0</v>
      </c>
      <c r="F31" s="60">
        <f>AG31</f>
        <v>0</v>
      </c>
      <c r="G31" s="60">
        <f>AL31</f>
        <v>0</v>
      </c>
      <c r="H31" s="60">
        <f>AQ31</f>
        <v>0</v>
      </c>
      <c r="I31" s="60">
        <f>AV31</f>
        <v>0</v>
      </c>
      <c r="J31" s="502">
        <f>BA31</f>
        <v>0</v>
      </c>
      <c r="K31" s="60">
        <f>BF31</f>
        <v>0</v>
      </c>
      <c r="L31" s="60">
        <f>BK31</f>
        <v>0</v>
      </c>
      <c r="M31" s="60">
        <f>BP31</f>
        <v>0</v>
      </c>
      <c r="N31" s="60">
        <f>BU31</f>
        <v>0</v>
      </c>
      <c r="O31" s="365">
        <f>BZ31</f>
        <v>0</v>
      </c>
      <c r="R31" s="364" t="str">
        <f t="shared" si="1"/>
        <v>Preferred Dividends</v>
      </c>
      <c r="V31" s="60">
        <f>W31-SUM(S31:U31)</f>
        <v>0</v>
      </c>
      <c r="W31" s="365"/>
      <c r="X31" s="364"/>
      <c r="AA31" s="60">
        <f>AB31-SUM(X31:Z31)</f>
        <v>0</v>
      </c>
      <c r="AB31" s="365"/>
      <c r="AC31" s="364"/>
      <c r="AF31" s="60">
        <f>AG31-SUM(AC31:AE31)</f>
        <v>0</v>
      </c>
      <c r="AG31" s="365"/>
      <c r="AH31" s="364"/>
      <c r="AK31" s="60">
        <f>AL31-SUM(AH31:AJ31)</f>
        <v>0</v>
      </c>
      <c r="AL31" s="365"/>
      <c r="AM31" s="364"/>
      <c r="AP31" s="60">
        <f>AQ31-SUM(AM31:AO31)</f>
        <v>0</v>
      </c>
      <c r="AQ31" s="365"/>
      <c r="AR31" s="364"/>
      <c r="AU31" s="60">
        <f>AV31-SUM(AR31:AT31)</f>
        <v>0</v>
      </c>
      <c r="AV31" s="365"/>
      <c r="AW31" s="364"/>
      <c r="BA31" s="365"/>
      <c r="BB31" s="364"/>
      <c r="BF31" s="365">
        <f>SUM(BB31:BE31)</f>
        <v>0</v>
      </c>
      <c r="BG31" s="364"/>
      <c r="BK31" s="365">
        <f>SUM(BG31:BJ31)</f>
        <v>0</v>
      </c>
      <c r="BL31" s="364"/>
      <c r="BP31" s="365">
        <f>SUM(BL31:BO31)</f>
        <v>0</v>
      </c>
      <c r="BQ31" s="364"/>
      <c r="BU31" s="365">
        <f>SUM(BQ31:BT31)</f>
        <v>0</v>
      </c>
      <c r="BV31" s="364"/>
      <c r="BZ31" s="365">
        <f>SUM(BV31:BY31)</f>
        <v>0</v>
      </c>
    </row>
    <row r="32" spans="1:78" ht="14.1" customHeight="1" x14ac:dyDescent="0.2">
      <c r="C32" s="364" t="s">
        <v>87</v>
      </c>
      <c r="D32" s="60">
        <f>W32</f>
        <v>0</v>
      </c>
      <c r="E32" s="60">
        <f>AB32</f>
        <v>0</v>
      </c>
      <c r="F32" s="60">
        <f>AG32</f>
        <v>0</v>
      </c>
      <c r="G32" s="60">
        <f>AL32</f>
        <v>0</v>
      </c>
      <c r="H32" s="60">
        <f>AQ32</f>
        <v>0</v>
      </c>
      <c r="I32" s="60">
        <f>AV32</f>
        <v>0</v>
      </c>
      <c r="J32" s="502">
        <f>BA32</f>
        <v>0</v>
      </c>
      <c r="K32" s="60">
        <f>BF32</f>
        <v>0</v>
      </c>
      <c r="L32" s="60">
        <f>BK32</f>
        <v>0</v>
      </c>
      <c r="M32" s="60">
        <f>BP32</f>
        <v>0</v>
      </c>
      <c r="N32" s="60">
        <f>BU32</f>
        <v>0</v>
      </c>
      <c r="O32" s="365">
        <f>BZ32</f>
        <v>0</v>
      </c>
      <c r="R32" s="364" t="str">
        <f t="shared" si="1"/>
        <v>Income to Non-Controlling Interest</v>
      </c>
      <c r="V32" s="60">
        <f>W32-SUM(S32:U32)</f>
        <v>0</v>
      </c>
      <c r="W32" s="365"/>
      <c r="X32" s="364"/>
      <c r="AA32" s="60">
        <f>AB32-SUM(X32:Z32)</f>
        <v>0</v>
      </c>
      <c r="AB32" s="365"/>
      <c r="AC32" s="364"/>
      <c r="AF32" s="60">
        <f>AG32-SUM(AC32:AE32)</f>
        <v>0</v>
      </c>
      <c r="AG32" s="365"/>
      <c r="AH32" s="364"/>
      <c r="AK32" s="60">
        <f>AL32-SUM(AH32:AJ32)</f>
        <v>0</v>
      </c>
      <c r="AL32" s="365"/>
      <c r="AM32" s="364"/>
      <c r="AP32" s="60">
        <f>AQ32-SUM(AM32:AO32)</f>
        <v>0</v>
      </c>
      <c r="AQ32" s="365"/>
      <c r="AR32" s="364"/>
      <c r="AU32" s="60">
        <f>AV32-SUM(AR32:AT32)</f>
        <v>0</v>
      </c>
      <c r="AV32" s="365"/>
      <c r="AW32" s="364"/>
      <c r="BA32" s="365"/>
      <c r="BB32" s="364"/>
      <c r="BF32" s="365">
        <f>SUM(BB32:BE32)</f>
        <v>0</v>
      </c>
      <c r="BG32" s="364"/>
      <c r="BK32" s="365">
        <f>SUM(BG32:BJ32)</f>
        <v>0</v>
      </c>
      <c r="BL32" s="364"/>
      <c r="BP32" s="365">
        <f>SUM(BL32:BO32)</f>
        <v>0</v>
      </c>
      <c r="BQ32" s="364"/>
      <c r="BU32" s="365">
        <f>SUM(BQ32:BT32)</f>
        <v>0</v>
      </c>
      <c r="BV32" s="364"/>
      <c r="BZ32" s="365">
        <f>SUM(BV32:BY32)</f>
        <v>0</v>
      </c>
    </row>
    <row r="33" spans="1:78" ht="14.1" customHeight="1" x14ac:dyDescent="0.2">
      <c r="C33" s="440" t="s">
        <v>88</v>
      </c>
      <c r="D33" s="107">
        <f t="shared" ref="D33:I33" si="42">IFERROR(D29-D31-D32,"NA")</f>
        <v>91.129000000000033</v>
      </c>
      <c r="E33" s="107">
        <f t="shared" si="42"/>
        <v>104.98100000000014</v>
      </c>
      <c r="F33" s="107">
        <f t="shared" si="42"/>
        <v>113.71900000000002</v>
      </c>
      <c r="G33" s="107">
        <f t="shared" si="42"/>
        <v>138.34000000000015</v>
      </c>
      <c r="H33" s="107">
        <f t="shared" si="42"/>
        <v>253.23499999999996</v>
      </c>
      <c r="I33" s="107">
        <f t="shared" si="42"/>
        <v>357.42199999999957</v>
      </c>
      <c r="J33" s="504">
        <f t="shared" ref="J33:O33" si="43">IFERROR(J29-J31-J32,"NA")</f>
        <v>354.85700000000037</v>
      </c>
      <c r="K33" s="107">
        <f t="shared" si="43"/>
        <v>364.08121536342844</v>
      </c>
      <c r="L33" s="107">
        <f t="shared" si="43"/>
        <v>478.84574933316094</v>
      </c>
      <c r="M33" s="107">
        <f t="shared" si="43"/>
        <v>614.30291382632254</v>
      </c>
      <c r="N33" s="107">
        <f t="shared" si="43"/>
        <v>727.12143764498933</v>
      </c>
      <c r="O33" s="465">
        <f t="shared" si="43"/>
        <v>828.14116608941049</v>
      </c>
      <c r="P33" s="364"/>
      <c r="Q33" s="365"/>
      <c r="R33" s="440" t="str">
        <f t="shared" si="1"/>
        <v>Net Income to Common</v>
      </c>
      <c r="S33" s="107">
        <f t="shared" ref="S33:BZ33" si="44">IFERROR(S29-S31-S32,"NA")</f>
        <v>11.395000000000042</v>
      </c>
      <c r="T33" s="107">
        <f t="shared" si="44"/>
        <v>17.603000000000016</v>
      </c>
      <c r="U33" s="107">
        <f t="shared" si="44"/>
        <v>14.406999999999977</v>
      </c>
      <c r="V33" s="107">
        <f t="shared" si="44"/>
        <v>47.72400000000011</v>
      </c>
      <c r="W33" s="465">
        <f t="shared" si="44"/>
        <v>91.129000000000033</v>
      </c>
      <c r="X33" s="440">
        <f t="shared" si="44"/>
        <v>21.125000000000064</v>
      </c>
      <c r="Y33" s="107">
        <f t="shared" si="44"/>
        <v>30.280999999999999</v>
      </c>
      <c r="Z33" s="107">
        <f t="shared" si="44"/>
        <v>28.194999999999943</v>
      </c>
      <c r="AA33" s="107">
        <f t="shared" si="44"/>
        <v>25.379999999999782</v>
      </c>
      <c r="AB33" s="465">
        <f t="shared" si="44"/>
        <v>104.98100000000014</v>
      </c>
      <c r="AC33" s="440">
        <f t="shared" si="44"/>
        <v>22.259000000000086</v>
      </c>
      <c r="AD33" s="107">
        <f t="shared" si="44"/>
        <v>37.073</v>
      </c>
      <c r="AE33" s="107">
        <f t="shared" si="44"/>
        <v>32.967999999999982</v>
      </c>
      <c r="AF33" s="107">
        <f t="shared" si="44"/>
        <v>21.41899999999989</v>
      </c>
      <c r="AG33" s="465">
        <f t="shared" si="44"/>
        <v>113.71900000000002</v>
      </c>
      <c r="AH33" s="440">
        <f t="shared" si="44"/>
        <v>28.110999999999997</v>
      </c>
      <c r="AI33" s="107">
        <f t="shared" si="44"/>
        <v>28.453999999999958</v>
      </c>
      <c r="AJ33" s="107">
        <f t="shared" si="44"/>
        <v>41.539000000000044</v>
      </c>
      <c r="AK33" s="107">
        <f t="shared" si="44"/>
        <v>40.236000000000054</v>
      </c>
      <c r="AL33" s="465">
        <f t="shared" si="44"/>
        <v>138.34000000000015</v>
      </c>
      <c r="AM33" s="440">
        <f t="shared" si="44"/>
        <v>37.290999999999961</v>
      </c>
      <c r="AN33" s="107">
        <f t="shared" si="44"/>
        <v>62.474000000000032</v>
      </c>
      <c r="AO33" s="107">
        <f t="shared" si="44"/>
        <v>79.712000000000032</v>
      </c>
      <c r="AP33" s="107">
        <f t="shared" si="44"/>
        <v>73.758000000000195</v>
      </c>
      <c r="AQ33" s="465">
        <f t="shared" si="44"/>
        <v>253.23499999999996</v>
      </c>
      <c r="AR33" s="440">
        <f t="shared" si="44"/>
        <v>79.423999999999907</v>
      </c>
      <c r="AS33" s="107">
        <f t="shared" si="44"/>
        <v>109.24499999999995</v>
      </c>
      <c r="AT33" s="107">
        <f t="shared" si="44"/>
        <v>97.890999999999934</v>
      </c>
      <c r="AU33" s="107">
        <f t="shared" si="44"/>
        <v>70.861999999999881</v>
      </c>
      <c r="AV33" s="465">
        <f t="shared" si="44"/>
        <v>357.42199999999957</v>
      </c>
      <c r="AW33" s="440">
        <f t="shared" si="44"/>
        <v>76.096999999999852</v>
      </c>
      <c r="AX33" s="107">
        <f t="shared" si="44"/>
        <v>91.318999999999861</v>
      </c>
      <c r="AY33" s="107">
        <f t="shared" si="44"/>
        <v>98.212999999999795</v>
      </c>
      <c r="AZ33" s="107">
        <f t="shared" si="44"/>
        <v>89.228000000000421</v>
      </c>
      <c r="BA33" s="465">
        <f t="shared" si="44"/>
        <v>354.85700000000037</v>
      </c>
      <c r="BB33" s="440">
        <f t="shared" si="44"/>
        <v>90.694999999999951</v>
      </c>
      <c r="BC33" s="107">
        <f t="shared" si="44"/>
        <v>102.5190000000001</v>
      </c>
      <c r="BD33" s="107">
        <f t="shared" si="44"/>
        <v>92.747999999999948</v>
      </c>
      <c r="BE33" s="107">
        <f t="shared" si="44"/>
        <v>78.119215363428438</v>
      </c>
      <c r="BF33" s="465">
        <f t="shared" si="44"/>
        <v>364.08121536342844</v>
      </c>
      <c r="BG33" s="440">
        <f t="shared" si="44"/>
        <v>116.74929648796635</v>
      </c>
      <c r="BH33" s="107">
        <f t="shared" si="44"/>
        <v>147.55319473943607</v>
      </c>
      <c r="BI33" s="107">
        <f t="shared" si="44"/>
        <v>116.43767911285656</v>
      </c>
      <c r="BJ33" s="107">
        <f t="shared" si="44"/>
        <v>98.105578992901599</v>
      </c>
      <c r="BK33" s="465">
        <f t="shared" si="44"/>
        <v>478.84574933316094</v>
      </c>
      <c r="BL33" s="440">
        <f t="shared" si="44"/>
        <v>132.14125325054874</v>
      </c>
      <c r="BM33" s="107">
        <f t="shared" si="44"/>
        <v>166.45411661557108</v>
      </c>
      <c r="BN33" s="107">
        <f t="shared" si="44"/>
        <v>161.6093574922543</v>
      </c>
      <c r="BO33" s="107">
        <f t="shared" si="44"/>
        <v>154.09818646794736</v>
      </c>
      <c r="BP33" s="465">
        <f t="shared" si="44"/>
        <v>614.30291382632254</v>
      </c>
      <c r="BQ33" s="440">
        <f t="shared" si="44"/>
        <v>157.98665654559878</v>
      </c>
      <c r="BR33" s="107">
        <f t="shared" si="44"/>
        <v>197.26140213071278</v>
      </c>
      <c r="BS33" s="107">
        <f t="shared" si="44"/>
        <v>191.29842681376937</v>
      </c>
      <c r="BT33" s="107">
        <f t="shared" si="44"/>
        <v>180.57495215490815</v>
      </c>
      <c r="BU33" s="465">
        <f t="shared" si="44"/>
        <v>727.12143764498933</v>
      </c>
      <c r="BV33" s="440">
        <f t="shared" si="44"/>
        <v>175.42314320494197</v>
      </c>
      <c r="BW33" s="107">
        <f t="shared" si="44"/>
        <v>226.50898899882534</v>
      </c>
      <c r="BX33" s="107">
        <f>IFERROR(BX29-BX31-BX32,"NA")</f>
        <v>217.4352720901137</v>
      </c>
      <c r="BY33" s="107">
        <f t="shared" si="44"/>
        <v>208.77376179552903</v>
      </c>
      <c r="BZ33" s="465">
        <f t="shared" si="44"/>
        <v>828.14116608941049</v>
      </c>
    </row>
    <row r="34" spans="1:78" ht="14.1" customHeight="1" x14ac:dyDescent="0.2">
      <c r="C34" s="364" t="s">
        <v>89</v>
      </c>
      <c r="D34" s="60">
        <f>W34</f>
        <v>0</v>
      </c>
      <c r="E34" s="60">
        <f>AB34</f>
        <v>0</v>
      </c>
      <c r="F34" s="60">
        <f>AG34</f>
        <v>0</v>
      </c>
      <c r="G34" s="60">
        <f>AL34</f>
        <v>0</v>
      </c>
      <c r="H34" s="60">
        <f>AQ34</f>
        <v>0</v>
      </c>
      <c r="I34" s="60">
        <f>AV34</f>
        <v>0</v>
      </c>
      <c r="J34" s="502">
        <f>BA34</f>
        <v>0</v>
      </c>
      <c r="K34" s="60">
        <f>BF34</f>
        <v>0</v>
      </c>
      <c r="L34" s="60">
        <f>BK34</f>
        <v>0</v>
      </c>
      <c r="M34" s="60">
        <f>BP34</f>
        <v>0</v>
      </c>
      <c r="N34" s="60">
        <f>BU34</f>
        <v>0</v>
      </c>
      <c r="O34" s="365">
        <f>BZ34</f>
        <v>0</v>
      </c>
      <c r="P34" s="364"/>
      <c r="Q34" s="365"/>
      <c r="R34" s="364" t="str">
        <f t="shared" si="1"/>
        <v>Extraordinary Items (After-tax)</v>
      </c>
      <c r="W34" s="365"/>
      <c r="X34" s="364"/>
      <c r="AB34" s="365"/>
      <c r="AC34" s="364"/>
      <c r="AG34" s="365"/>
      <c r="AH34" s="364"/>
      <c r="AL34" s="365"/>
      <c r="AM34" s="364"/>
      <c r="AQ34" s="365"/>
      <c r="AR34" s="364"/>
      <c r="AV34" s="365"/>
      <c r="AW34" s="364"/>
      <c r="BA34" s="365"/>
      <c r="BB34" s="364"/>
      <c r="BF34" s="365"/>
      <c r="BG34" s="364"/>
      <c r="BK34" s="365"/>
      <c r="BL34" s="364"/>
      <c r="BP34" s="365"/>
      <c r="BQ34" s="364"/>
      <c r="BU34" s="365"/>
      <c r="BV34" s="364"/>
      <c r="BZ34" s="365"/>
    </row>
    <row r="35" spans="1:78" ht="14.1" customHeight="1" x14ac:dyDescent="0.2">
      <c r="C35" s="364" t="s">
        <v>90</v>
      </c>
      <c r="D35" s="60">
        <f>W35</f>
        <v>0</v>
      </c>
      <c r="E35" s="60">
        <f>AB35</f>
        <v>0</v>
      </c>
      <c r="F35" s="60">
        <f>AG35</f>
        <v>0</v>
      </c>
      <c r="G35" s="60">
        <f>AL35</f>
        <v>0</v>
      </c>
      <c r="H35" s="60">
        <f>AQ35</f>
        <v>0</v>
      </c>
      <c r="I35" s="60">
        <f>AV35</f>
        <v>0</v>
      </c>
      <c r="J35" s="502">
        <f>BA35</f>
        <v>0</v>
      </c>
      <c r="K35" s="60">
        <f>BF35</f>
        <v>0</v>
      </c>
      <c r="L35" s="60">
        <f>BK35</f>
        <v>0</v>
      </c>
      <c r="M35" s="60">
        <f>BP35</f>
        <v>0</v>
      </c>
      <c r="N35" s="60">
        <f>BU35</f>
        <v>0</v>
      </c>
      <c r="O35" s="365">
        <f>BZ35</f>
        <v>0</v>
      </c>
      <c r="P35" s="364"/>
      <c r="Q35" s="365"/>
      <c r="R35" s="364" t="str">
        <f t="shared" si="1"/>
        <v>Discontinued Operations (After-tax)</v>
      </c>
      <c r="W35" s="365"/>
      <c r="X35" s="364"/>
      <c r="AB35" s="365"/>
      <c r="AC35" s="364"/>
      <c r="AG35" s="365"/>
      <c r="AH35" s="364"/>
      <c r="AL35" s="365"/>
      <c r="AM35" s="364"/>
      <c r="AQ35" s="365"/>
      <c r="AR35" s="364"/>
      <c r="AV35" s="365"/>
      <c r="AW35" s="364"/>
      <c r="BA35" s="365"/>
      <c r="BB35" s="364"/>
      <c r="BF35" s="365"/>
      <c r="BG35" s="364"/>
      <c r="BK35" s="365"/>
      <c r="BL35" s="364"/>
      <c r="BP35" s="365"/>
      <c r="BQ35" s="364"/>
      <c r="BU35" s="365"/>
      <c r="BV35" s="364"/>
      <c r="BZ35" s="365"/>
    </row>
    <row r="36" spans="1:78" ht="3" customHeight="1" x14ac:dyDescent="0.2">
      <c r="C36" s="364"/>
      <c r="J36" s="502"/>
      <c r="O36" s="365"/>
      <c r="R36" s="364"/>
      <c r="W36" s="365"/>
      <c r="X36" s="364"/>
      <c r="AB36" s="365"/>
      <c r="AC36" s="364"/>
      <c r="AG36" s="365"/>
      <c r="AH36" s="364"/>
      <c r="AL36" s="365"/>
      <c r="AM36" s="364"/>
      <c r="AQ36" s="365"/>
      <c r="AR36" s="364"/>
      <c r="AV36" s="365"/>
      <c r="AW36" s="364"/>
      <c r="BA36" s="365"/>
      <c r="BB36" s="364"/>
      <c r="BF36" s="365"/>
      <c r="BG36" s="364"/>
      <c r="BK36" s="365"/>
      <c r="BL36" s="364"/>
      <c r="BP36" s="365"/>
      <c r="BQ36" s="364"/>
      <c r="BU36" s="365"/>
      <c r="BV36" s="364"/>
      <c r="BZ36" s="365"/>
    </row>
    <row r="37" spans="1:78" ht="14.1" customHeight="1" thickBot="1" x14ac:dyDescent="0.25">
      <c r="C37" s="501" t="s">
        <v>91</v>
      </c>
      <c r="D37" s="108">
        <f t="shared" ref="D37:I37" si="45">IFERROR(D33+D34+D35,"NA")</f>
        <v>91.129000000000033</v>
      </c>
      <c r="E37" s="108">
        <f t="shared" si="45"/>
        <v>104.98100000000014</v>
      </c>
      <c r="F37" s="108">
        <f t="shared" si="45"/>
        <v>113.71900000000002</v>
      </c>
      <c r="G37" s="109">
        <f t="shared" si="45"/>
        <v>138.34000000000015</v>
      </c>
      <c r="H37" s="109">
        <f t="shared" si="45"/>
        <v>253.23499999999996</v>
      </c>
      <c r="I37" s="109">
        <f t="shared" si="45"/>
        <v>357.42199999999957</v>
      </c>
      <c r="J37" s="534">
        <f t="shared" ref="J37:O37" si="46">IFERROR(J33+J34+J35,"NA")</f>
        <v>354.85700000000037</v>
      </c>
      <c r="K37" s="109">
        <f t="shared" si="46"/>
        <v>364.08121536342844</v>
      </c>
      <c r="L37" s="109">
        <f t="shared" si="46"/>
        <v>478.84574933316094</v>
      </c>
      <c r="M37" s="109">
        <f t="shared" si="46"/>
        <v>614.30291382632254</v>
      </c>
      <c r="N37" s="109">
        <f t="shared" si="46"/>
        <v>727.12143764498933</v>
      </c>
      <c r="O37" s="535">
        <f t="shared" si="46"/>
        <v>828.14116608941049</v>
      </c>
      <c r="P37" s="348"/>
      <c r="Q37" s="255"/>
      <c r="R37" s="501" t="str">
        <f t="shared" si="1"/>
        <v>All-In Net Income to Common</v>
      </c>
      <c r="S37" s="109">
        <f t="shared" ref="S37:BZ37" si="47">IFERROR(S33+S34+S35,"NA")</f>
        <v>11.395000000000042</v>
      </c>
      <c r="T37" s="109">
        <f t="shared" si="47"/>
        <v>17.603000000000016</v>
      </c>
      <c r="U37" s="109">
        <f t="shared" si="47"/>
        <v>14.406999999999977</v>
      </c>
      <c r="V37" s="109">
        <f t="shared" si="47"/>
        <v>47.72400000000011</v>
      </c>
      <c r="W37" s="535">
        <f t="shared" si="47"/>
        <v>91.129000000000033</v>
      </c>
      <c r="X37" s="501">
        <f t="shared" si="47"/>
        <v>21.125000000000064</v>
      </c>
      <c r="Y37" s="109">
        <f t="shared" si="47"/>
        <v>30.280999999999999</v>
      </c>
      <c r="Z37" s="109">
        <f t="shared" si="47"/>
        <v>28.194999999999943</v>
      </c>
      <c r="AA37" s="109">
        <f t="shared" si="47"/>
        <v>25.379999999999782</v>
      </c>
      <c r="AB37" s="535">
        <f t="shared" si="47"/>
        <v>104.98100000000014</v>
      </c>
      <c r="AC37" s="501">
        <f t="shared" si="47"/>
        <v>22.259000000000086</v>
      </c>
      <c r="AD37" s="109">
        <f t="shared" si="47"/>
        <v>37.073</v>
      </c>
      <c r="AE37" s="109">
        <f t="shared" si="47"/>
        <v>32.967999999999982</v>
      </c>
      <c r="AF37" s="109">
        <f t="shared" si="47"/>
        <v>21.41899999999989</v>
      </c>
      <c r="AG37" s="535">
        <f t="shared" si="47"/>
        <v>113.71900000000002</v>
      </c>
      <c r="AH37" s="501">
        <f t="shared" si="47"/>
        <v>28.110999999999997</v>
      </c>
      <c r="AI37" s="109">
        <f t="shared" si="47"/>
        <v>28.453999999999958</v>
      </c>
      <c r="AJ37" s="109">
        <f t="shared" si="47"/>
        <v>41.539000000000044</v>
      </c>
      <c r="AK37" s="109">
        <f t="shared" si="47"/>
        <v>40.236000000000054</v>
      </c>
      <c r="AL37" s="535">
        <f t="shared" si="47"/>
        <v>138.34000000000015</v>
      </c>
      <c r="AM37" s="501">
        <f t="shared" si="47"/>
        <v>37.290999999999961</v>
      </c>
      <c r="AN37" s="109">
        <f t="shared" si="47"/>
        <v>62.474000000000032</v>
      </c>
      <c r="AO37" s="109">
        <f t="shared" si="47"/>
        <v>79.712000000000032</v>
      </c>
      <c r="AP37" s="109">
        <f t="shared" si="47"/>
        <v>73.758000000000195</v>
      </c>
      <c r="AQ37" s="535">
        <f t="shared" si="47"/>
        <v>253.23499999999996</v>
      </c>
      <c r="AR37" s="501">
        <f t="shared" si="47"/>
        <v>79.423999999999907</v>
      </c>
      <c r="AS37" s="109">
        <f t="shared" si="47"/>
        <v>109.24499999999995</v>
      </c>
      <c r="AT37" s="109">
        <f t="shared" si="47"/>
        <v>97.890999999999934</v>
      </c>
      <c r="AU37" s="109">
        <f t="shared" si="47"/>
        <v>70.861999999999881</v>
      </c>
      <c r="AV37" s="535">
        <f t="shared" si="47"/>
        <v>357.42199999999957</v>
      </c>
      <c r="AW37" s="501">
        <f t="shared" si="47"/>
        <v>76.096999999999852</v>
      </c>
      <c r="AX37" s="109">
        <f t="shared" si="47"/>
        <v>91.318999999999861</v>
      </c>
      <c r="AY37" s="109">
        <f t="shared" si="47"/>
        <v>98.212999999999795</v>
      </c>
      <c r="AZ37" s="109">
        <f t="shared" si="47"/>
        <v>89.228000000000421</v>
      </c>
      <c r="BA37" s="535">
        <f t="shared" si="47"/>
        <v>354.85700000000037</v>
      </c>
      <c r="BB37" s="501">
        <f t="shared" si="47"/>
        <v>90.694999999999951</v>
      </c>
      <c r="BC37" s="109">
        <f t="shared" si="47"/>
        <v>102.5190000000001</v>
      </c>
      <c r="BD37" s="109">
        <f t="shared" si="47"/>
        <v>92.747999999999948</v>
      </c>
      <c r="BE37" s="109">
        <f t="shared" si="47"/>
        <v>78.119215363428438</v>
      </c>
      <c r="BF37" s="535">
        <f t="shared" si="47"/>
        <v>364.08121536342844</v>
      </c>
      <c r="BG37" s="501">
        <f t="shared" si="47"/>
        <v>116.74929648796635</v>
      </c>
      <c r="BH37" s="109">
        <f t="shared" si="47"/>
        <v>147.55319473943607</v>
      </c>
      <c r="BI37" s="109">
        <f t="shared" si="47"/>
        <v>116.43767911285656</v>
      </c>
      <c r="BJ37" s="109">
        <f t="shared" si="47"/>
        <v>98.105578992901599</v>
      </c>
      <c r="BK37" s="535">
        <f t="shared" si="47"/>
        <v>478.84574933316094</v>
      </c>
      <c r="BL37" s="501">
        <f t="shared" si="47"/>
        <v>132.14125325054874</v>
      </c>
      <c r="BM37" s="109">
        <f t="shared" si="47"/>
        <v>166.45411661557108</v>
      </c>
      <c r="BN37" s="109">
        <f t="shared" si="47"/>
        <v>161.6093574922543</v>
      </c>
      <c r="BO37" s="109">
        <f t="shared" si="47"/>
        <v>154.09818646794736</v>
      </c>
      <c r="BP37" s="535">
        <f t="shared" si="47"/>
        <v>614.30291382632254</v>
      </c>
      <c r="BQ37" s="501">
        <f t="shared" si="47"/>
        <v>157.98665654559878</v>
      </c>
      <c r="BR37" s="109">
        <f t="shared" si="47"/>
        <v>197.26140213071278</v>
      </c>
      <c r="BS37" s="109">
        <f t="shared" si="47"/>
        <v>191.29842681376937</v>
      </c>
      <c r="BT37" s="109">
        <f t="shared" si="47"/>
        <v>180.57495215490815</v>
      </c>
      <c r="BU37" s="535">
        <f t="shared" si="47"/>
        <v>727.12143764498933</v>
      </c>
      <c r="BV37" s="501">
        <f t="shared" si="47"/>
        <v>175.42314320494197</v>
      </c>
      <c r="BW37" s="109">
        <f t="shared" si="47"/>
        <v>226.50898899882534</v>
      </c>
      <c r="BX37" s="109">
        <f>IFERROR(BX33+BX34+BX35,"NA")</f>
        <v>217.4352720901137</v>
      </c>
      <c r="BY37" s="109">
        <f t="shared" si="47"/>
        <v>208.77376179552903</v>
      </c>
      <c r="BZ37" s="535">
        <f t="shared" si="47"/>
        <v>828.14116608941049</v>
      </c>
    </row>
    <row r="38" spans="1:78" ht="3" customHeight="1" x14ac:dyDescent="0.2">
      <c r="C38" s="364"/>
      <c r="J38" s="502"/>
      <c r="O38" s="365"/>
      <c r="R38" s="364"/>
    </row>
    <row r="39" spans="1:78" ht="14.1" customHeight="1" x14ac:dyDescent="0.2">
      <c r="C39" s="364" t="s">
        <v>92</v>
      </c>
      <c r="D39" s="248">
        <f>IFERROR(D37/D44,"NM")</f>
        <v>3.5711654518379197</v>
      </c>
      <c r="E39" s="248">
        <f>IFERROR(E37/E44,"NM")</f>
        <v>4.0750329943327435</v>
      </c>
      <c r="F39" s="248">
        <f>IFERROR(F37/F44,"NM")</f>
        <v>4.3818973489519122</v>
      </c>
      <c r="G39" s="752">
        <f>IFERROR(G37/G44,"NM")</f>
        <v>5.2922723794950324</v>
      </c>
      <c r="H39" s="752">
        <f t="shared" ref="H39:O39" si="48">IFERROR(H37/H44,"NM")</f>
        <v>9.6206595243522521</v>
      </c>
      <c r="I39" s="752">
        <f t="shared" si="48"/>
        <v>13.47745098039214</v>
      </c>
      <c r="J39" s="753">
        <f t="shared" si="48"/>
        <v>13.324459297086225</v>
      </c>
      <c r="K39" s="752">
        <f t="shared" si="48"/>
        <v>13.638554611853472</v>
      </c>
      <c r="L39" s="752">
        <f t="shared" si="48"/>
        <v>17.937656839601459</v>
      </c>
      <c r="M39" s="752">
        <f t="shared" si="48"/>
        <v>23.011909115052351</v>
      </c>
      <c r="N39" s="752">
        <f t="shared" si="48"/>
        <v>27.238113416182404</v>
      </c>
      <c r="O39" s="754">
        <f t="shared" si="48"/>
        <v>31.022332500071567</v>
      </c>
      <c r="P39" s="539"/>
      <c r="Q39" s="539"/>
      <c r="R39" s="540" t="str">
        <f t="shared" si="1"/>
        <v>EPS - Basic</v>
      </c>
      <c r="S39" s="541">
        <f>IFERROR(S37/S44,"NM")</f>
        <v>0.45173439048563097</v>
      </c>
      <c r="T39" s="541">
        <f>IFERROR(T37/T44,"NM")</f>
        <v>0.69028665542527801</v>
      </c>
      <c r="U39" s="541">
        <f>IFERROR(U37/U44,"NM")</f>
        <v>0.56438281035765958</v>
      </c>
      <c r="V39" s="541">
        <f>IFERROR(V37/V44,"NM")</f>
        <v>1.870209264048911</v>
      </c>
      <c r="W39" s="542">
        <f>IFERROR(W37/W44,"NM")</f>
        <v>3.5711654518379197</v>
      </c>
      <c r="X39" s="543">
        <f t="shared" ref="X39:BZ39" si="49">IFERROR(X37/X44,"NM")</f>
        <v>0.82204840843645666</v>
      </c>
      <c r="Y39" s="541">
        <f t="shared" si="49"/>
        <v>1.1313233206306508</v>
      </c>
      <c r="Z39" s="541">
        <f t="shared" si="49"/>
        <v>1.0931684243176156</v>
      </c>
      <c r="AA39" s="541">
        <f t="shared" si="49"/>
        <v>0.98517195869885033</v>
      </c>
      <c r="AB39" s="542">
        <f t="shared" si="49"/>
        <v>4.0750329943327435</v>
      </c>
      <c r="AC39" s="543">
        <f t="shared" si="49"/>
        <v>0.8603177057163871</v>
      </c>
      <c r="AD39" s="541">
        <f t="shared" si="49"/>
        <v>1.4281916942753681</v>
      </c>
      <c r="AE39" s="541">
        <f t="shared" si="49"/>
        <v>1.2690738317037487</v>
      </c>
      <c r="AF39" s="541">
        <f t="shared" si="49"/>
        <v>0.82533138101109316</v>
      </c>
      <c r="AG39" s="542">
        <f t="shared" si="49"/>
        <v>4.3818973489519122</v>
      </c>
      <c r="AH39" s="543">
        <f t="shared" si="49"/>
        <v>1.078289221327196</v>
      </c>
      <c r="AI39" s="541">
        <f t="shared" si="49"/>
        <v>1.0887732455804682</v>
      </c>
      <c r="AJ39" s="541">
        <f t="shared" si="49"/>
        <v>1.5884894837476118</v>
      </c>
      <c r="AK39" s="541">
        <f t="shared" si="49"/>
        <v>1.5392501912777372</v>
      </c>
      <c r="AL39" s="542">
        <f t="shared" si="49"/>
        <v>5.2922723794950324</v>
      </c>
      <c r="AM39" s="543">
        <f t="shared" si="49"/>
        <v>1.4187178999429317</v>
      </c>
      <c r="AN39" s="541">
        <f t="shared" si="49"/>
        <v>2.3725505088865271</v>
      </c>
      <c r="AO39" s="541">
        <f t="shared" si="49"/>
        <v>3.0269613427508175</v>
      </c>
      <c r="AP39" s="541">
        <f t="shared" si="49"/>
        <v>2.802142694324147</v>
      </c>
      <c r="AQ39" s="542">
        <f t="shared" si="49"/>
        <v>9.6206595243522521</v>
      </c>
      <c r="AR39" s="543">
        <f t="shared" si="49"/>
        <v>3.0095108180819183</v>
      </c>
      <c r="AS39" s="541">
        <f t="shared" si="49"/>
        <v>4.1213641679556323</v>
      </c>
      <c r="AT39" s="541">
        <f t="shared" si="49"/>
        <v>3.6885715362296971</v>
      </c>
      <c r="AU39" s="541">
        <f t="shared" si="49"/>
        <v>2.6720211161387586</v>
      </c>
      <c r="AV39" s="542">
        <f t="shared" si="49"/>
        <v>13.47745098039214</v>
      </c>
      <c r="AW39" s="543">
        <f t="shared" si="49"/>
        <v>2.8530668866226701</v>
      </c>
      <c r="AX39" s="541">
        <f t="shared" si="49"/>
        <v>3.4286626116993264</v>
      </c>
      <c r="AY39" s="541">
        <f t="shared" si="49"/>
        <v>3.6861207025972003</v>
      </c>
      <c r="AZ39" s="541">
        <f t="shared" si="49"/>
        <v>3.3504055271853566</v>
      </c>
      <c r="BA39" s="541">
        <f t="shared" si="49"/>
        <v>13.324459297086225</v>
      </c>
      <c r="BB39" s="543">
        <f t="shared" si="49"/>
        <v>3.4003824235152948</v>
      </c>
      <c r="BC39" s="541">
        <f>IFERROR(BC37/BC44,"NM")</f>
        <v>3.8409576261661273</v>
      </c>
      <c r="BD39" s="541">
        <f>IFERROR(BD37/BD44,"NM")</f>
        <v>3.474358494100017</v>
      </c>
      <c r="BE39" s="541">
        <f>IFERROR(BE37/BE44,"NM")</f>
        <v>2.9263613172290106</v>
      </c>
      <c r="BF39" s="541">
        <f>IFERROR(BF37/BF44,"NM")</f>
        <v>13.638554611853472</v>
      </c>
      <c r="BG39" s="543">
        <f t="shared" si="49"/>
        <v>4.3734518257338957</v>
      </c>
      <c r="BH39" s="541">
        <f t="shared" si="49"/>
        <v>5.5273719700107158</v>
      </c>
      <c r="BI39" s="541">
        <f t="shared" si="49"/>
        <v>4.3617785769940642</v>
      </c>
      <c r="BJ39" s="541">
        <f t="shared" si="49"/>
        <v>3.6750544668627683</v>
      </c>
      <c r="BK39" s="542">
        <f t="shared" si="49"/>
        <v>17.937656839601459</v>
      </c>
      <c r="BL39" s="543">
        <f t="shared" si="49"/>
        <v>4.9500375819647404</v>
      </c>
      <c r="BM39" s="541">
        <f t="shared" si="49"/>
        <v>6.2354042560618499</v>
      </c>
      <c r="BN39" s="541">
        <f t="shared" si="49"/>
        <v>6.0539186174285184</v>
      </c>
      <c r="BO39" s="541">
        <f t="shared" si="49"/>
        <v>5.772548659597204</v>
      </c>
      <c r="BP39" s="542">
        <f t="shared" si="49"/>
        <v>23.011909115052351</v>
      </c>
      <c r="BQ39" s="543">
        <f t="shared" si="49"/>
        <v>5.9182115207191899</v>
      </c>
      <c r="BR39" s="541">
        <f t="shared" si="49"/>
        <v>7.3894512879083267</v>
      </c>
      <c r="BS39" s="541">
        <f t="shared" si="49"/>
        <v>7.1660770486521583</v>
      </c>
      <c r="BT39" s="541">
        <f t="shared" si="49"/>
        <v>6.7643735589027214</v>
      </c>
      <c r="BU39" s="542">
        <f t="shared" si="49"/>
        <v>27.238113416182404</v>
      </c>
      <c r="BV39" s="543">
        <f t="shared" si="49"/>
        <v>6.5713857728017215</v>
      </c>
      <c r="BW39" s="541">
        <f t="shared" si="49"/>
        <v>8.4850716987760002</v>
      </c>
      <c r="BX39" s="541">
        <f t="shared" si="49"/>
        <v>8.1451684618885078</v>
      </c>
      <c r="BY39" s="541">
        <f t="shared" si="49"/>
        <v>7.8207065666053204</v>
      </c>
      <c r="BZ39" s="542">
        <f t="shared" si="49"/>
        <v>31.022332500071567</v>
      </c>
    </row>
    <row r="40" spans="1:78" ht="14.1" customHeight="1" x14ac:dyDescent="0.2">
      <c r="C40" s="364" t="s">
        <v>93</v>
      </c>
      <c r="D40" s="248">
        <f>IFERROR((D37+D47)/D45,"NM")</f>
        <v>3.4934064249022478</v>
      </c>
      <c r="E40" s="248">
        <f>IFERROR((E37+E47)/E45,"NM")</f>
        <v>3.9930394431554577</v>
      </c>
      <c r="F40" s="248">
        <f>IFERROR((F37+F47)/F45,"NM")</f>
        <v>4.3018346888594676</v>
      </c>
      <c r="G40" s="752">
        <f>IFERROR((G37+G47)/G45,"NM")</f>
        <v>5.2023164861612576</v>
      </c>
      <c r="H40" s="752">
        <f t="shared" ref="H40:O40" si="50">IFERROR((H37+H47)/H45,"NM")</f>
        <v>9.4819710188340114</v>
      </c>
      <c r="I40" s="752">
        <f t="shared" si="50"/>
        <v>13.399640098972768</v>
      </c>
      <c r="J40" s="753">
        <f t="shared" si="50"/>
        <v>13.259238500915457</v>
      </c>
      <c r="K40" s="752">
        <f t="shared" si="50"/>
        <v>13.590698247916251</v>
      </c>
      <c r="L40" s="752">
        <f t="shared" si="50"/>
        <v>17.874715343355888</v>
      </c>
      <c r="M40" s="752">
        <f t="shared" si="50"/>
        <v>22.931162560241983</v>
      </c>
      <c r="N40" s="752">
        <f t="shared" si="50"/>
        <v>27.142537520810382</v>
      </c>
      <c r="O40" s="754">
        <f t="shared" si="50"/>
        <v>30.913478147351913</v>
      </c>
      <c r="P40" s="539"/>
      <c r="Q40" s="539"/>
      <c r="R40" s="536" t="str">
        <f t="shared" si="1"/>
        <v>EPS - Diluted</v>
      </c>
      <c r="S40" s="537">
        <f>IFERROR((S37+S47)/S45,"NM")</f>
        <v>0.43875861537869326</v>
      </c>
      <c r="T40" s="537">
        <f>IFERROR((T37+T47)/T45,"NM")</f>
        <v>0.67703846153846214</v>
      </c>
      <c r="U40" s="537">
        <f>IFERROR((U37+U47)/U45,"NM")</f>
        <v>0.55171753532723078</v>
      </c>
      <c r="V40" s="537">
        <f>IFERROR((V37+V47)/V45,"NM")</f>
        <v>1.8294870811929813</v>
      </c>
      <c r="W40" s="538">
        <f>IFERROR((W37+W47)/W45,"NM")</f>
        <v>3.4934064249022478</v>
      </c>
      <c r="X40" s="544">
        <f t="shared" ref="X40:BZ40" si="51">IFERROR((X37+X47)/X45,"NM")</f>
        <v>0.80298768435457135</v>
      </c>
      <c r="Y40" s="537">
        <f t="shared" si="51"/>
        <v>1.1490096380056158</v>
      </c>
      <c r="Z40" s="537">
        <f t="shared" si="51"/>
        <v>1.0698565682628802</v>
      </c>
      <c r="AA40" s="537">
        <f t="shared" si="51"/>
        <v>0.96534935909626041</v>
      </c>
      <c r="AB40" s="538">
        <f t="shared" si="51"/>
        <v>3.9930394431554577</v>
      </c>
      <c r="AC40" s="544">
        <f t="shared" si="51"/>
        <v>0.84564242838690395</v>
      </c>
      <c r="AD40" s="537">
        <f t="shared" si="51"/>
        <v>1.4039612209346362</v>
      </c>
      <c r="AE40" s="537">
        <f t="shared" si="51"/>
        <v>1.2459561602418738</v>
      </c>
      <c r="AF40" s="537">
        <f t="shared" si="51"/>
        <v>0.81025156043124236</v>
      </c>
      <c r="AG40" s="538">
        <f t="shared" si="51"/>
        <v>4.3018346888594676</v>
      </c>
      <c r="AH40" s="544">
        <f t="shared" si="51"/>
        <v>1.06111278876642</v>
      </c>
      <c r="AI40" s="537">
        <f t="shared" si="51"/>
        <v>1.0709473446497784</v>
      </c>
      <c r="AJ40" s="537">
        <f t="shared" si="51"/>
        <v>1.560736426826979</v>
      </c>
      <c r="AK40" s="537">
        <f t="shared" si="51"/>
        <v>1.5130866425992802</v>
      </c>
      <c r="AL40" s="538">
        <f t="shared" si="51"/>
        <v>5.2023164861612576</v>
      </c>
      <c r="AM40" s="544">
        <f t="shared" si="51"/>
        <v>1.398185294889579</v>
      </c>
      <c r="AN40" s="537">
        <f t="shared" si="51"/>
        <v>2.339499700419414</v>
      </c>
      <c r="AO40" s="537">
        <f t="shared" si="51"/>
        <v>2.9840152734623602</v>
      </c>
      <c r="AP40" s="537">
        <f t="shared" si="51"/>
        <v>2.761747856367252</v>
      </c>
      <c r="AQ40" s="538">
        <f t="shared" si="51"/>
        <v>9.4819710188340114</v>
      </c>
      <c r="AR40" s="544">
        <f t="shared" si="51"/>
        <v>2.97802774653168</v>
      </c>
      <c r="AS40" s="537">
        <f t="shared" si="51"/>
        <v>4.0969435589724341</v>
      </c>
      <c r="AT40" s="537">
        <f t="shared" si="51"/>
        <v>3.6696281301544436</v>
      </c>
      <c r="AU40" s="537">
        <f t="shared" si="51"/>
        <v>2.6565944365299496</v>
      </c>
      <c r="AV40" s="538">
        <f t="shared" si="51"/>
        <v>13.399640098972768</v>
      </c>
      <c r="AW40" s="544">
        <f t="shared" si="51"/>
        <v>2.8400761364484532</v>
      </c>
      <c r="AX40" s="537">
        <f t="shared" si="51"/>
        <v>3.4155819868342259</v>
      </c>
      <c r="AY40" s="537">
        <f t="shared" si="51"/>
        <v>3.6675379961910375</v>
      </c>
      <c r="AZ40" s="537">
        <f t="shared" si="51"/>
        <v>3.3340059036729968</v>
      </c>
      <c r="BA40" s="537">
        <f t="shared" si="51"/>
        <v>13.259238500915457</v>
      </c>
      <c r="BB40" s="544">
        <f t="shared" si="51"/>
        <v>3.3848996043890405</v>
      </c>
      <c r="BC40" s="537">
        <f>IFERROR((BC37+BC47)/BC45,"NM")</f>
        <v>3.8250503693754236</v>
      </c>
      <c r="BD40" s="537">
        <f>IFERROR((BD37+BD47)/BD45,"NM")</f>
        <v>3.4621673074769475</v>
      </c>
      <c r="BE40" s="537">
        <f>IFERROR((BE37+BE47)/BE45,"NM")</f>
        <v>2.9160929994933902</v>
      </c>
      <c r="BF40" s="537">
        <f>IFERROR((BF37+BF47)/BF45,"NM")</f>
        <v>13.590698247916251</v>
      </c>
      <c r="BG40" s="544">
        <f t="shared" si="51"/>
        <v>4.3581058079049741</v>
      </c>
      <c r="BH40" s="537">
        <f t="shared" si="51"/>
        <v>5.507976958432045</v>
      </c>
      <c r="BI40" s="537">
        <f t="shared" si="51"/>
        <v>4.3464735194615907</v>
      </c>
      <c r="BJ40" s="537">
        <f t="shared" si="51"/>
        <v>3.662159057557266</v>
      </c>
      <c r="BK40" s="538">
        <f t="shared" si="51"/>
        <v>17.874715343355888</v>
      </c>
      <c r="BL40" s="544">
        <f t="shared" si="51"/>
        <v>4.9326683806991207</v>
      </c>
      <c r="BM40" s="537">
        <f t="shared" si="51"/>
        <v>6.2135248279357596</v>
      </c>
      <c r="BN40" s="537">
        <f t="shared" si="51"/>
        <v>6.0326760047875734</v>
      </c>
      <c r="BO40" s="537">
        <f t="shared" si="51"/>
        <v>5.7522933468194912</v>
      </c>
      <c r="BP40" s="538">
        <f t="shared" si="51"/>
        <v>22.931162560241983</v>
      </c>
      <c r="BQ40" s="544">
        <f t="shared" si="51"/>
        <v>5.8974450911045118</v>
      </c>
      <c r="BR40" s="537">
        <f t="shared" si="51"/>
        <v>7.3635224207963255</v>
      </c>
      <c r="BS40" s="537">
        <f t="shared" si="51"/>
        <v>7.1409319800578359</v>
      </c>
      <c r="BT40" s="537">
        <f t="shared" si="51"/>
        <v>6.7406380288516976</v>
      </c>
      <c r="BU40" s="538">
        <f t="shared" si="51"/>
        <v>27.142537520810382</v>
      </c>
      <c r="BV40" s="544">
        <f t="shared" si="51"/>
        <v>6.548327418154539</v>
      </c>
      <c r="BW40" s="537">
        <f t="shared" si="51"/>
        <v>8.4552984060183416</v>
      </c>
      <c r="BX40" s="537">
        <f t="shared" si="51"/>
        <v>8.1165878565871701</v>
      </c>
      <c r="BY40" s="537">
        <f t="shared" si="51"/>
        <v>7.7932644665918476</v>
      </c>
      <c r="BZ40" s="538">
        <f t="shared" si="51"/>
        <v>30.913478147351913</v>
      </c>
    </row>
    <row r="41" spans="1:78" ht="3" customHeight="1" x14ac:dyDescent="0.2">
      <c r="C41" s="364"/>
      <c r="J41" s="502"/>
      <c r="O41" s="365"/>
      <c r="R41" s="364"/>
      <c r="W41" s="365"/>
      <c r="X41" s="364"/>
      <c r="AB41" s="365"/>
      <c r="AC41" s="364"/>
      <c r="AG41" s="365"/>
      <c r="AH41" s="364"/>
      <c r="AL41" s="365"/>
      <c r="AM41" s="364"/>
      <c r="AQ41" s="365"/>
      <c r="AR41" s="364"/>
      <c r="AV41" s="365"/>
      <c r="AW41" s="364"/>
      <c r="BA41" s="365"/>
      <c r="BB41" s="364"/>
      <c r="BF41" s="365"/>
      <c r="BG41" s="364"/>
      <c r="BK41" s="365"/>
      <c r="BL41" s="364"/>
      <c r="BP41" s="365"/>
      <c r="BQ41" s="364"/>
      <c r="BU41" s="365"/>
      <c r="BV41" s="364"/>
      <c r="BZ41" s="365"/>
    </row>
    <row r="42" spans="1:78" s="104" customFormat="1" ht="14.1" customHeight="1" x14ac:dyDescent="0.2">
      <c r="A42"/>
      <c r="B42"/>
      <c r="C42" s="455" t="s">
        <v>94</v>
      </c>
      <c r="D42" s="457">
        <f>D68</f>
        <v>0.37845817873895538</v>
      </c>
      <c r="E42" s="457">
        <f t="shared" ref="E42:J42" si="52">E68</f>
        <v>0.24289384759226373</v>
      </c>
      <c r="F42" s="457">
        <f t="shared" si="52"/>
        <v>0.24481766358454024</v>
      </c>
      <c r="G42" s="457">
        <f t="shared" si="52"/>
        <v>0.24212891001713183</v>
      </c>
      <c r="H42" s="457">
        <f t="shared" si="52"/>
        <v>0.24428364080018514</v>
      </c>
      <c r="I42" s="457">
        <f t="shared" si="52"/>
        <v>0.24476976720336399</v>
      </c>
      <c r="J42" s="507">
        <f t="shared" si="52"/>
        <v>0.24341790586988721</v>
      </c>
      <c r="K42" s="457">
        <f>BF42</f>
        <v>0.24341790586988721</v>
      </c>
      <c r="L42" s="457">
        <f>BK42</f>
        <v>0.24241790586988721</v>
      </c>
      <c r="M42" s="457">
        <f>BP42</f>
        <v>0.24241790586988721</v>
      </c>
      <c r="N42" s="457">
        <f>BU42</f>
        <v>0.24141790586988721</v>
      </c>
      <c r="O42" s="458">
        <f>BZ42</f>
        <v>0.24141790586988721</v>
      </c>
      <c r="R42" s="485" t="str">
        <f t="shared" si="1"/>
        <v>Marginal Tax Rate %</v>
      </c>
      <c r="S42" s="457">
        <f>W42</f>
        <v>0.37845817873895538</v>
      </c>
      <c r="T42" s="457">
        <f>W42</f>
        <v>0.37845817873895538</v>
      </c>
      <c r="U42" s="457">
        <f>W42</f>
        <v>0.37845817873895538</v>
      </c>
      <c r="V42" s="457">
        <f>W42</f>
        <v>0.37845817873895538</v>
      </c>
      <c r="W42" s="458">
        <f>W68</f>
        <v>0.37845817873895538</v>
      </c>
      <c r="X42" s="485">
        <f>AB42</f>
        <v>0.24289384759226373</v>
      </c>
      <c r="Y42" s="457">
        <f>AB42</f>
        <v>0.24289384759226373</v>
      </c>
      <c r="Z42" s="457">
        <f>AB42</f>
        <v>0.24289384759226373</v>
      </c>
      <c r="AA42" s="457">
        <f>AB42</f>
        <v>0.24289384759226373</v>
      </c>
      <c r="AB42" s="458">
        <f>AB68</f>
        <v>0.24289384759226373</v>
      </c>
      <c r="AC42" s="485">
        <f>AG42</f>
        <v>0.24481766358454024</v>
      </c>
      <c r="AD42" s="457">
        <f>AG42</f>
        <v>0.24481766358454024</v>
      </c>
      <c r="AE42" s="457">
        <f>AG42</f>
        <v>0.24481766358454024</v>
      </c>
      <c r="AF42" s="457">
        <f>AG42</f>
        <v>0.24481766358454024</v>
      </c>
      <c r="AG42" s="458">
        <f>AG68</f>
        <v>0.24481766358454024</v>
      </c>
      <c r="AH42" s="485">
        <f>AL42</f>
        <v>0.24212891001713183</v>
      </c>
      <c r="AI42" s="457">
        <f>AL42</f>
        <v>0.24212891001713183</v>
      </c>
      <c r="AJ42" s="457">
        <f>AL42</f>
        <v>0.24212891001713183</v>
      </c>
      <c r="AK42" s="457">
        <f>AL42</f>
        <v>0.24212891001713183</v>
      </c>
      <c r="AL42" s="458">
        <f>AL68</f>
        <v>0.24212891001713183</v>
      </c>
      <c r="AM42" s="485">
        <f>AQ42</f>
        <v>0.24428364080018514</v>
      </c>
      <c r="AN42" s="457">
        <f>AQ42</f>
        <v>0.24428364080018514</v>
      </c>
      <c r="AO42" s="457">
        <f>AQ42</f>
        <v>0.24428364080018514</v>
      </c>
      <c r="AP42" s="457">
        <f>AQ42</f>
        <v>0.24428364080018514</v>
      </c>
      <c r="AQ42" s="458">
        <f>AQ68</f>
        <v>0.24428364080018514</v>
      </c>
      <c r="AR42" s="485">
        <f>AV42</f>
        <v>0.24476976720336399</v>
      </c>
      <c r="AS42" s="457">
        <f>AV42</f>
        <v>0.24476976720336399</v>
      </c>
      <c r="AT42" s="457">
        <f>AV42</f>
        <v>0.24476976720336399</v>
      </c>
      <c r="AU42" s="457">
        <f>AV42</f>
        <v>0.24476976720336399</v>
      </c>
      <c r="AV42" s="458">
        <f>AV68</f>
        <v>0.24476976720336399</v>
      </c>
      <c r="AW42" s="485">
        <f>BA42</f>
        <v>0.24341790586988721</v>
      </c>
      <c r="AX42" s="457">
        <f>BA42</f>
        <v>0.24341790586988721</v>
      </c>
      <c r="AY42" s="457">
        <f>BA42</f>
        <v>0.24341790586988721</v>
      </c>
      <c r="AZ42" s="457">
        <f>BA42</f>
        <v>0.24341790586988721</v>
      </c>
      <c r="BA42" s="458">
        <f>BA68</f>
        <v>0.24341790586988721</v>
      </c>
      <c r="BB42" s="485">
        <f>BF42</f>
        <v>0.24341790586988721</v>
      </c>
      <c r="BC42" s="457">
        <f>BF42</f>
        <v>0.24341790586988721</v>
      </c>
      <c r="BD42" s="457">
        <f>BF42</f>
        <v>0.24341790586988721</v>
      </c>
      <c r="BE42" s="457">
        <f>BF42</f>
        <v>0.24341790586988721</v>
      </c>
      <c r="BF42" s="458">
        <f>BF68</f>
        <v>0.24341790586988721</v>
      </c>
      <c r="BG42" s="485">
        <f>BK42</f>
        <v>0.24241790586988721</v>
      </c>
      <c r="BH42" s="457">
        <f>BK42</f>
        <v>0.24241790586988721</v>
      </c>
      <c r="BI42" s="457">
        <f>BK42</f>
        <v>0.24241790586988721</v>
      </c>
      <c r="BJ42" s="457">
        <f>BK42</f>
        <v>0.24241790586988721</v>
      </c>
      <c r="BK42" s="458">
        <f>BK68</f>
        <v>0.24241790586988721</v>
      </c>
      <c r="BL42" s="485">
        <f>BP42</f>
        <v>0.24241790586988721</v>
      </c>
      <c r="BM42" s="457">
        <f>BP42</f>
        <v>0.24241790586988721</v>
      </c>
      <c r="BN42" s="457">
        <f>BP42</f>
        <v>0.24241790586988721</v>
      </c>
      <c r="BO42" s="457">
        <f>BP42</f>
        <v>0.24241790586988721</v>
      </c>
      <c r="BP42" s="458">
        <f>BP68</f>
        <v>0.24241790586988721</v>
      </c>
      <c r="BQ42" s="485">
        <f>BU42</f>
        <v>0.24141790586988721</v>
      </c>
      <c r="BR42" s="457">
        <f>BU42</f>
        <v>0.24141790586988721</v>
      </c>
      <c r="BS42" s="457">
        <f>BU42</f>
        <v>0.24141790586988721</v>
      </c>
      <c r="BT42" s="457">
        <f>BU42</f>
        <v>0.24141790586988721</v>
      </c>
      <c r="BU42" s="458">
        <f>BU68</f>
        <v>0.24141790586988721</v>
      </c>
      <c r="BV42" s="485">
        <f>BZ42</f>
        <v>0.24141790586988721</v>
      </c>
      <c r="BW42" s="457">
        <f>BZ42</f>
        <v>0.24141790586988721</v>
      </c>
      <c r="BX42" s="457">
        <f>BZ42</f>
        <v>0.24141790586988721</v>
      </c>
      <c r="BY42" s="457">
        <f>BZ42</f>
        <v>0.24141790586988721</v>
      </c>
      <c r="BZ42" s="458">
        <f>BZ68</f>
        <v>0.24141790586988721</v>
      </c>
    </row>
    <row r="43" spans="1:78" ht="3" customHeight="1" x14ac:dyDescent="0.2">
      <c r="C43" s="364"/>
      <c r="J43" s="502"/>
      <c r="O43" s="365"/>
      <c r="R43" s="364"/>
      <c r="W43" s="365"/>
      <c r="X43" s="364"/>
      <c r="AB43" s="365"/>
      <c r="AC43" s="364"/>
      <c r="AG43" s="365"/>
      <c r="AH43" s="364"/>
      <c r="AL43" s="365"/>
      <c r="AM43" s="364"/>
      <c r="AQ43" s="365"/>
      <c r="AR43" s="364"/>
      <c r="AV43" s="365"/>
      <c r="AW43" s="364"/>
      <c r="BA43" s="365"/>
      <c r="BB43" s="364"/>
      <c r="BF43" s="365"/>
      <c r="BG43" s="364"/>
      <c r="BK43" s="365"/>
      <c r="BL43" s="364"/>
      <c r="BP43" s="365"/>
      <c r="BQ43" s="364"/>
      <c r="BU43" s="365"/>
      <c r="BV43" s="364"/>
      <c r="BZ43" s="365"/>
    </row>
    <row r="44" spans="1:78" ht="14.1" customHeight="1" x14ac:dyDescent="0.2">
      <c r="C44" s="353" t="s">
        <v>95</v>
      </c>
      <c r="D44" s="247">
        <f>W44</f>
        <v>25.518000000000001</v>
      </c>
      <c r="E44" s="247">
        <f>AB44</f>
        <v>25.762</v>
      </c>
      <c r="F44" s="247">
        <f>AG44</f>
        <v>25.952000000000002</v>
      </c>
      <c r="G44" s="247">
        <f>AL44</f>
        <v>26.14</v>
      </c>
      <c r="H44" s="247">
        <f>AQ44</f>
        <v>26.321999999999999</v>
      </c>
      <c r="I44" s="247">
        <f>AV44</f>
        <v>26.52</v>
      </c>
      <c r="J44" s="545">
        <f>BA44</f>
        <v>26.632000000000001</v>
      </c>
      <c r="K44" s="247">
        <f>BF44</f>
        <v>26.695</v>
      </c>
      <c r="L44" s="247">
        <f>BK44</f>
        <v>26.695</v>
      </c>
      <c r="M44" s="247">
        <f>BP44</f>
        <v>26.695</v>
      </c>
      <c r="N44" s="247">
        <f>BU44</f>
        <v>26.695</v>
      </c>
      <c r="O44" s="354">
        <f>BZ44</f>
        <v>26.695</v>
      </c>
      <c r="P44" s="247"/>
      <c r="Q44" s="247"/>
      <c r="R44" s="353" t="str">
        <f t="shared" si="1"/>
        <v>Average Basic Shares</v>
      </c>
      <c r="S44" s="247">
        <v>25.225000000000001</v>
      </c>
      <c r="T44" s="247">
        <v>25.501000000000001</v>
      </c>
      <c r="U44" s="247">
        <v>25.527000000000001</v>
      </c>
      <c r="V44" s="247">
        <f>W44</f>
        <v>25.518000000000001</v>
      </c>
      <c r="W44" s="354">
        <v>25.518000000000001</v>
      </c>
      <c r="X44" s="353">
        <v>25.698</v>
      </c>
      <c r="Y44" s="247">
        <v>26.765999999999998</v>
      </c>
      <c r="Z44" s="247">
        <v>25.792000000000002</v>
      </c>
      <c r="AA44" s="247">
        <f>AB44</f>
        <v>25.762</v>
      </c>
      <c r="AB44" s="354">
        <v>25.762</v>
      </c>
      <c r="AC44" s="353">
        <v>25.873000000000001</v>
      </c>
      <c r="AD44" s="247">
        <v>25.957999999999998</v>
      </c>
      <c r="AE44" s="247">
        <v>25.978000000000002</v>
      </c>
      <c r="AF44" s="247">
        <f>AG44</f>
        <v>25.952000000000002</v>
      </c>
      <c r="AG44" s="354">
        <v>25.952000000000002</v>
      </c>
      <c r="AH44" s="353">
        <v>26.07</v>
      </c>
      <c r="AI44" s="247">
        <v>26.134</v>
      </c>
      <c r="AJ44" s="247">
        <v>26.15</v>
      </c>
      <c r="AK44" s="247">
        <f>AL44</f>
        <v>26.14</v>
      </c>
      <c r="AL44" s="354">
        <v>26.14</v>
      </c>
      <c r="AM44" s="353">
        <v>26.285</v>
      </c>
      <c r="AN44" s="247">
        <v>26.332000000000001</v>
      </c>
      <c r="AO44" s="247">
        <v>26.334</v>
      </c>
      <c r="AP44" s="247">
        <f>AQ44</f>
        <v>26.321999999999999</v>
      </c>
      <c r="AQ44" s="354">
        <v>26.321999999999999</v>
      </c>
      <c r="AR44" s="353">
        <v>26.390999999999998</v>
      </c>
      <c r="AS44" s="247">
        <v>26.507000000000001</v>
      </c>
      <c r="AT44" s="247">
        <v>26.539000000000001</v>
      </c>
      <c r="AU44" s="247">
        <f>AV44</f>
        <v>26.52</v>
      </c>
      <c r="AV44" s="354">
        <v>26.52</v>
      </c>
      <c r="AW44" s="353">
        <v>26.672000000000001</v>
      </c>
      <c r="AX44" s="247">
        <v>26.634</v>
      </c>
      <c r="AY44" s="247">
        <v>26.643999999999998</v>
      </c>
      <c r="AZ44" s="247">
        <f>BA44</f>
        <v>26.632000000000001</v>
      </c>
      <c r="BA44" s="354">
        <v>26.632000000000001</v>
      </c>
      <c r="BB44" s="353">
        <v>26.672000000000001</v>
      </c>
      <c r="BC44" s="247">
        <v>26.690999999999999</v>
      </c>
      <c r="BD44" s="247">
        <v>26.695</v>
      </c>
      <c r="BE44" s="1332">
        <f>BD44</f>
        <v>26.695</v>
      </c>
      <c r="BF44" s="1333">
        <f>BE44</f>
        <v>26.695</v>
      </c>
      <c r="BG44" s="1334">
        <f t="shared" ref="BG44:BZ44" si="53">BF44</f>
        <v>26.695</v>
      </c>
      <c r="BH44" s="1332">
        <f t="shared" si="53"/>
        <v>26.695</v>
      </c>
      <c r="BI44" s="1332">
        <f t="shared" si="53"/>
        <v>26.695</v>
      </c>
      <c r="BJ44" s="1332">
        <f t="shared" si="53"/>
        <v>26.695</v>
      </c>
      <c r="BK44" s="1333">
        <f t="shared" si="53"/>
        <v>26.695</v>
      </c>
      <c r="BL44" s="1334">
        <f t="shared" si="53"/>
        <v>26.695</v>
      </c>
      <c r="BM44" s="1332">
        <f t="shared" si="53"/>
        <v>26.695</v>
      </c>
      <c r="BN44" s="1332">
        <f t="shared" si="53"/>
        <v>26.695</v>
      </c>
      <c r="BO44" s="1332">
        <f t="shared" si="53"/>
        <v>26.695</v>
      </c>
      <c r="BP44" s="1333">
        <f t="shared" si="53"/>
        <v>26.695</v>
      </c>
      <c r="BQ44" s="1334">
        <f t="shared" si="53"/>
        <v>26.695</v>
      </c>
      <c r="BR44" s="1332">
        <f t="shared" si="53"/>
        <v>26.695</v>
      </c>
      <c r="BS44" s="1332">
        <f t="shared" si="53"/>
        <v>26.695</v>
      </c>
      <c r="BT44" s="1332">
        <f t="shared" si="53"/>
        <v>26.695</v>
      </c>
      <c r="BU44" s="1333">
        <f t="shared" si="53"/>
        <v>26.695</v>
      </c>
      <c r="BV44" s="1334">
        <f t="shared" si="53"/>
        <v>26.695</v>
      </c>
      <c r="BW44" s="1332">
        <f t="shared" si="53"/>
        <v>26.695</v>
      </c>
      <c r="BX44" s="1332">
        <f t="shared" si="53"/>
        <v>26.695</v>
      </c>
      <c r="BY44" s="1332">
        <f t="shared" si="53"/>
        <v>26.695</v>
      </c>
      <c r="BZ44" s="1333">
        <f t="shared" si="53"/>
        <v>26.695</v>
      </c>
    </row>
    <row r="45" spans="1:78" ht="14.1" customHeight="1" x14ac:dyDescent="0.2">
      <c r="C45" s="546" t="s">
        <v>107</v>
      </c>
      <c r="D45" s="547">
        <f>W45</f>
        <v>26.085999999999999</v>
      </c>
      <c r="E45" s="547">
        <f>AB45</f>
        <v>26.291</v>
      </c>
      <c r="F45" s="547">
        <f>AG45</f>
        <v>26.434999999999999</v>
      </c>
      <c r="G45" s="547">
        <f>AL45</f>
        <v>26.591999999999999</v>
      </c>
      <c r="H45" s="547">
        <f>AQ45</f>
        <v>26.707000000000001</v>
      </c>
      <c r="I45" s="547">
        <f>AV45</f>
        <v>26.673999999999999</v>
      </c>
      <c r="J45" s="548">
        <f>BA45</f>
        <v>26.763000000000002</v>
      </c>
      <c r="K45" s="547">
        <f>BF45</f>
        <v>26.789000000000001</v>
      </c>
      <c r="L45" s="547">
        <f>BK45</f>
        <v>26.789000000000001</v>
      </c>
      <c r="M45" s="547">
        <f>BP45</f>
        <v>26.789000000000001</v>
      </c>
      <c r="N45" s="547">
        <f>BU45</f>
        <v>26.789000000000001</v>
      </c>
      <c r="O45" s="549">
        <f>BZ45</f>
        <v>26.789000000000001</v>
      </c>
      <c r="P45" s="353"/>
      <c r="Q45" s="354"/>
      <c r="R45" s="546" t="str">
        <f>C45</f>
        <v>Average Diluted Shaers</v>
      </c>
      <c r="S45" s="547">
        <v>25.971</v>
      </c>
      <c r="T45" s="547">
        <v>26</v>
      </c>
      <c r="U45" s="547">
        <v>26.113</v>
      </c>
      <c r="V45" s="547">
        <f>W45</f>
        <v>26.085999999999999</v>
      </c>
      <c r="W45" s="549">
        <v>26.085999999999999</v>
      </c>
      <c r="X45" s="546">
        <v>26.308</v>
      </c>
      <c r="Y45" s="547">
        <v>26.353999999999999</v>
      </c>
      <c r="Z45" s="547">
        <v>26.353999999999999</v>
      </c>
      <c r="AA45" s="547">
        <f>AB45</f>
        <v>26.291</v>
      </c>
      <c r="AB45" s="549">
        <v>26.291</v>
      </c>
      <c r="AC45" s="546">
        <v>26.321999999999999</v>
      </c>
      <c r="AD45" s="547">
        <v>26.405999999999999</v>
      </c>
      <c r="AE45" s="547">
        <v>26.46</v>
      </c>
      <c r="AF45" s="547">
        <f>AG45</f>
        <v>26.434999999999999</v>
      </c>
      <c r="AG45" s="549">
        <v>26.434999999999999</v>
      </c>
      <c r="AH45" s="546">
        <v>26.492000000000001</v>
      </c>
      <c r="AI45" s="547">
        <v>26.568999999999999</v>
      </c>
      <c r="AJ45" s="547">
        <v>26.614999999999998</v>
      </c>
      <c r="AK45" s="547">
        <f>AL45</f>
        <v>26.591999999999999</v>
      </c>
      <c r="AL45" s="549">
        <v>26.591999999999999</v>
      </c>
      <c r="AM45" s="546">
        <v>26.670999999999999</v>
      </c>
      <c r="AN45" s="547">
        <v>26.704000000000001</v>
      </c>
      <c r="AO45" s="547">
        <v>26.713000000000001</v>
      </c>
      <c r="AP45" s="547">
        <f>AQ45</f>
        <v>26.707000000000001</v>
      </c>
      <c r="AQ45" s="549">
        <v>26.707000000000001</v>
      </c>
      <c r="AR45" s="546">
        <v>26.67</v>
      </c>
      <c r="AS45" s="547">
        <v>26.664999999999999</v>
      </c>
      <c r="AT45" s="547">
        <v>26.675999999999998</v>
      </c>
      <c r="AU45" s="547">
        <f>AV45</f>
        <v>26.673999999999999</v>
      </c>
      <c r="AV45" s="549">
        <v>26.673999999999999</v>
      </c>
      <c r="AW45" s="546">
        <v>26.794</v>
      </c>
      <c r="AX45" s="547">
        <v>26.736000000000001</v>
      </c>
      <c r="AY45" s="547">
        <v>26.779</v>
      </c>
      <c r="AZ45" s="547">
        <f>BA45</f>
        <v>26.763000000000002</v>
      </c>
      <c r="BA45" s="549">
        <v>26.763000000000002</v>
      </c>
      <c r="BB45" s="546">
        <v>26.794</v>
      </c>
      <c r="BC45" s="547">
        <v>26.802</v>
      </c>
      <c r="BD45" s="547">
        <v>26.789000000000001</v>
      </c>
      <c r="BE45" s="1335">
        <f>BD45</f>
        <v>26.789000000000001</v>
      </c>
      <c r="BF45" s="1336">
        <f>BE45</f>
        <v>26.789000000000001</v>
      </c>
      <c r="BG45" s="1337">
        <f t="shared" ref="BG45:BZ45" si="54">BF45</f>
        <v>26.789000000000001</v>
      </c>
      <c r="BH45" s="1335">
        <f t="shared" si="54"/>
        <v>26.789000000000001</v>
      </c>
      <c r="BI45" s="1335">
        <f t="shared" si="54"/>
        <v>26.789000000000001</v>
      </c>
      <c r="BJ45" s="1335">
        <f t="shared" si="54"/>
        <v>26.789000000000001</v>
      </c>
      <c r="BK45" s="1336">
        <f t="shared" si="54"/>
        <v>26.789000000000001</v>
      </c>
      <c r="BL45" s="1337">
        <f t="shared" si="54"/>
        <v>26.789000000000001</v>
      </c>
      <c r="BM45" s="1335">
        <f t="shared" si="54"/>
        <v>26.789000000000001</v>
      </c>
      <c r="BN45" s="1335">
        <f t="shared" si="54"/>
        <v>26.789000000000001</v>
      </c>
      <c r="BO45" s="1335">
        <f t="shared" si="54"/>
        <v>26.789000000000001</v>
      </c>
      <c r="BP45" s="1336">
        <f t="shared" si="54"/>
        <v>26.789000000000001</v>
      </c>
      <c r="BQ45" s="1337">
        <f t="shared" si="54"/>
        <v>26.789000000000001</v>
      </c>
      <c r="BR45" s="1335">
        <f t="shared" si="54"/>
        <v>26.789000000000001</v>
      </c>
      <c r="BS45" s="1335">
        <f t="shared" si="54"/>
        <v>26.789000000000001</v>
      </c>
      <c r="BT45" s="1335">
        <f t="shared" si="54"/>
        <v>26.789000000000001</v>
      </c>
      <c r="BU45" s="1336">
        <f t="shared" si="54"/>
        <v>26.789000000000001</v>
      </c>
      <c r="BV45" s="1337">
        <f t="shared" si="54"/>
        <v>26.789000000000001</v>
      </c>
      <c r="BW45" s="1335">
        <f t="shared" si="54"/>
        <v>26.789000000000001</v>
      </c>
      <c r="BX45" s="1335">
        <f t="shared" si="54"/>
        <v>26.789000000000001</v>
      </c>
      <c r="BY45" s="1335">
        <f t="shared" si="54"/>
        <v>26.789000000000001</v>
      </c>
      <c r="BZ45" s="1336">
        <f t="shared" si="54"/>
        <v>26.789000000000001</v>
      </c>
    </row>
    <row r="46" spans="1:78" ht="2.1" customHeight="1" x14ac:dyDescent="0.2">
      <c r="C46" s="107"/>
      <c r="D46" s="107"/>
      <c r="E46" s="107"/>
      <c r="F46" s="107"/>
      <c r="G46" s="107"/>
      <c r="H46" s="107"/>
      <c r="I46" s="107"/>
      <c r="J46" s="107"/>
      <c r="K46" s="107"/>
      <c r="L46" s="107"/>
      <c r="M46" s="107"/>
      <c r="N46" s="107"/>
      <c r="O46" s="107"/>
      <c r="R46" s="107"/>
      <c r="S46" s="107"/>
      <c r="T46" s="107"/>
      <c r="U46" s="107"/>
      <c r="V46" s="107"/>
      <c r="W46" s="107"/>
      <c r="X46" s="107"/>
      <c r="Y46" s="107"/>
      <c r="Z46" s="107"/>
      <c r="AA46" s="107"/>
      <c r="AB46" s="107"/>
      <c r="AC46" s="107"/>
      <c r="AD46" s="107"/>
      <c r="AE46" s="107"/>
      <c r="AF46" s="107"/>
      <c r="AG46" s="107"/>
      <c r="AH46" s="107"/>
      <c r="AI46" s="107"/>
      <c r="AJ46" s="107"/>
      <c r="AK46" s="107"/>
      <c r="AL46" s="107"/>
      <c r="AM46" s="107"/>
      <c r="AN46" s="107"/>
      <c r="AO46" s="107"/>
      <c r="AP46" s="107"/>
      <c r="AQ46" s="107"/>
      <c r="AR46" s="107"/>
      <c r="AS46" s="107"/>
      <c r="AT46" s="107"/>
      <c r="AU46" s="107"/>
      <c r="AV46" s="107"/>
      <c r="AW46" s="107"/>
      <c r="AX46" s="107"/>
      <c r="AY46" s="107"/>
      <c r="AZ46" s="107"/>
      <c r="BA46" s="107"/>
      <c r="BB46" s="107"/>
      <c r="BC46" s="107"/>
      <c r="BD46" s="107"/>
      <c r="BE46" s="107"/>
      <c r="BF46" s="107"/>
      <c r="BG46" s="107"/>
      <c r="BH46" s="107"/>
      <c r="BI46" s="107"/>
      <c r="BJ46" s="107"/>
      <c r="BK46" s="107"/>
      <c r="BL46" s="107"/>
      <c r="BM46" s="107"/>
      <c r="BN46" s="107"/>
      <c r="BO46" s="107"/>
      <c r="BP46" s="107"/>
      <c r="BQ46" s="107"/>
      <c r="BR46" s="107"/>
      <c r="BS46" s="107"/>
      <c r="BT46" s="107"/>
      <c r="BU46" s="107"/>
      <c r="BV46" s="107"/>
      <c r="BW46" s="107"/>
      <c r="BX46" s="107"/>
      <c r="BY46" s="107"/>
      <c r="BZ46" s="107"/>
    </row>
    <row r="47" spans="1:78" ht="14.1" customHeight="1" x14ac:dyDescent="0.2">
      <c r="C47" s="530" t="s">
        <v>320</v>
      </c>
      <c r="D47" s="380"/>
      <c r="E47" s="380"/>
      <c r="F47" s="380"/>
      <c r="G47" s="380">
        <f>AL47</f>
        <v>0</v>
      </c>
      <c r="H47" s="380">
        <f>AQ47</f>
        <v>0</v>
      </c>
      <c r="I47" s="380">
        <f>AV47</f>
        <v>0</v>
      </c>
      <c r="J47" s="532">
        <f>BA47</f>
        <v>0</v>
      </c>
      <c r="K47" s="380">
        <f>BF47</f>
        <v>0</v>
      </c>
      <c r="L47" s="380">
        <f>BK47</f>
        <v>0</v>
      </c>
      <c r="M47" s="380">
        <f>BP47</f>
        <v>0</v>
      </c>
      <c r="N47" s="380">
        <f>BU47</f>
        <v>0</v>
      </c>
      <c r="O47" s="531">
        <f>BZ47</f>
        <v>0</v>
      </c>
      <c r="R47" s="530" t="str">
        <f>C47</f>
        <v>Adjustments to Earnings for Diluted EPS</v>
      </c>
      <c r="S47" s="380"/>
      <c r="T47" s="380"/>
      <c r="U47" s="380"/>
      <c r="V47" s="380"/>
      <c r="W47" s="380"/>
      <c r="X47" s="533"/>
      <c r="Y47" s="380"/>
      <c r="Z47" s="380"/>
      <c r="AA47" s="380"/>
      <c r="AB47" s="531"/>
      <c r="AC47" s="533"/>
      <c r="AD47" s="380"/>
      <c r="AE47" s="380"/>
      <c r="AF47" s="380"/>
      <c r="AG47" s="531"/>
      <c r="AH47" s="533"/>
      <c r="AI47" s="380"/>
      <c r="AJ47" s="380"/>
      <c r="AK47" s="380"/>
      <c r="AL47" s="531"/>
      <c r="AM47" s="533"/>
      <c r="AN47" s="380"/>
      <c r="AO47" s="380"/>
      <c r="AP47" s="380"/>
      <c r="AQ47" s="531"/>
      <c r="AR47" s="533"/>
      <c r="AS47" s="380"/>
      <c r="AT47" s="380"/>
      <c r="AU47" s="380"/>
      <c r="AV47" s="531"/>
      <c r="AW47" s="533"/>
      <c r="AX47" s="380"/>
      <c r="AY47" s="380"/>
      <c r="AZ47" s="380"/>
      <c r="BA47" s="531"/>
      <c r="BB47" s="533"/>
      <c r="BC47" s="380"/>
      <c r="BD47" s="380"/>
      <c r="BE47" s="380"/>
      <c r="BF47" s="531"/>
      <c r="BG47" s="533"/>
      <c r="BH47" s="380"/>
      <c r="BI47" s="380"/>
      <c r="BJ47" s="380"/>
      <c r="BK47" s="531"/>
      <c r="BL47" s="533"/>
      <c r="BM47" s="380"/>
      <c r="BN47" s="380"/>
      <c r="BO47" s="380"/>
      <c r="BP47" s="531"/>
      <c r="BQ47" s="533"/>
      <c r="BR47" s="380"/>
      <c r="BS47" s="380"/>
      <c r="BT47" s="380"/>
      <c r="BU47" s="531"/>
      <c r="BV47" s="533"/>
      <c r="BW47" s="380"/>
      <c r="BX47" s="380"/>
      <c r="BY47" s="380"/>
      <c r="BZ47" s="531"/>
    </row>
    <row r="48" spans="1:78" ht="14.1" customHeight="1" x14ac:dyDescent="0.2">
      <c r="J48" s="444"/>
    </row>
    <row r="49" spans="1:78" ht="14.1" customHeight="1" x14ac:dyDescent="0.2">
      <c r="G49" s="444"/>
      <c r="J49" s="925"/>
    </row>
    <row r="50" spans="1:78" ht="14.1" customHeight="1" x14ac:dyDescent="0.2">
      <c r="O50" s="444"/>
    </row>
    <row r="51" spans="1:78" ht="14.1" customHeight="1" x14ac:dyDescent="0.2">
      <c r="J51" s="271"/>
    </row>
    <row r="52" spans="1:78" ht="6" customHeight="1" x14ac:dyDescent="0.2"/>
    <row r="53" spans="1:78" ht="6" customHeight="1" x14ac:dyDescent="0.2"/>
    <row r="54" spans="1:78" ht="18" customHeight="1" x14ac:dyDescent="0.25">
      <c r="C54" s="136" t="str">
        <f>C3</f>
        <v>SAIA, Inc.</v>
      </c>
      <c r="D54" s="133"/>
      <c r="E54" s="133"/>
      <c r="F54" s="133"/>
      <c r="G54" s="133"/>
      <c r="H54" s="133"/>
      <c r="I54" s="133"/>
      <c r="J54" s="133"/>
      <c r="K54" s="133"/>
      <c r="L54" s="133"/>
      <c r="M54" s="133"/>
      <c r="N54" s="67" t="str">
        <f t="shared" ref="N54:O56" si="55">N3</f>
        <v>Model Case:</v>
      </c>
      <c r="O54" s="144" t="str">
        <f t="shared" si="55"/>
        <v>Base</v>
      </c>
      <c r="R54" s="1374" t="str">
        <f>R3</f>
        <v>SAIA, Inc.</v>
      </c>
      <c r="S54" s="1374"/>
      <c r="T54" s="1374"/>
      <c r="U54" s="1374"/>
      <c r="V54" s="1374"/>
      <c r="W54" s="1374"/>
      <c r="X54" s="1374"/>
      <c r="Y54" s="1374"/>
      <c r="Z54" s="1374"/>
      <c r="AA54" s="1374"/>
      <c r="AB54" s="1374"/>
      <c r="AC54" s="1374"/>
      <c r="AD54" s="1374"/>
      <c r="AE54" s="1374"/>
      <c r="AF54" s="1374"/>
      <c r="AG54" s="1374"/>
      <c r="AH54" s="1374"/>
      <c r="AI54" s="1374"/>
      <c r="AJ54" s="1374"/>
      <c r="AK54" s="1374"/>
      <c r="AL54" s="1374"/>
      <c r="AM54" s="1374"/>
      <c r="AN54" s="1374"/>
      <c r="AO54" s="1374"/>
      <c r="AP54" s="1374"/>
      <c r="AQ54" s="1374"/>
      <c r="AR54" s="1374"/>
      <c r="AS54" s="1374"/>
      <c r="AT54" s="1374"/>
      <c r="AU54" s="1374"/>
      <c r="AV54" s="1374"/>
      <c r="AW54" s="1374"/>
      <c r="AX54" s="1374"/>
      <c r="AY54" s="1374"/>
      <c r="AZ54" s="1374"/>
      <c r="BA54" s="47"/>
      <c r="BB54" s="47"/>
      <c r="BC54" s="47"/>
      <c r="BD54" s="47"/>
      <c r="BE54" s="47"/>
      <c r="BF54" s="47"/>
      <c r="BG54" s="47"/>
      <c r="BH54" s="47"/>
      <c r="BI54" s="47"/>
      <c r="BJ54" s="47"/>
      <c r="BK54" s="47"/>
      <c r="BL54" s="47"/>
      <c r="BM54" s="47"/>
      <c r="BN54" s="47"/>
      <c r="BO54" s="47"/>
      <c r="BP54" s="47"/>
      <c r="BQ54" s="47"/>
      <c r="BR54" s="47"/>
      <c r="BS54" s="47"/>
      <c r="BT54" s="47"/>
      <c r="BU54" s="47"/>
      <c r="BV54" s="47"/>
      <c r="BW54" s="1144"/>
      <c r="BX54" s="67" t="str">
        <f>BR3</f>
        <v>Model Case:</v>
      </c>
      <c r="BY54" s="48" t="str">
        <f>BS3</f>
        <v>Base</v>
      </c>
      <c r="BZ54" s="47"/>
    </row>
    <row r="55" spans="1:78" ht="14.1" customHeight="1" x14ac:dyDescent="0.2">
      <c r="C55" s="133" t="str">
        <f>C4&amp; " Margins, Tax Rates and Percentages"</f>
        <v>Income Statement Margins, Tax Rates and Percentages</v>
      </c>
      <c r="D55" s="133"/>
      <c r="E55" s="133"/>
      <c r="F55" s="133"/>
      <c r="G55" s="133"/>
      <c r="H55" s="133"/>
      <c r="I55" s="133"/>
      <c r="J55" s="133"/>
      <c r="K55" s="133"/>
      <c r="L55" s="133"/>
      <c r="M55" s="133"/>
      <c r="N55" s="67" t="str">
        <f t="shared" si="55"/>
        <v>DCF Share Value as of 12/31/2024:</v>
      </c>
      <c r="O55" s="65">
        <f t="shared" si="55"/>
        <v>520.1066763818468</v>
      </c>
      <c r="R55" s="1387" t="str">
        <f>C55</f>
        <v>Income Statement Margins, Tax Rates and Percentages</v>
      </c>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48"/>
      <c r="BC55" s="48"/>
      <c r="BD55" s="48"/>
      <c r="BE55" s="48"/>
      <c r="BF55" s="48"/>
      <c r="BG55" s="48"/>
      <c r="BH55" s="48"/>
      <c r="BI55" s="48"/>
      <c r="BJ55" s="48"/>
      <c r="BK55" s="48"/>
      <c r="BL55" s="48"/>
      <c r="BM55" s="48"/>
      <c r="BN55" s="48"/>
      <c r="BO55" s="48"/>
      <c r="BP55" s="48"/>
      <c r="BQ55" s="48"/>
      <c r="BR55" s="48"/>
      <c r="BS55" s="48"/>
      <c r="BT55" s="48"/>
      <c r="BU55" s="48"/>
      <c r="BV55" s="48"/>
      <c r="BW55" s="48"/>
      <c r="BX55" s="67" t="str">
        <f>BX3</f>
        <v>DCF Share Value as of 12/31/2024:</v>
      </c>
      <c r="BY55" s="65">
        <f>BY3</f>
        <v>520.1066763818468</v>
      </c>
      <c r="BZ55" s="48"/>
    </row>
    <row r="56" spans="1:78" ht="14.1" customHeight="1" x14ac:dyDescent="0.2">
      <c r="C56" s="151" t="str">
        <f>C5</f>
        <v>($ in millions, fiscal year ending December,31)</v>
      </c>
      <c r="D56" s="133"/>
      <c r="E56" s="133"/>
      <c r="F56" s="133"/>
      <c r="G56" s="133"/>
      <c r="H56" s="133"/>
      <c r="I56" s="133"/>
      <c r="J56" s="133"/>
      <c r="K56" s="133"/>
      <c r="L56" s="133"/>
      <c r="M56" s="133"/>
      <c r="N56" s="67" t="str">
        <f t="shared" si="55"/>
        <v>Market Share Price as of 12/31/2024:</v>
      </c>
      <c r="O56" s="65">
        <f t="shared" si="55"/>
        <v>455.73</v>
      </c>
      <c r="R56" s="144" t="str">
        <f>"Quarterly and Year Basis"</f>
        <v>Quarterly and Year Basis</v>
      </c>
      <c r="S56" s="95"/>
      <c r="T56" s="95"/>
      <c r="U56" s="95"/>
      <c r="V56" s="95"/>
      <c r="W56" s="95"/>
      <c r="X56" s="95"/>
      <c r="Y56" s="95"/>
      <c r="Z56" s="95"/>
      <c r="AA56" s="95"/>
      <c r="AB56" s="95"/>
      <c r="AC56" s="95"/>
      <c r="AD56" s="95"/>
      <c r="AE56" s="95"/>
      <c r="AF56" s="95"/>
      <c r="AG56" s="95"/>
      <c r="AH56" s="95"/>
      <c r="AI56" s="95"/>
      <c r="AJ56" s="95"/>
      <c r="AK56" s="95"/>
      <c r="AL56" s="95"/>
      <c r="AM56" s="95"/>
      <c r="AN56" s="95"/>
      <c r="AO56" s="95"/>
      <c r="AP56" s="95"/>
      <c r="AQ56" s="95"/>
      <c r="AR56" s="95"/>
      <c r="AS56" s="95"/>
      <c r="AT56" s="95"/>
      <c r="AU56" s="95"/>
      <c r="AV56" s="95"/>
      <c r="AW56" s="95"/>
      <c r="AX56" s="95"/>
      <c r="AY56" s="95"/>
      <c r="AZ56" s="95"/>
      <c r="BA56" s="95"/>
      <c r="BB56" s="63"/>
      <c r="BC56" s="63"/>
      <c r="BD56" s="63"/>
      <c r="BE56" s="63"/>
      <c r="BF56" s="63"/>
      <c r="BG56" s="63"/>
      <c r="BH56" s="63"/>
      <c r="BI56" s="63"/>
      <c r="BJ56" s="63"/>
      <c r="BK56" s="63"/>
      <c r="BL56" s="63"/>
      <c r="BM56" s="63"/>
      <c r="BN56" s="63"/>
      <c r="BO56" s="63"/>
      <c r="BP56" s="63"/>
      <c r="BQ56" s="63"/>
      <c r="BR56" s="63"/>
      <c r="BS56" s="63"/>
      <c r="BT56" s="63"/>
      <c r="BU56" s="63"/>
      <c r="BV56" s="63"/>
      <c r="BW56" s="63"/>
      <c r="BX56" s="321" t="str">
        <f>BX4</f>
        <v>Market Share Price as of 12/31/2024:</v>
      </c>
      <c r="BY56" s="322">
        <f>BY4</f>
        <v>455.73</v>
      </c>
      <c r="BZ56" s="63"/>
    </row>
    <row r="57" spans="1:78" ht="14.1" customHeight="1" x14ac:dyDescent="0.2">
      <c r="C57" s="170"/>
      <c r="D57" s="97">
        <f>D7</f>
        <v>43100</v>
      </c>
      <c r="E57" s="98">
        <f t="shared" ref="E57:O57" si="56">E7</f>
        <v>43465</v>
      </c>
      <c r="F57" s="98">
        <f t="shared" si="56"/>
        <v>43830</v>
      </c>
      <c r="G57" s="98">
        <f t="shared" si="56"/>
        <v>44196</v>
      </c>
      <c r="H57" s="98">
        <f t="shared" si="56"/>
        <v>44561</v>
      </c>
      <c r="I57" s="98">
        <f t="shared" si="56"/>
        <v>44926</v>
      </c>
      <c r="J57" s="98">
        <f t="shared" si="56"/>
        <v>45291</v>
      </c>
      <c r="K57" s="137">
        <f t="shared" si="56"/>
        <v>45657</v>
      </c>
      <c r="L57" s="138">
        <f t="shared" si="56"/>
        <v>46022</v>
      </c>
      <c r="M57" s="138">
        <f t="shared" si="56"/>
        <v>46387</v>
      </c>
      <c r="N57" s="138">
        <f t="shared" si="56"/>
        <v>46752</v>
      </c>
      <c r="O57" s="139">
        <f t="shared" si="56"/>
        <v>47118</v>
      </c>
      <c r="R57" s="96"/>
      <c r="S57" s="1395">
        <f>S5</f>
        <v>43100</v>
      </c>
      <c r="T57" s="1396"/>
      <c r="U57" s="1396"/>
      <c r="V57" s="1396"/>
      <c r="W57" s="1397"/>
      <c r="X57" s="1395">
        <f>X5</f>
        <v>43465</v>
      </c>
      <c r="Y57" s="1396"/>
      <c r="Z57" s="1396"/>
      <c r="AA57" s="1396"/>
      <c r="AB57" s="1397"/>
      <c r="AC57" s="1395">
        <f>AC5</f>
        <v>43830</v>
      </c>
      <c r="AD57" s="1396"/>
      <c r="AE57" s="1396"/>
      <c r="AF57" s="1396"/>
      <c r="AG57" s="1397"/>
      <c r="AH57" s="1395">
        <f>AH5</f>
        <v>44196</v>
      </c>
      <c r="AI57" s="1396"/>
      <c r="AJ57" s="1396"/>
      <c r="AK57" s="1396"/>
      <c r="AL57" s="1397"/>
      <c r="AM57" s="1395">
        <f>AM5</f>
        <v>44561</v>
      </c>
      <c r="AN57" s="1396"/>
      <c r="AO57" s="1396"/>
      <c r="AP57" s="1396"/>
      <c r="AQ57" s="1397"/>
      <c r="AR57" s="1395">
        <f>AR5</f>
        <v>44926</v>
      </c>
      <c r="AS57" s="1396"/>
      <c r="AT57" s="1396"/>
      <c r="AU57" s="1396"/>
      <c r="AV57" s="1397"/>
      <c r="AW57" s="1395">
        <f>AW5</f>
        <v>45291</v>
      </c>
      <c r="AX57" s="1396"/>
      <c r="AY57" s="1396"/>
      <c r="AZ57" s="1396"/>
      <c r="BA57" s="1397"/>
      <c r="BB57" s="1389">
        <f>BB5</f>
        <v>45657</v>
      </c>
      <c r="BC57" s="1390"/>
      <c r="BD57" s="1390"/>
      <c r="BE57" s="1390"/>
      <c r="BF57" s="1391"/>
      <c r="BG57" s="1392">
        <f>BG5</f>
        <v>46022</v>
      </c>
      <c r="BH57" s="1393"/>
      <c r="BI57" s="1393"/>
      <c r="BJ57" s="1393"/>
      <c r="BK57" s="1394"/>
      <c r="BL57" s="1392">
        <f>BL5</f>
        <v>46387</v>
      </c>
      <c r="BM57" s="1393"/>
      <c r="BN57" s="1393"/>
      <c r="BO57" s="1393"/>
      <c r="BP57" s="1394"/>
      <c r="BQ57" s="1392">
        <f>BQ5</f>
        <v>46752</v>
      </c>
      <c r="BR57" s="1393"/>
      <c r="BS57" s="1393"/>
      <c r="BT57" s="1393"/>
      <c r="BU57" s="1394"/>
      <c r="BV57" s="1392">
        <f>BV5</f>
        <v>47118</v>
      </c>
      <c r="BW57" s="1393"/>
      <c r="BX57" s="1393"/>
      <c r="BY57" s="1393"/>
      <c r="BZ57" s="1393"/>
    </row>
    <row r="58" spans="1:78" s="143" customFormat="1" ht="14.1" customHeight="1" x14ac:dyDescent="0.25">
      <c r="A58"/>
      <c r="B58"/>
      <c r="C58" s="149"/>
      <c r="D58" s="94"/>
      <c r="E58" s="94"/>
      <c r="F58" s="94"/>
      <c r="G58" s="94"/>
      <c r="H58" s="94"/>
      <c r="I58" s="94"/>
      <c r="J58" s="94"/>
      <c r="K58" s="94"/>
      <c r="L58" s="94"/>
      <c r="M58" s="94"/>
      <c r="N58" s="94"/>
      <c r="O58" s="94"/>
      <c r="P58" s="60"/>
      <c r="Q58" s="60"/>
      <c r="R58" s="170"/>
      <c r="S58" s="96" t="str">
        <f t="shared" ref="S58:AX58" si="57">S7</f>
        <v>2017 Q1</v>
      </c>
      <c r="T58" s="140" t="str">
        <f t="shared" si="57"/>
        <v>2017 Q2</v>
      </c>
      <c r="U58" s="140" t="str">
        <f t="shared" si="57"/>
        <v>2017 Q3</v>
      </c>
      <c r="V58" s="140" t="str">
        <f t="shared" si="57"/>
        <v>2017 Q4</v>
      </c>
      <c r="W58" s="140" t="str">
        <f t="shared" si="57"/>
        <v>2017 FY</v>
      </c>
      <c r="X58" s="140" t="str">
        <f t="shared" si="57"/>
        <v>2018 Q1</v>
      </c>
      <c r="Y58" s="140" t="str">
        <f t="shared" si="57"/>
        <v>2018 Q2</v>
      </c>
      <c r="Z58" s="140" t="str">
        <f t="shared" si="57"/>
        <v>2018 Q3</v>
      </c>
      <c r="AA58" s="140" t="str">
        <f t="shared" si="57"/>
        <v>2018 Q4</v>
      </c>
      <c r="AB58" s="140" t="str">
        <f t="shared" si="57"/>
        <v>2018 FY</v>
      </c>
      <c r="AC58" s="140" t="str">
        <f t="shared" si="57"/>
        <v>2019 Q1</v>
      </c>
      <c r="AD58" s="140" t="str">
        <f t="shared" si="57"/>
        <v>2019 Q2</v>
      </c>
      <c r="AE58" s="140" t="str">
        <f t="shared" si="57"/>
        <v>2019 Q3</v>
      </c>
      <c r="AF58" s="140" t="str">
        <f t="shared" si="57"/>
        <v>2019 Q4</v>
      </c>
      <c r="AG58" s="140" t="str">
        <f t="shared" si="57"/>
        <v>2019 FY</v>
      </c>
      <c r="AH58" s="140" t="str">
        <f t="shared" si="57"/>
        <v>2020 Q1</v>
      </c>
      <c r="AI58" s="140" t="str">
        <f t="shared" si="57"/>
        <v>2020 Q2</v>
      </c>
      <c r="AJ58" s="140" t="str">
        <f t="shared" si="57"/>
        <v>2020 Q3</v>
      </c>
      <c r="AK58" s="140" t="str">
        <f t="shared" si="57"/>
        <v>2020 Q4</v>
      </c>
      <c r="AL58" s="140" t="str">
        <f t="shared" si="57"/>
        <v>2020 FY</v>
      </c>
      <c r="AM58" s="140" t="str">
        <f t="shared" si="57"/>
        <v>2021 Q1</v>
      </c>
      <c r="AN58" s="140" t="str">
        <f t="shared" si="57"/>
        <v>2021 Q2</v>
      </c>
      <c r="AO58" s="140" t="str">
        <f t="shared" si="57"/>
        <v>2021 Q3</v>
      </c>
      <c r="AP58" s="140" t="str">
        <f t="shared" si="57"/>
        <v>2021 Q4</v>
      </c>
      <c r="AQ58" s="140" t="str">
        <f t="shared" si="57"/>
        <v>2021 FY</v>
      </c>
      <c r="AR58" s="140" t="str">
        <f t="shared" si="57"/>
        <v>2022 Q1</v>
      </c>
      <c r="AS58" s="140" t="str">
        <f t="shared" si="57"/>
        <v>2022 Q2</v>
      </c>
      <c r="AT58" s="140" t="str">
        <f t="shared" si="57"/>
        <v>2022 Q3</v>
      </c>
      <c r="AU58" s="140" t="str">
        <f t="shared" si="57"/>
        <v>2022 Q4</v>
      </c>
      <c r="AV58" s="140" t="str">
        <f t="shared" si="57"/>
        <v>2022 FY</v>
      </c>
      <c r="AW58" s="140" t="str">
        <f t="shared" si="57"/>
        <v>2023 Q1</v>
      </c>
      <c r="AX58" s="140" t="str">
        <f t="shared" si="57"/>
        <v>2023 Q2</v>
      </c>
      <c r="AY58" s="140" t="str">
        <f t="shared" ref="AY58:BZ58" si="58">AY7</f>
        <v>2023 Q3</v>
      </c>
      <c r="AZ58" s="140" t="str">
        <f t="shared" si="58"/>
        <v>2023 Q4</v>
      </c>
      <c r="BA58" s="140" t="str">
        <f t="shared" si="58"/>
        <v>2023 FY</v>
      </c>
      <c r="BB58" s="140" t="str">
        <f t="shared" si="58"/>
        <v>2024 Q1</v>
      </c>
      <c r="BC58" s="140" t="str">
        <f t="shared" si="58"/>
        <v>2024 Q2</v>
      </c>
      <c r="BD58" s="140" t="str">
        <f t="shared" si="58"/>
        <v>2024 Q3</v>
      </c>
      <c r="BE58" s="141" t="str">
        <f t="shared" si="58"/>
        <v>2024 Q4</v>
      </c>
      <c r="BF58" s="141" t="str">
        <f t="shared" si="58"/>
        <v>2024 FY</v>
      </c>
      <c r="BG58" s="141" t="str">
        <f t="shared" si="58"/>
        <v>2025 Q1</v>
      </c>
      <c r="BH58" s="141" t="str">
        <f t="shared" si="58"/>
        <v>2025 Q2</v>
      </c>
      <c r="BI58" s="141" t="str">
        <f t="shared" si="58"/>
        <v>2025 Q3</v>
      </c>
      <c r="BJ58" s="141" t="str">
        <f t="shared" si="58"/>
        <v>2025 Q4</v>
      </c>
      <c r="BK58" s="141" t="str">
        <f t="shared" si="58"/>
        <v>2025 FY</v>
      </c>
      <c r="BL58" s="141" t="str">
        <f t="shared" si="58"/>
        <v>2026 Q1</v>
      </c>
      <c r="BM58" s="141" t="str">
        <f t="shared" si="58"/>
        <v>2026 Q2</v>
      </c>
      <c r="BN58" s="141" t="str">
        <f t="shared" si="58"/>
        <v>2026 Q3</v>
      </c>
      <c r="BO58" s="141" t="str">
        <f t="shared" si="58"/>
        <v>2026 Q4</v>
      </c>
      <c r="BP58" s="141" t="str">
        <f t="shared" si="58"/>
        <v>2026 FY</v>
      </c>
      <c r="BQ58" s="141" t="str">
        <f t="shared" si="58"/>
        <v>2027 Q1</v>
      </c>
      <c r="BR58" s="141" t="str">
        <f t="shared" si="58"/>
        <v>2027 Q2</v>
      </c>
      <c r="BS58" s="141" t="str">
        <f t="shared" si="58"/>
        <v>2027 Q3</v>
      </c>
      <c r="BT58" s="141" t="str">
        <f t="shared" si="58"/>
        <v>2027 Q4</v>
      </c>
      <c r="BU58" s="141" t="str">
        <f t="shared" si="58"/>
        <v>2027 FY</v>
      </c>
      <c r="BV58" s="141" t="str">
        <f t="shared" si="58"/>
        <v>2028 Q1</v>
      </c>
      <c r="BW58" s="141" t="str">
        <f t="shared" si="58"/>
        <v>2028 Q2</v>
      </c>
      <c r="BX58" s="141" t="str">
        <f t="shared" si="58"/>
        <v>2028 Q3</v>
      </c>
      <c r="BY58" s="141" t="str">
        <f t="shared" si="58"/>
        <v>2028 Q4</v>
      </c>
      <c r="BZ58" s="142" t="str">
        <f t="shared" si="58"/>
        <v>2028 FY</v>
      </c>
    </row>
    <row r="59" spans="1:78" s="93" customFormat="1" ht="14.1" customHeight="1" x14ac:dyDescent="0.2">
      <c r="A59" s="150"/>
      <c r="B59" s="150"/>
      <c r="C59" s="449" t="s">
        <v>78</v>
      </c>
      <c r="D59" s="450">
        <f t="shared" ref="D59:J59" si="59">IFERROR(D19/D8,"NA")</f>
        <v>6.7423505182234278E-2</v>
      </c>
      <c r="E59" s="450">
        <f t="shared" si="59"/>
        <v>8.5362690306067926E-2</v>
      </c>
      <c r="F59" s="450">
        <f t="shared" si="59"/>
        <v>8.5399345733978477E-2</v>
      </c>
      <c r="G59" s="450">
        <f t="shared" si="59"/>
        <v>0.1020083742782735</v>
      </c>
      <c r="H59" s="450">
        <f t="shared" si="59"/>
        <v>0.14864172693367075</v>
      </c>
      <c r="I59" s="450">
        <f t="shared" si="59"/>
        <v>0.17043151303859472</v>
      </c>
      <c r="J59" s="515">
        <f t="shared" si="59"/>
        <v>0.16205959708242404</v>
      </c>
      <c r="K59" s="450">
        <f>IFERROR(K19/K8,"NA")</f>
        <v>0.15411444456347134</v>
      </c>
      <c r="L59" s="450">
        <f>IFERROR(L19/L8,"NA")</f>
        <v>0.1838960578592351</v>
      </c>
      <c r="M59" s="450">
        <f>IFERROR(M19/M8,"NA")</f>
        <v>0.20315120345541482</v>
      </c>
      <c r="N59" s="749">
        <f>IFERROR(N19/N8,"NA")</f>
        <v>0.21586176129142348</v>
      </c>
      <c r="O59" s="750">
        <f>IFERROR(O19/O8,"NA")</f>
        <v>0.22764474511979579</v>
      </c>
      <c r="P59" s="100"/>
      <c r="Q59" s="100"/>
      <c r="R59" s="483" t="str">
        <f>C59</f>
        <v>EBIT Margin %</v>
      </c>
      <c r="S59" s="484">
        <f t="shared" ref="S59:AX59" si="60">IFERROR(S19/S8,"NA")</f>
        <v>5.4248042341143471E-2</v>
      </c>
      <c r="T59" s="484">
        <f t="shared" si="60"/>
        <v>8.2974089792271652E-2</v>
      </c>
      <c r="U59" s="484">
        <f t="shared" si="60"/>
        <v>7.0278979152264387E-2</v>
      </c>
      <c r="V59" s="484">
        <f t="shared" si="60"/>
        <v>6.1230720611905771E-2</v>
      </c>
      <c r="W59" s="525">
        <f t="shared" si="60"/>
        <v>6.7423505182234278E-2</v>
      </c>
      <c r="X59" s="483">
        <f t="shared" si="60"/>
        <v>7.0210409745293634E-2</v>
      </c>
      <c r="Y59" s="484">
        <f t="shared" si="60"/>
        <v>9.694867656251456E-2</v>
      </c>
      <c r="Z59" s="484">
        <f t="shared" si="60"/>
        <v>9.0931521141455168E-2</v>
      </c>
      <c r="AA59" s="484">
        <f t="shared" si="60"/>
        <v>8.1956976029501666E-2</v>
      </c>
      <c r="AB59" s="525">
        <f t="shared" si="60"/>
        <v>8.5362690306067926E-2</v>
      </c>
      <c r="AC59" s="483">
        <f t="shared" si="60"/>
        <v>6.9732381193617105E-2</v>
      </c>
      <c r="AD59" s="484">
        <f t="shared" si="60"/>
        <v>0.11022522862159222</v>
      </c>
      <c r="AE59" s="484">
        <f t="shared" si="60"/>
        <v>9.6736768246777988E-2</v>
      </c>
      <c r="AF59" s="484">
        <f t="shared" si="60"/>
        <v>6.1909652082651312E-2</v>
      </c>
      <c r="AG59" s="525">
        <f t="shared" si="60"/>
        <v>8.5399345733978477E-2</v>
      </c>
      <c r="AH59" s="483">
        <f t="shared" si="60"/>
        <v>8.9694146004892505E-2</v>
      </c>
      <c r="AI59" s="484">
        <f t="shared" si="60"/>
        <v>8.8821850619687351E-2</v>
      </c>
      <c r="AJ59" s="484">
        <f t="shared" si="60"/>
        <v>0.11772866731481144</v>
      </c>
      <c r="AK59" s="484">
        <f t="shared" si="60"/>
        <v>0.10923456972141667</v>
      </c>
      <c r="AL59" s="525">
        <f t="shared" si="60"/>
        <v>0.1020083742782735</v>
      </c>
      <c r="AM59" s="483">
        <f t="shared" si="60"/>
        <v>0.10343765106161446</v>
      </c>
      <c r="AN59" s="484">
        <f t="shared" si="60"/>
        <v>0.14738190774907109</v>
      </c>
      <c r="AO59" s="484">
        <f t="shared" si="60"/>
        <v>0.17418354116089169</v>
      </c>
      <c r="AP59" s="484">
        <f t="shared" si="60"/>
        <v>0.15976282692223576</v>
      </c>
      <c r="AQ59" s="525">
        <f t="shared" si="60"/>
        <v>0.14864172693367075</v>
      </c>
      <c r="AR59" s="483">
        <f t="shared" si="60"/>
        <v>0.15832376636379022</v>
      </c>
      <c r="AS59" s="484">
        <f t="shared" si="60"/>
        <v>0.19763176141500141</v>
      </c>
      <c r="AT59" s="484">
        <f t="shared" si="60"/>
        <v>0.17781636045512292</v>
      </c>
      <c r="AU59" s="484">
        <f t="shared" si="60"/>
        <v>0.14349783217380421</v>
      </c>
      <c r="AV59" s="525">
        <f t="shared" si="60"/>
        <v>0.17043151303859472</v>
      </c>
      <c r="AW59" s="483">
        <f t="shared" si="60"/>
        <v>0.15247897764690724</v>
      </c>
      <c r="AX59" s="484">
        <f t="shared" si="60"/>
        <v>0.17543385827111704</v>
      </c>
      <c r="AY59" s="484">
        <f t="shared" ref="AY59:BZ59" si="61">IFERROR(AY19/AY8,"NA")</f>
        <v>0.16767547255735682</v>
      </c>
      <c r="AZ59" s="484">
        <f t="shared" si="61"/>
        <v>0.15232118389311119</v>
      </c>
      <c r="BA59" s="525">
        <f t="shared" si="61"/>
        <v>0.16205959708242404</v>
      </c>
      <c r="BB59" s="483">
        <f t="shared" si="61"/>
        <v>0.15840741479248777</v>
      </c>
      <c r="BC59" s="484">
        <f t="shared" si="61"/>
        <v>0.16918029891502409</v>
      </c>
      <c r="BD59" s="484">
        <f t="shared" si="61"/>
        <v>0.15062149998278115</v>
      </c>
      <c r="BE59" s="484">
        <f t="shared" si="61"/>
        <v>0.13801561751112248</v>
      </c>
      <c r="BF59" s="525">
        <f t="shared" si="61"/>
        <v>0.15411444456347134</v>
      </c>
      <c r="BG59" s="483">
        <f t="shared" si="61"/>
        <v>0.19153031377265065</v>
      </c>
      <c r="BH59" s="484">
        <f t="shared" si="61"/>
        <v>0.21846743259224863</v>
      </c>
      <c r="BI59" s="484">
        <f t="shared" si="61"/>
        <v>0.17368386867353153</v>
      </c>
      <c r="BJ59" s="484">
        <f t="shared" si="61"/>
        <v>0.15162444558644006</v>
      </c>
      <c r="BK59" s="525">
        <f t="shared" si="61"/>
        <v>0.1838960578592351</v>
      </c>
      <c r="BL59" s="483">
        <f t="shared" si="61"/>
        <v>0.19038335313170859</v>
      </c>
      <c r="BM59" s="484">
        <f t="shared" si="61"/>
        <v>0.21582954149328842</v>
      </c>
      <c r="BN59" s="484">
        <f t="shared" si="61"/>
        <v>0.20796680823473351</v>
      </c>
      <c r="BO59" s="484">
        <f t="shared" si="61"/>
        <v>0.19710148983314069</v>
      </c>
      <c r="BP59" s="525">
        <f t="shared" si="61"/>
        <v>0.20315120345541482</v>
      </c>
      <c r="BQ59" s="483">
        <f t="shared" si="61"/>
        <v>0.20382548500884831</v>
      </c>
      <c r="BR59" s="484">
        <f t="shared" si="61"/>
        <v>0.22912765505969179</v>
      </c>
      <c r="BS59" s="484">
        <f t="shared" si="61"/>
        <v>0.21932283014543139</v>
      </c>
      <c r="BT59" s="484">
        <f t="shared" si="61"/>
        <v>0.20985208225049487</v>
      </c>
      <c r="BU59" s="525">
        <f t="shared" si="61"/>
        <v>0.21586176129142348</v>
      </c>
      <c r="BV59" s="483">
        <f t="shared" si="61"/>
        <v>0.2098316078104718</v>
      </c>
      <c r="BW59" s="484">
        <f t="shared" si="61"/>
        <v>0.24215212648976472</v>
      </c>
      <c r="BX59" s="484">
        <f t="shared" si="61"/>
        <v>0.23006530437009942</v>
      </c>
      <c r="BY59" s="484">
        <f t="shared" si="61"/>
        <v>0.2265309580913675</v>
      </c>
      <c r="BZ59" s="525">
        <f t="shared" si="61"/>
        <v>0.22764474511979579</v>
      </c>
    </row>
    <row r="60" spans="1:78" s="93" customFormat="1" ht="14.1" customHeight="1" x14ac:dyDescent="0.2">
      <c r="A60"/>
      <c r="B60"/>
      <c r="C60" s="364" t="s">
        <v>96</v>
      </c>
      <c r="D60" s="453">
        <f t="shared" ref="D60:J60" si="62">IFERROR(D26/D8,"NA")</f>
        <v>6.389322155644292E-2</v>
      </c>
      <c r="E60" s="453">
        <f t="shared" si="62"/>
        <v>8.2131440052870694E-2</v>
      </c>
      <c r="F60" s="453">
        <f t="shared" si="62"/>
        <v>8.2078204098537291E-2</v>
      </c>
      <c r="G60" s="453">
        <f t="shared" si="62"/>
        <v>9.6730294573099021E-2</v>
      </c>
      <c r="H60" s="453">
        <f t="shared" si="62"/>
        <v>0.14539800690696567</v>
      </c>
      <c r="I60" s="453">
        <f t="shared" si="62"/>
        <v>0.16763554612244652</v>
      </c>
      <c r="J60" s="516">
        <f t="shared" si="62"/>
        <v>0.16180386634011631</v>
      </c>
      <c r="K60" s="453">
        <f>IFERROR(K26/K8,"NA")</f>
        <v>0.15028258937432123</v>
      </c>
      <c r="L60" s="453">
        <f>IFERROR(L26/L8,"NA")</f>
        <v>0.17927883646642356</v>
      </c>
      <c r="M60" s="453">
        <f>IFERROR(M26/M8,"NA")</f>
        <v>0.19939247170065308</v>
      </c>
      <c r="N60" s="453">
        <f>IFERROR(N26/N8,"NA")</f>
        <v>0.21467323694310569</v>
      </c>
      <c r="O60" s="454">
        <f>IFERROR(O26/O8,"NA")</f>
        <v>0.22644848738376994</v>
      </c>
      <c r="P60" s="100"/>
      <c r="Q60" s="100"/>
      <c r="R60" s="471" t="str">
        <f t="shared" si="1"/>
        <v>EBT Margin %</v>
      </c>
      <c r="S60" s="453">
        <f t="shared" ref="S60:AX60" si="63">IFERROR(S26/S8,"NA")</f>
        <v>5.1125073508929537E-2</v>
      </c>
      <c r="T60" s="453">
        <f t="shared" si="63"/>
        <v>7.8428635246817105E-2</v>
      </c>
      <c r="U60" s="453">
        <f t="shared" si="63"/>
        <v>6.690243442590163E-2</v>
      </c>
      <c r="V60" s="453">
        <f t="shared" si="63"/>
        <v>5.817762077821937E-2</v>
      </c>
      <c r="W60" s="454">
        <f t="shared" si="63"/>
        <v>6.389322155644292E-2</v>
      </c>
      <c r="X60" s="471">
        <f t="shared" si="63"/>
        <v>6.7351484833441694E-2</v>
      </c>
      <c r="Y60" s="453">
        <f t="shared" si="63"/>
        <v>9.388848977916274E-2</v>
      </c>
      <c r="Z60" s="453">
        <f t="shared" si="63"/>
        <v>8.7944882296821486E-2</v>
      </c>
      <c r="AA60" s="453">
        <f t="shared" si="63"/>
        <v>7.7929932390903012E-2</v>
      </c>
      <c r="AB60" s="454">
        <f t="shared" si="63"/>
        <v>8.2131440052870694E-2</v>
      </c>
      <c r="AC60" s="471">
        <f t="shared" si="63"/>
        <v>6.7177483779202518E-2</v>
      </c>
      <c r="AD60" s="453">
        <f t="shared" si="63"/>
        <v>0.1064272557868999</v>
      </c>
      <c r="AE60" s="453">
        <f t="shared" si="63"/>
        <v>9.2795553764094388E-2</v>
      </c>
      <c r="AF60" s="453">
        <f t="shared" si="63"/>
        <v>5.9034227483551853E-2</v>
      </c>
      <c r="AG60" s="454">
        <f t="shared" si="63"/>
        <v>8.2078204098537291E-2</v>
      </c>
      <c r="AH60" s="471">
        <f t="shared" si="63"/>
        <v>8.2498499090493629E-2</v>
      </c>
      <c r="AI60" s="453">
        <f t="shared" si="63"/>
        <v>8.3321773487613326E-2</v>
      </c>
      <c r="AJ60" s="453">
        <f t="shared" si="63"/>
        <v>0.11307839642357094</v>
      </c>
      <c r="AK60" s="453">
        <f t="shared" si="63"/>
        <v>0.10531352705873477</v>
      </c>
      <c r="AL60" s="454">
        <f t="shared" si="63"/>
        <v>9.6730294573099021E-2</v>
      </c>
      <c r="AM60" s="471">
        <f t="shared" si="63"/>
        <v>9.9143932539239782E-2</v>
      </c>
      <c r="AN60" s="453">
        <f t="shared" si="63"/>
        <v>0.14443590690542998</v>
      </c>
      <c r="AO60" s="453">
        <f t="shared" si="63"/>
        <v>0.17092870032585983</v>
      </c>
      <c r="AP60" s="453">
        <f t="shared" si="63"/>
        <v>0.15707824418512345</v>
      </c>
      <c r="AQ60" s="454">
        <f t="shared" si="63"/>
        <v>0.14539800690696567</v>
      </c>
      <c r="AR60" s="471">
        <f t="shared" si="63"/>
        <v>0.15505069447805242</v>
      </c>
      <c r="AS60" s="453">
        <f t="shared" si="63"/>
        <v>0.19389071750671308</v>
      </c>
      <c r="AT60" s="453">
        <f t="shared" si="63"/>
        <v>0.17504499281074498</v>
      </c>
      <c r="AU60" s="453">
        <f t="shared" si="63"/>
        <v>0.14223013880797761</v>
      </c>
      <c r="AV60" s="454">
        <f t="shared" si="63"/>
        <v>0.16763554612244652</v>
      </c>
      <c r="AW60" s="471">
        <f t="shared" si="63"/>
        <v>0.15002687215666069</v>
      </c>
      <c r="AX60" s="453">
        <f t="shared" si="63"/>
        <v>0.17458992084903713</v>
      </c>
      <c r="AY60" s="453">
        <f t="shared" ref="AY60:BZ60" si="64">IFERROR(AY26/AY8,"NA")</f>
        <v>0.168029424210211</v>
      </c>
      <c r="AZ60" s="453">
        <f t="shared" si="64"/>
        <v>0.153911695946918</v>
      </c>
      <c r="BA60" s="454">
        <f t="shared" si="64"/>
        <v>0.16180386634011631</v>
      </c>
      <c r="BB60" s="471">
        <f t="shared" si="64"/>
        <v>0.15754761352721003</v>
      </c>
      <c r="BC60" s="453">
        <f t="shared" si="64"/>
        <v>0.16473487811633014</v>
      </c>
      <c r="BD60" s="453">
        <f t="shared" si="64"/>
        <v>0.1456817040195795</v>
      </c>
      <c r="BE60" s="453">
        <f t="shared" si="64"/>
        <v>0.13316331098245773</v>
      </c>
      <c r="BF60" s="454">
        <f t="shared" si="64"/>
        <v>0.15028258937432123</v>
      </c>
      <c r="BG60" s="471">
        <f t="shared" si="64"/>
        <v>0.18706918230593092</v>
      </c>
      <c r="BH60" s="453">
        <f t="shared" si="64"/>
        <v>0.21357347527413484</v>
      </c>
      <c r="BI60" s="453">
        <f t="shared" si="64"/>
        <v>0.16895194406663649</v>
      </c>
      <c r="BJ60" s="453">
        <f t="shared" si="64"/>
        <v>0.14726584349592226</v>
      </c>
      <c r="BK60" s="454">
        <f t="shared" si="64"/>
        <v>0.17927883646642356</v>
      </c>
      <c r="BL60" s="471">
        <f t="shared" si="64"/>
        <v>0.18646512349719846</v>
      </c>
      <c r="BM60" s="453">
        <f t="shared" si="64"/>
        <v>0.21134822037641082</v>
      </c>
      <c r="BN60" s="453">
        <f t="shared" si="64"/>
        <v>0.20367020761326704</v>
      </c>
      <c r="BO60" s="453">
        <f t="shared" si="64"/>
        <v>0.19475236219163078</v>
      </c>
      <c r="BP60" s="454">
        <f t="shared" si="64"/>
        <v>0.19939247170065308</v>
      </c>
      <c r="BQ60" s="471">
        <f t="shared" si="64"/>
        <v>0.20299068165222298</v>
      </c>
      <c r="BR60" s="453">
        <f t="shared" si="64"/>
        <v>0.22756050404343781</v>
      </c>
      <c r="BS60" s="453">
        <f t="shared" si="64"/>
        <v>0.21792113213029704</v>
      </c>
      <c r="BT60" s="453">
        <f t="shared" si="64"/>
        <v>0.20894224965104616</v>
      </c>
      <c r="BU60" s="454">
        <f t="shared" si="64"/>
        <v>0.21467323694310569</v>
      </c>
      <c r="BV60" s="471">
        <f t="shared" si="64"/>
        <v>0.20898427632230479</v>
      </c>
      <c r="BW60" s="453">
        <f t="shared" si="64"/>
        <v>0.24059847408446258</v>
      </c>
      <c r="BX60" s="453">
        <f t="shared" si="64"/>
        <v>0.22865864032088898</v>
      </c>
      <c r="BY60" s="453">
        <f t="shared" si="64"/>
        <v>0.22559881139026053</v>
      </c>
      <c r="BZ60" s="454">
        <f t="shared" si="64"/>
        <v>0.22644848738376994</v>
      </c>
    </row>
    <row r="61" spans="1:78" s="145" customFormat="1" ht="14.1" customHeight="1" x14ac:dyDescent="0.2">
      <c r="A61"/>
      <c r="B61"/>
      <c r="C61" s="455" t="s">
        <v>97</v>
      </c>
      <c r="D61" s="103">
        <f t="shared" ref="D61:J61" si="65">D19*(1-D65)</f>
        <v>94.211225891633561</v>
      </c>
      <c r="E61" s="103">
        <f t="shared" si="65"/>
        <v>109.02697527846706</v>
      </c>
      <c r="F61" s="103">
        <f t="shared" si="65"/>
        <v>118.20025198428935</v>
      </c>
      <c r="G61" s="103">
        <f t="shared" si="65"/>
        <v>145.62965356101176</v>
      </c>
      <c r="H61" s="103">
        <f t="shared" si="65"/>
        <v>258.8453740148089</v>
      </c>
      <c r="I61" s="103">
        <f t="shared" si="65"/>
        <v>363.31770405709625</v>
      </c>
      <c r="J61" s="517">
        <f t="shared" si="65"/>
        <v>355.41450340428412</v>
      </c>
      <c r="K61" s="103">
        <f>K19*(1-K65)</f>
        <v>376.42544894141167</v>
      </c>
      <c r="L61" s="103">
        <f>L19*(1-L65)</f>
        <v>499.28193022427587</v>
      </c>
      <c r="M61" s="103">
        <f>M19*(1-M65)</f>
        <v>633.40809465730683</v>
      </c>
      <c r="N61" s="103">
        <f>N19*(1-N65)</f>
        <v>733.69306937950694</v>
      </c>
      <c r="O61" s="456">
        <f>O19*(1-O65)</f>
        <v>835.28163109552156</v>
      </c>
      <c r="P61" s="103"/>
      <c r="Q61" s="103"/>
      <c r="R61" s="455" t="str">
        <f t="shared" si="1"/>
        <v>NOPAT</v>
      </c>
      <c r="S61" s="103">
        <f t="shared" ref="S61:AX61" si="66">S19*(1-S65)</f>
        <v>12.022135697652436</v>
      </c>
      <c r="T61" s="103">
        <f t="shared" si="66"/>
        <v>18.614870085012999</v>
      </c>
      <c r="U61" s="103">
        <f t="shared" si="66"/>
        <v>15.141662432730529</v>
      </c>
      <c r="V61" s="103">
        <f t="shared" si="66"/>
        <v>48.432557676237707</v>
      </c>
      <c r="W61" s="456">
        <f t="shared" si="66"/>
        <v>94.211225891633561</v>
      </c>
      <c r="X61" s="455">
        <f t="shared" si="66"/>
        <v>21.975230209153953</v>
      </c>
      <c r="Y61" s="103">
        <f t="shared" si="66"/>
        <v>31.274323271958949</v>
      </c>
      <c r="Z61" s="103">
        <f t="shared" si="66"/>
        <v>29.157281919710179</v>
      </c>
      <c r="AA61" s="103">
        <f t="shared" si="66"/>
        <v>26.620139877643656</v>
      </c>
      <c r="AB61" s="456">
        <f t="shared" si="66"/>
        <v>109.02697527846706</v>
      </c>
      <c r="AC61" s="455">
        <f t="shared" si="66"/>
        <v>23.051186270899901</v>
      </c>
      <c r="AD61" s="103">
        <f t="shared" si="66"/>
        <v>38.404386459100451</v>
      </c>
      <c r="AE61" s="103">
        <f t="shared" si="66"/>
        <v>34.363576957695749</v>
      </c>
      <c r="AF61" s="103">
        <f t="shared" si="66"/>
        <v>22.381102296593188</v>
      </c>
      <c r="AG61" s="456">
        <f t="shared" si="66"/>
        <v>118.20025198428935</v>
      </c>
      <c r="AH61" s="455">
        <f t="shared" si="66"/>
        <v>30.545363791102691</v>
      </c>
      <c r="AI61" s="103">
        <f t="shared" si="66"/>
        <v>30.196845262386638</v>
      </c>
      <c r="AJ61" s="103">
        <f t="shared" si="66"/>
        <v>43.235509213412946</v>
      </c>
      <c r="AK61" s="103">
        <f t="shared" si="66"/>
        <v>41.651935294109357</v>
      </c>
      <c r="AL61" s="456">
        <f t="shared" si="66"/>
        <v>145.62965356101176</v>
      </c>
      <c r="AM61" s="455">
        <f t="shared" si="66"/>
        <v>38.861739448978689</v>
      </c>
      <c r="AN61" s="103">
        <f t="shared" si="66"/>
        <v>63.745982100696303</v>
      </c>
      <c r="AO61" s="103">
        <f t="shared" si="66"/>
        <v>81.227728965901719</v>
      </c>
      <c r="AP61" s="103">
        <f t="shared" si="66"/>
        <v>75.0099234992324</v>
      </c>
      <c r="AQ61" s="456">
        <f t="shared" si="66"/>
        <v>258.8453740148089</v>
      </c>
      <c r="AR61" s="455">
        <f t="shared" si="66"/>
        <v>81.058474934045137</v>
      </c>
      <c r="AS61" s="103">
        <f t="shared" si="66"/>
        <v>111.35145059261225</v>
      </c>
      <c r="AT61" s="103">
        <f t="shared" si="66"/>
        <v>99.417986224739707</v>
      </c>
      <c r="AU61" s="103">
        <f t="shared" si="66"/>
        <v>71.489792305699297</v>
      </c>
      <c r="AV61" s="456">
        <f t="shared" si="66"/>
        <v>363.31770405709625</v>
      </c>
      <c r="AW61" s="455">
        <f t="shared" si="66"/>
        <v>77.322437152735546</v>
      </c>
      <c r="AX61" s="103">
        <f t="shared" si="66"/>
        <v>91.762521663765583</v>
      </c>
      <c r="AY61" s="103">
        <f t="shared" ref="AY61:BZ61" si="67">AY19*(1-AY65)</f>
        <v>98.005421488616932</v>
      </c>
      <c r="AZ61" s="103">
        <f t="shared" si="67"/>
        <v>88.324123099165632</v>
      </c>
      <c r="BA61" s="456">
        <f t="shared" si="67"/>
        <v>355.41450340428412</v>
      </c>
      <c r="BB61" s="455">
        <f t="shared" si="67"/>
        <v>91.000730537228364</v>
      </c>
      <c r="BC61" s="103">
        <f t="shared" si="67"/>
        <v>106.00594640477942</v>
      </c>
      <c r="BD61" s="103">
        <f t="shared" si="67"/>
        <v>96.539278424051389</v>
      </c>
      <c r="BE61" s="103">
        <f t="shared" si="67"/>
        <v>82.879493575352484</v>
      </c>
      <c r="BF61" s="456">
        <f t="shared" si="67"/>
        <v>376.42544894141167</v>
      </c>
      <c r="BG61" s="455">
        <f t="shared" si="67"/>
        <v>121.35736855410875</v>
      </c>
      <c r="BH61" s="103">
        <f t="shared" si="67"/>
        <v>153.1459337419156</v>
      </c>
      <c r="BI61" s="103">
        <f t="shared" si="67"/>
        <v>121.8495558021079</v>
      </c>
      <c r="BJ61" s="103">
        <f t="shared" si="67"/>
        <v>102.92907212614338</v>
      </c>
      <c r="BK61" s="456">
        <f t="shared" si="67"/>
        <v>499.28193022427587</v>
      </c>
      <c r="BL61" s="455">
        <f t="shared" si="67"/>
        <v>136.72864723006103</v>
      </c>
      <c r="BM61" s="103">
        <f t="shared" si="67"/>
        <v>172.28574904444511</v>
      </c>
      <c r="BN61" s="103">
        <f t="shared" si="67"/>
        <v>167.24213065436896</v>
      </c>
      <c r="BO61" s="103">
        <f t="shared" si="67"/>
        <v>157.15156772843093</v>
      </c>
      <c r="BP61" s="456">
        <f t="shared" si="67"/>
        <v>633.40809465730683</v>
      </c>
      <c r="BQ61" s="455">
        <f t="shared" si="67"/>
        <v>159.04633917196068</v>
      </c>
      <c r="BR61" s="103">
        <f t="shared" si="67"/>
        <v>199.48093286573891</v>
      </c>
      <c r="BS61" s="103">
        <f t="shared" si="67"/>
        <v>193.30820131296937</v>
      </c>
      <c r="BT61" s="103">
        <f t="shared" si="67"/>
        <v>181.85759602883778</v>
      </c>
      <c r="BU61" s="456">
        <f t="shared" si="67"/>
        <v>733.69306937950694</v>
      </c>
      <c r="BV61" s="455">
        <f t="shared" si="67"/>
        <v>176.58314354328397</v>
      </c>
      <c r="BW61" s="103">
        <f t="shared" si="67"/>
        <v>228.89808815239664</v>
      </c>
      <c r="BX61" s="103">
        <f t="shared" si="67"/>
        <v>219.61969629795175</v>
      </c>
      <c r="BY61" s="103">
        <f t="shared" si="67"/>
        <v>210.18070310188878</v>
      </c>
      <c r="BZ61" s="456">
        <f t="shared" si="67"/>
        <v>835.28163109552156</v>
      </c>
    </row>
    <row r="62" spans="1:78" s="146" customFormat="1" ht="14.1" customHeight="1" x14ac:dyDescent="0.2">
      <c r="A62"/>
      <c r="B62"/>
      <c r="C62" s="455" t="str">
        <f>C61&amp;" Margin %"</f>
        <v>NOPAT Margin %</v>
      </c>
      <c r="D62" s="457">
        <f t="shared" ref="D62:J62" si="68">IFERROR(D61/D8,"NA")</f>
        <v>6.706843075841197E-2</v>
      </c>
      <c r="E62" s="457">
        <f t="shared" si="68"/>
        <v>6.5923173928494727E-2</v>
      </c>
      <c r="F62" s="457">
        <f t="shared" si="68"/>
        <v>6.6154327297718668E-2</v>
      </c>
      <c r="G62" s="457">
        <f t="shared" si="68"/>
        <v>7.9912407036243957E-2</v>
      </c>
      <c r="H62" s="457">
        <f t="shared" si="68"/>
        <v>0.11309692035964847</v>
      </c>
      <c r="I62" s="457">
        <f t="shared" si="68"/>
        <v>0.13012546092615454</v>
      </c>
      <c r="J62" s="507">
        <f t="shared" si="68"/>
        <v>0.1233464402622876</v>
      </c>
      <c r="K62" s="457">
        <f>IFERROR(K61/K8,"NA")</f>
        <v>0.11729924343965616</v>
      </c>
      <c r="L62" s="457">
        <f>IFERROR(L61/L8,"NA")</f>
        <v>0.14015045480271229</v>
      </c>
      <c r="M62" s="457">
        <f>IFERROR(M61/M8,"NA")</f>
        <v>0.15482514355902438</v>
      </c>
      <c r="N62" s="457">
        <f>IFERROR(N61/N8,"NA")</f>
        <v>0.16472794740189306</v>
      </c>
      <c r="O62" s="458">
        <f>IFERROR(O61/O8,"NA")</f>
        <v>0.17371975182665661</v>
      </c>
      <c r="P62" s="104"/>
      <c r="Q62" s="104"/>
      <c r="R62" s="485" t="str">
        <f t="shared" si="1"/>
        <v>NOPAT Margin %</v>
      </c>
      <c r="S62" s="457">
        <f t="shared" ref="S62:AX62" si="69">IFERROR(S61/S8,"NA")</f>
        <v>3.7209866283860339E-2</v>
      </c>
      <c r="T62" s="457">
        <f t="shared" si="69"/>
        <v>5.1973615381430083E-2</v>
      </c>
      <c r="U62" s="457">
        <f t="shared" si="69"/>
        <v>4.3254230486972391E-2</v>
      </c>
      <c r="V62" s="457">
        <f t="shared" si="69"/>
        <v>0.12971002963713024</v>
      </c>
      <c r="W62" s="458">
        <f t="shared" si="69"/>
        <v>6.706843075841197E-2</v>
      </c>
      <c r="X62" s="485">
        <f t="shared" si="69"/>
        <v>5.5944374967614854E-2</v>
      </c>
      <c r="Y62" s="457">
        <f t="shared" si="69"/>
        <v>7.2946090499330457E-2</v>
      </c>
      <c r="Z62" s="457">
        <f t="shared" si="69"/>
        <v>6.8514768517184757E-2</v>
      </c>
      <c r="AA62" s="457">
        <f t="shared" si="69"/>
        <v>6.544594929967712E-2</v>
      </c>
      <c r="AB62" s="458">
        <f t="shared" si="69"/>
        <v>6.5923173928494727E-2</v>
      </c>
      <c r="AC62" s="485">
        <f t="shared" si="69"/>
        <v>5.6142436799534082E-2</v>
      </c>
      <c r="AD62" s="457">
        <f t="shared" si="69"/>
        <v>8.273330488070843E-2</v>
      </c>
      <c r="AE62" s="457">
        <f t="shared" si="69"/>
        <v>7.3286919471040698E-2</v>
      </c>
      <c r="AF62" s="457">
        <f t="shared" si="69"/>
        <v>5.05142638136463E-2</v>
      </c>
      <c r="AG62" s="458">
        <f t="shared" si="69"/>
        <v>6.6154327297718668E-2</v>
      </c>
      <c r="AH62" s="485">
        <f t="shared" si="69"/>
        <v>6.8426607297338446E-2</v>
      </c>
      <c r="AI62" s="457">
        <f t="shared" si="69"/>
        <v>7.2221559819538789E-2</v>
      </c>
      <c r="AJ62" s="457">
        <f t="shared" si="69"/>
        <v>8.9816876718337393E-2</v>
      </c>
      <c r="AK62" s="457">
        <f t="shared" si="69"/>
        <v>8.7415548318948794E-2</v>
      </c>
      <c r="AL62" s="458">
        <f t="shared" si="69"/>
        <v>7.9912407036243957E-2</v>
      </c>
      <c r="AM62" s="485">
        <f t="shared" si="69"/>
        <v>8.0280575798284334E-2</v>
      </c>
      <c r="AN62" s="457">
        <f t="shared" si="69"/>
        <v>0.11157412944936894</v>
      </c>
      <c r="AO62" s="457">
        <f t="shared" si="69"/>
        <v>0.13181697483658605</v>
      </c>
      <c r="AP62" s="457">
        <f t="shared" si="69"/>
        <v>0.12155604126400324</v>
      </c>
      <c r="AQ62" s="458">
        <f t="shared" si="69"/>
        <v>0.11309692035964847</v>
      </c>
      <c r="AR62" s="485">
        <f t="shared" si="69"/>
        <v>0.1225900083090021</v>
      </c>
      <c r="AS62" s="457">
        <f t="shared" si="69"/>
        <v>0.14935397113101434</v>
      </c>
      <c r="AT62" s="457">
        <f t="shared" si="69"/>
        <v>0.13627097148112316</v>
      </c>
      <c r="AU62" s="457">
        <f t="shared" si="69"/>
        <v>0.10902387934243775</v>
      </c>
      <c r="AV62" s="458">
        <f t="shared" si="69"/>
        <v>0.13012546092615454</v>
      </c>
      <c r="AW62" s="485">
        <f t="shared" si="69"/>
        <v>0.11706031800394461</v>
      </c>
      <c r="AX62" s="457">
        <f t="shared" si="69"/>
        <v>0.1321042547799603</v>
      </c>
      <c r="AY62" s="457">
        <f t="shared" ref="AY62:BZ62" si="70">IFERROR(AY61/AY8,"NA")</f>
        <v>0.12643511591216203</v>
      </c>
      <c r="AZ62" s="457">
        <f t="shared" si="70"/>
        <v>0.11758801795046094</v>
      </c>
      <c r="BA62" s="458">
        <f t="shared" si="70"/>
        <v>0.1233464402622876</v>
      </c>
      <c r="BB62" s="485">
        <f t="shared" si="70"/>
        <v>0.12056669939681146</v>
      </c>
      <c r="BC62" s="457">
        <f t="shared" si="70"/>
        <v>0.12876613301133008</v>
      </c>
      <c r="BD62" s="457">
        <f t="shared" si="70"/>
        <v>0.11464070122544558</v>
      </c>
      <c r="BE62" s="457">
        <f t="shared" si="70"/>
        <v>0.1050461399823182</v>
      </c>
      <c r="BF62" s="458">
        <f t="shared" si="70"/>
        <v>0.11729924343965616</v>
      </c>
      <c r="BG62" s="485">
        <f t="shared" si="70"/>
        <v>0.14596865694799419</v>
      </c>
      <c r="BH62" s="457">
        <f t="shared" si="70"/>
        <v>0.16649791405980874</v>
      </c>
      <c r="BI62" s="457">
        <f t="shared" si="70"/>
        <v>0.13236756388286861</v>
      </c>
      <c r="BJ62" s="457">
        <f t="shared" si="70"/>
        <v>0.1155556853992752</v>
      </c>
      <c r="BK62" s="458">
        <f t="shared" si="70"/>
        <v>0.14015045480271229</v>
      </c>
      <c r="BL62" s="485">
        <f t="shared" si="70"/>
        <v>0.14509453785408796</v>
      </c>
      <c r="BM62" s="457">
        <f t="shared" si="70"/>
        <v>0.16448753035967367</v>
      </c>
      <c r="BN62" s="457">
        <f t="shared" si="70"/>
        <v>0.15849520156803426</v>
      </c>
      <c r="BO62" s="457">
        <f t="shared" si="70"/>
        <v>0.15021454926212599</v>
      </c>
      <c r="BP62" s="458">
        <f t="shared" si="70"/>
        <v>0.15482514355902438</v>
      </c>
      <c r="BQ62" s="485">
        <f t="shared" si="70"/>
        <v>0.15554285100256396</v>
      </c>
      <c r="BR62" s="457">
        <f t="shared" si="70"/>
        <v>0.17485138676338421</v>
      </c>
      <c r="BS62" s="457">
        <f t="shared" si="70"/>
        <v>0.16736915057158108</v>
      </c>
      <c r="BT62" s="457">
        <f t="shared" si="70"/>
        <v>0.16014185449208931</v>
      </c>
      <c r="BU62" s="458">
        <f t="shared" si="70"/>
        <v>0.16472794740189306</v>
      </c>
      <c r="BV62" s="485">
        <f t="shared" si="70"/>
        <v>0.16012623008293492</v>
      </c>
      <c r="BW62" s="457">
        <f t="shared" si="70"/>
        <v>0.18479059244684937</v>
      </c>
      <c r="BX62" s="457">
        <f t="shared" si="70"/>
        <v>0.17556692362068671</v>
      </c>
      <c r="BY62" s="457">
        <f t="shared" si="70"/>
        <v>0.17286980114554384</v>
      </c>
      <c r="BZ62" s="458">
        <f t="shared" si="70"/>
        <v>0.17371975182665661</v>
      </c>
    </row>
    <row r="63" spans="1:78" s="102" customFormat="1" ht="14.1" customHeight="1" x14ac:dyDescent="0.2">
      <c r="A63"/>
      <c r="B63"/>
      <c r="C63" s="364" t="s">
        <v>98</v>
      </c>
      <c r="D63" s="453">
        <f t="shared" ref="D63:J63" si="71">IFERROR(D29/D8,"NA")</f>
        <v>6.4874211844069551E-2</v>
      </c>
      <c r="E63" s="453">
        <f t="shared" si="71"/>
        <v>6.3476774481830048E-2</v>
      </c>
      <c r="F63" s="453">
        <f t="shared" si="71"/>
        <v>6.3646259797899535E-2</v>
      </c>
      <c r="G63" s="453">
        <f t="shared" si="71"/>
        <v>7.5912303017066904E-2</v>
      </c>
      <c r="H63" s="453">
        <f t="shared" si="71"/>
        <v>0.11064558807080337</v>
      </c>
      <c r="I63" s="453">
        <f t="shared" si="71"/>
        <v>0.12801386218118024</v>
      </c>
      <c r="J63" s="516">
        <f t="shared" si="71"/>
        <v>0.12315295896173896</v>
      </c>
      <c r="K63" s="453">
        <f>IFERROR(K29/K8,"NA")</f>
        <v>0.11345261387831319</v>
      </c>
      <c r="L63" s="453">
        <f>IFERROR(L29/L8,"NA")</f>
        <v>0.13441393626891779</v>
      </c>
      <c r="M63" s="453">
        <f>IFERROR(M29/M8,"NA")</f>
        <v>0.15015522792354671</v>
      </c>
      <c r="N63" s="453">
        <f>IFERROR(N29/N8,"NA")</f>
        <v>0.16325249199432906</v>
      </c>
      <c r="O63" s="454">
        <f>IFERROR(O29/O8,"NA")</f>
        <v>0.17223469605311872</v>
      </c>
      <c r="P63" s="100"/>
      <c r="Q63" s="100"/>
      <c r="R63" s="471" t="str">
        <f t="shared" si="1"/>
        <v>Net Income Margin %</v>
      </c>
      <c r="S63" s="453">
        <f t="shared" ref="S63:AX63" si="72">IFERROR(S29/S8,"NA")</f>
        <v>3.5268810548144611E-2</v>
      </c>
      <c r="T63" s="453">
        <f t="shared" si="72"/>
        <v>4.9148425284788959E-2</v>
      </c>
      <c r="U63" s="453">
        <f t="shared" si="72"/>
        <v>4.1155566728179514E-2</v>
      </c>
      <c r="V63" s="453">
        <f t="shared" si="72"/>
        <v>0.127812400406009</v>
      </c>
      <c r="W63" s="454">
        <f t="shared" si="72"/>
        <v>6.4874211844069551E-2</v>
      </c>
      <c r="X63" s="471">
        <f t="shared" si="72"/>
        <v>5.3779865327580001E-2</v>
      </c>
      <c r="Y63" s="453">
        <f t="shared" si="72"/>
        <v>7.0629204258137943E-2</v>
      </c>
      <c r="Z63" s="453">
        <f t="shared" si="72"/>
        <v>6.6253565872892647E-2</v>
      </c>
      <c r="AA63" s="453">
        <f t="shared" si="72"/>
        <v>6.239704978487965E-2</v>
      </c>
      <c r="AB63" s="454">
        <f t="shared" si="72"/>
        <v>6.3476774481830048E-2</v>
      </c>
      <c r="AC63" s="471">
        <f t="shared" si="72"/>
        <v>5.4213023400814658E-2</v>
      </c>
      <c r="AD63" s="453">
        <f t="shared" si="72"/>
        <v>7.9865142881763052E-2</v>
      </c>
      <c r="AE63" s="453">
        <f t="shared" si="72"/>
        <v>7.0310583909693261E-2</v>
      </c>
      <c r="AF63" s="453">
        <f t="shared" si="72"/>
        <v>4.8342793946711878E-2</v>
      </c>
      <c r="AG63" s="454">
        <f t="shared" si="72"/>
        <v>6.3646259797899535E-2</v>
      </c>
      <c r="AH63" s="471">
        <f t="shared" si="72"/>
        <v>6.2973234527191099E-2</v>
      </c>
      <c r="AI63" s="453">
        <f t="shared" si="72"/>
        <v>6.8053210368464012E-2</v>
      </c>
      <c r="AJ63" s="453">
        <f t="shared" si="72"/>
        <v>8.629257084927737E-2</v>
      </c>
      <c r="AK63" s="453">
        <f t="shared" si="72"/>
        <v>8.4443903442312729E-2</v>
      </c>
      <c r="AL63" s="454">
        <f t="shared" si="72"/>
        <v>7.5912303017066904E-2</v>
      </c>
      <c r="AM63" s="471">
        <f t="shared" si="72"/>
        <v>7.7035742469126534E-2</v>
      </c>
      <c r="AN63" s="453">
        <f t="shared" si="72"/>
        <v>0.1093477884176129</v>
      </c>
      <c r="AO63" s="453">
        <f t="shared" si="72"/>
        <v>0.12935723837096089</v>
      </c>
      <c r="AP63" s="453">
        <f t="shared" si="72"/>
        <v>0.11952725817194206</v>
      </c>
      <c r="AQ63" s="454">
        <f t="shared" si="72"/>
        <v>0.11064558807080337</v>
      </c>
      <c r="AR63" s="471">
        <f t="shared" si="72"/>
        <v>0.12011808546677623</v>
      </c>
      <c r="AS63" s="453">
        <f t="shared" si="72"/>
        <v>0.14652862166925529</v>
      </c>
      <c r="AT63" s="453">
        <f t="shared" si="72"/>
        <v>0.13417795084989456</v>
      </c>
      <c r="AU63" s="453">
        <f t="shared" si="72"/>
        <v>0.10806647898664978</v>
      </c>
      <c r="AV63" s="454">
        <f t="shared" si="72"/>
        <v>0.12801386218118024</v>
      </c>
      <c r="AW63" s="471">
        <f t="shared" si="72"/>
        <v>0.11520509889710591</v>
      </c>
      <c r="AX63" s="453">
        <f t="shared" si="72"/>
        <v>0.13146574683784831</v>
      </c>
      <c r="AY63" s="453">
        <f t="shared" ref="AY63:BZ63" si="73">IFERROR(AY29/AY8,"NA")</f>
        <v>0.12670290939489925</v>
      </c>
      <c r="AZ63" s="453">
        <f t="shared" si="73"/>
        <v>0.11879137089086926</v>
      </c>
      <c r="BA63" s="454">
        <f t="shared" si="73"/>
        <v>0.12315295896173896</v>
      </c>
      <c r="BB63" s="471">
        <f t="shared" si="73"/>
        <v>0.12016163757411143</v>
      </c>
      <c r="BC63" s="453">
        <f t="shared" si="73"/>
        <v>0.12453051586164017</v>
      </c>
      <c r="BD63" s="453">
        <f t="shared" si="73"/>
        <v>0.11013854599734231</v>
      </c>
      <c r="BE63" s="453">
        <f t="shared" si="73"/>
        <v>9.9012695159807096E-2</v>
      </c>
      <c r="BF63" s="454">
        <f t="shared" si="73"/>
        <v>0.11345261387831319</v>
      </c>
      <c r="BG63" s="471">
        <f t="shared" si="73"/>
        <v>0.14042606733330201</v>
      </c>
      <c r="BH63" s="453">
        <f t="shared" si="73"/>
        <v>0.16041757385722119</v>
      </c>
      <c r="BI63" s="453">
        <f t="shared" si="73"/>
        <v>0.12648853602203586</v>
      </c>
      <c r="BJ63" s="453">
        <f t="shared" si="73"/>
        <v>0.11014048011745395</v>
      </c>
      <c r="BK63" s="454">
        <f t="shared" si="73"/>
        <v>0.13441393626891779</v>
      </c>
      <c r="BL63" s="471">
        <f t="shared" si="73"/>
        <v>0.14022645919686258</v>
      </c>
      <c r="BM63" s="453">
        <f t="shared" si="73"/>
        <v>0.15891985676211212</v>
      </c>
      <c r="BN63" s="453">
        <f t="shared" si="73"/>
        <v>0.15315702802155262</v>
      </c>
      <c r="BO63" s="453">
        <f t="shared" si="73"/>
        <v>0.14729595101714021</v>
      </c>
      <c r="BP63" s="454">
        <f t="shared" si="73"/>
        <v>0.15015522792354671</v>
      </c>
      <c r="BQ63" s="471">
        <f t="shared" si="73"/>
        <v>0.15450651116776898</v>
      </c>
      <c r="BR63" s="453">
        <f t="shared" si="73"/>
        <v>0.17290589743060433</v>
      </c>
      <c r="BS63" s="453">
        <f t="shared" si="73"/>
        <v>0.16562905755697105</v>
      </c>
      <c r="BT63" s="453">
        <f t="shared" si="73"/>
        <v>0.15901237201178953</v>
      </c>
      <c r="BU63" s="454">
        <f t="shared" si="73"/>
        <v>0.16325249199432906</v>
      </c>
      <c r="BV63" s="471">
        <f t="shared" si="73"/>
        <v>0.15907433760131703</v>
      </c>
      <c r="BW63" s="453">
        <f t="shared" si="73"/>
        <v>0.18286186053140946</v>
      </c>
      <c r="BX63" s="453">
        <f t="shared" si="73"/>
        <v>0.17382066568245344</v>
      </c>
      <c r="BY63" s="453">
        <f t="shared" si="73"/>
        <v>0.17171261753989209</v>
      </c>
      <c r="BZ63" s="454">
        <f t="shared" si="73"/>
        <v>0.17223469605311872</v>
      </c>
    </row>
    <row r="64" spans="1:78" s="102" customFormat="1" ht="14.1" customHeight="1" x14ac:dyDescent="0.2">
      <c r="A64"/>
      <c r="B64"/>
      <c r="C64" s="364" t="s">
        <v>99</v>
      </c>
      <c r="D64" s="453">
        <f t="shared" ref="D64:J64" si="74">IFERROR(D28/D26,"NA")</f>
        <v>-1.5353589375048739E-2</v>
      </c>
      <c r="E64" s="453">
        <f t="shared" si="74"/>
        <v>0.22713184572232056</v>
      </c>
      <c r="F64" s="453">
        <f t="shared" si="74"/>
        <v>0.22456563838201998</v>
      </c>
      <c r="G64" s="453">
        <f t="shared" si="74"/>
        <v>0.21521687334778003</v>
      </c>
      <c r="H64" s="453">
        <f t="shared" si="74"/>
        <v>0.23901578553548516</v>
      </c>
      <c r="I64" s="453">
        <f t="shared" si="74"/>
        <v>0.23635610022903655</v>
      </c>
      <c r="J64" s="516">
        <f t="shared" si="74"/>
        <v>0.23887505442627716</v>
      </c>
      <c r="K64" s="453">
        <f>IFERROR(K28/K26,"NA")</f>
        <v>0.24507147267919763</v>
      </c>
      <c r="L64" s="453">
        <f>IFERROR(L28/L26,"NA")</f>
        <v>0.25025207147586742</v>
      </c>
      <c r="M64" s="453">
        <f>IFERROR(M28/M26,"NA")</f>
        <v>0.24693632290704531</v>
      </c>
      <c r="N64" s="453">
        <f>IFERROR(N28/N26,"NA")</f>
        <v>0.23953030047431839</v>
      </c>
      <c r="O64" s="454">
        <f>IFERROR(O28/O26,"NA")</f>
        <v>0.23940893559060625</v>
      </c>
      <c r="P64" s="100"/>
      <c r="Q64" s="100"/>
      <c r="R64" s="471" t="str">
        <f t="shared" si="1"/>
        <v>Average Tax Rate</v>
      </c>
      <c r="S64" s="453">
        <f t="shared" ref="S64:AX64" si="75">IFERROR(S28/S26,"NA")</f>
        <v>0.31014650684102113</v>
      </c>
      <c r="T64" s="453">
        <f t="shared" si="75"/>
        <v>0.37333570665717314</v>
      </c>
      <c r="U64" s="453">
        <f t="shared" si="75"/>
        <v>0.38484201537147772</v>
      </c>
      <c r="V64" s="453">
        <f t="shared" si="75"/>
        <v>-1.1969341251208334</v>
      </c>
      <c r="W64" s="454">
        <f t="shared" si="75"/>
        <v>-1.5353589375048739E-2</v>
      </c>
      <c r="X64" s="471">
        <f t="shared" si="75"/>
        <v>0.20150438463864484</v>
      </c>
      <c r="Y64" s="453">
        <f t="shared" si="75"/>
        <v>0.2477330882170273</v>
      </c>
      <c r="Z64" s="453">
        <f t="shared" si="75"/>
        <v>0.24664671618660861</v>
      </c>
      <c r="AA64" s="453">
        <f t="shared" si="75"/>
        <v>0.19931856899489067</v>
      </c>
      <c r="AB64" s="454">
        <f t="shared" si="75"/>
        <v>0.22713184572232056</v>
      </c>
      <c r="AC64" s="471">
        <f t="shared" si="75"/>
        <v>0.1929881806975558</v>
      </c>
      <c r="AD64" s="453">
        <f t="shared" si="75"/>
        <v>0.24957998502115256</v>
      </c>
      <c r="AE64" s="453">
        <f t="shared" si="75"/>
        <v>0.24230654317299083</v>
      </c>
      <c r="AF64" s="453">
        <f t="shared" si="75"/>
        <v>0.18110567365040608</v>
      </c>
      <c r="AG64" s="454">
        <f t="shared" si="75"/>
        <v>0.22456563838201998</v>
      </c>
      <c r="AH64" s="471">
        <f t="shared" si="75"/>
        <v>0.23667417927064383</v>
      </c>
      <c r="AI64" s="453">
        <f t="shared" si="75"/>
        <v>0.18324817727768553</v>
      </c>
      <c r="AJ64" s="453">
        <f t="shared" si="75"/>
        <v>0.23687836422758235</v>
      </c>
      <c r="AK64" s="453">
        <f t="shared" si="75"/>
        <v>0.19816660023913893</v>
      </c>
      <c r="AL64" s="454">
        <f t="shared" si="75"/>
        <v>0.21521687334778003</v>
      </c>
      <c r="AM64" s="471">
        <f t="shared" si="75"/>
        <v>0.22299085283270495</v>
      </c>
      <c r="AN64" s="453">
        <f t="shared" si="75"/>
        <v>0.24293210213157854</v>
      </c>
      <c r="AO64" s="453">
        <f t="shared" si="75"/>
        <v>0.24320937253747774</v>
      </c>
      <c r="AP64" s="453">
        <f t="shared" si="75"/>
        <v>0.23905911482513104</v>
      </c>
      <c r="AQ64" s="454">
        <f t="shared" si="75"/>
        <v>0.23901578553548516</v>
      </c>
      <c r="AR64" s="471">
        <f t="shared" si="75"/>
        <v>0.22529798482276994</v>
      </c>
      <c r="AS64" s="453">
        <f t="shared" si="75"/>
        <v>0.24427211599656887</v>
      </c>
      <c r="AT64" s="453">
        <f t="shared" si="75"/>
        <v>0.23346592955695125</v>
      </c>
      <c r="AU64" s="453">
        <f t="shared" si="75"/>
        <v>0.2401998627551899</v>
      </c>
      <c r="AV64" s="454">
        <f t="shared" si="75"/>
        <v>0.23635610022903655</v>
      </c>
      <c r="AW64" s="471">
        <f t="shared" si="75"/>
        <v>0.23210357423964192</v>
      </c>
      <c r="AX64" s="453">
        <f t="shared" si="75"/>
        <v>0.24700265514454897</v>
      </c>
      <c r="AY64" s="453">
        <f t="shared" ref="AY64:BZ64" si="76">IFERROR(AY28/AY26,"NA")</f>
        <v>0.24594808325719633</v>
      </c>
      <c r="AZ64" s="453">
        <f t="shared" si="76"/>
        <v>0.2281849006989127</v>
      </c>
      <c r="BA64" s="454">
        <f t="shared" si="76"/>
        <v>0.23887505442627716</v>
      </c>
      <c r="BB64" s="471">
        <f t="shared" si="76"/>
        <v>0.23729953831793002</v>
      </c>
      <c r="BC64" s="453">
        <f t="shared" si="76"/>
        <v>0.24405494886334289</v>
      </c>
      <c r="BD64" s="453">
        <f t="shared" si="76"/>
        <v>0.24397818697576615</v>
      </c>
      <c r="BE64" s="453">
        <f t="shared" si="76"/>
        <v>0.25645664388105721</v>
      </c>
      <c r="BF64" s="454">
        <f t="shared" si="76"/>
        <v>0.24507147267919763</v>
      </c>
      <c r="BG64" s="471">
        <f t="shared" si="76"/>
        <v>0.24933617818647036</v>
      </c>
      <c r="BH64" s="453">
        <f t="shared" si="76"/>
        <v>0.24888812315613981</v>
      </c>
      <c r="BI64" s="453">
        <f t="shared" si="76"/>
        <v>0.25133423755013196</v>
      </c>
      <c r="BJ64" s="453">
        <f t="shared" si="76"/>
        <v>0.25209758418622241</v>
      </c>
      <c r="BK64" s="454">
        <f t="shared" si="76"/>
        <v>0.25025207147586742</v>
      </c>
      <c r="BL64" s="471">
        <f t="shared" si="76"/>
        <v>0.24797486754154635</v>
      </c>
      <c r="BM64" s="453">
        <f t="shared" si="76"/>
        <v>0.24806626486337993</v>
      </c>
      <c r="BN64" s="453">
        <f t="shared" si="76"/>
        <v>0.24801457308684943</v>
      </c>
      <c r="BO64" s="453">
        <f t="shared" si="76"/>
        <v>0.24367566400963508</v>
      </c>
      <c r="BP64" s="454">
        <f t="shared" si="76"/>
        <v>0.24693632290704531</v>
      </c>
      <c r="BQ64" s="471">
        <f t="shared" si="76"/>
        <v>0.23884924219093115</v>
      </c>
      <c r="BR64" s="453">
        <f t="shared" si="76"/>
        <v>0.24017615377754986</v>
      </c>
      <c r="BS64" s="453">
        <f t="shared" si="76"/>
        <v>0.23995871378852834</v>
      </c>
      <c r="BT64" s="453">
        <f t="shared" si="76"/>
        <v>0.23896496626529276</v>
      </c>
      <c r="BU64" s="454">
        <f t="shared" si="76"/>
        <v>0.23953030047431839</v>
      </c>
      <c r="BV64" s="471">
        <f t="shared" si="76"/>
        <v>0.23882150178616526</v>
      </c>
      <c r="BW64" s="453">
        <f t="shared" si="76"/>
        <v>0.23997082181321139</v>
      </c>
      <c r="BX64" s="453">
        <f t="shared" si="76"/>
        <v>0.23982463361751152</v>
      </c>
      <c r="BY64" s="453">
        <f t="shared" si="76"/>
        <v>0.23885850070881531</v>
      </c>
      <c r="BZ64" s="454">
        <f t="shared" si="76"/>
        <v>0.23940893559060625</v>
      </c>
    </row>
    <row r="65" spans="1:79" s="102" customFormat="1" ht="14.1" customHeight="1" x14ac:dyDescent="0.2">
      <c r="A65"/>
      <c r="B65"/>
      <c r="C65" s="459" t="s">
        <v>100</v>
      </c>
      <c r="D65" s="460">
        <f>W65</f>
        <v>5.2663299373506478E-3</v>
      </c>
      <c r="E65" s="460">
        <f>AB65</f>
        <v>0.22772848779569638</v>
      </c>
      <c r="F65" s="460">
        <f>AG65</f>
        <v>0.22535323041242747</v>
      </c>
      <c r="G65" s="460">
        <f>AL65</f>
        <v>0.21660934603028675</v>
      </c>
      <c r="H65" s="460">
        <f>AQ65</f>
        <v>0.23913074280873803</v>
      </c>
      <c r="I65" s="460">
        <f>AV65</f>
        <v>0.23649412830896319</v>
      </c>
      <c r="J65" s="518">
        <f>BA65</f>
        <v>0.23888222306542459</v>
      </c>
      <c r="K65" s="460">
        <f>BF65</f>
        <v>0.23888222306542459</v>
      </c>
      <c r="L65" s="460">
        <f>BK65</f>
        <v>0.23788222306542459</v>
      </c>
      <c r="M65" s="460">
        <f>BP65</f>
        <v>0.23788222306542459</v>
      </c>
      <c r="N65" s="460">
        <f>BU65</f>
        <v>0.23688222306542459</v>
      </c>
      <c r="O65" s="461">
        <f>BZ65</f>
        <v>0.23688222306542459</v>
      </c>
      <c r="P65" s="482"/>
      <c r="Q65" s="482"/>
      <c r="R65" s="486" t="str">
        <f t="shared" si="1"/>
        <v>EBIT Tax Rate</v>
      </c>
      <c r="S65" s="487">
        <f t="shared" ref="S65:BA65" si="77">IFERROR((S28+S68*(S23+S24+S25))/S19,"NA")</f>
        <v>0.31407909524434258</v>
      </c>
      <c r="T65" s="487">
        <f t="shared" si="77"/>
        <v>0.37361632394464672</v>
      </c>
      <c r="U65" s="487">
        <f t="shared" si="77"/>
        <v>0.38453530474227521</v>
      </c>
      <c r="V65" s="487">
        <f t="shared" si="77"/>
        <v>-1.118381563059855</v>
      </c>
      <c r="W65" s="1204">
        <f t="shared" si="77"/>
        <v>5.2663299373506478E-3</v>
      </c>
      <c r="X65" s="493">
        <f t="shared" si="77"/>
        <v>0.20318973823728562</v>
      </c>
      <c r="Y65" s="487">
        <f t="shared" si="77"/>
        <v>0.24758033749647659</v>
      </c>
      <c r="Z65" s="487">
        <f t="shared" si="77"/>
        <v>0.2465234535051756</v>
      </c>
      <c r="AA65" s="487">
        <f t="shared" si="77"/>
        <v>0.20145968689573354</v>
      </c>
      <c r="AB65" s="1204">
        <f t="shared" si="77"/>
        <v>0.22772848779569638</v>
      </c>
      <c r="AC65" s="493">
        <f t="shared" si="77"/>
        <v>0.19488714082987554</v>
      </c>
      <c r="AD65" s="487">
        <f t="shared" si="77"/>
        <v>0.24941589221161603</v>
      </c>
      <c r="AE65" s="487">
        <f t="shared" si="77"/>
        <v>0.24240885033409543</v>
      </c>
      <c r="AF65" s="487">
        <f t="shared" si="77"/>
        <v>0.18406480872791564</v>
      </c>
      <c r="AG65" s="1204">
        <f t="shared" si="77"/>
        <v>0.22535323041242747</v>
      </c>
      <c r="AH65" s="493">
        <f t="shared" si="77"/>
        <v>0.23711178103411565</v>
      </c>
      <c r="AI65" s="487">
        <f t="shared" si="77"/>
        <v>0.18689422348591675</v>
      </c>
      <c r="AJ65" s="487">
        <f t="shared" si="77"/>
        <v>0.23708576027482525</v>
      </c>
      <c r="AK65" s="487">
        <f t="shared" si="77"/>
        <v>0.19974465462823177</v>
      </c>
      <c r="AL65" s="1204">
        <f t="shared" si="77"/>
        <v>0.21660934603028675</v>
      </c>
      <c r="AM65" s="493">
        <f t="shared" si="77"/>
        <v>0.22387472091314414</v>
      </c>
      <c r="AN65" s="487">
        <f t="shared" si="77"/>
        <v>0.24295911789028826</v>
      </c>
      <c r="AO65" s="487">
        <f t="shared" si="77"/>
        <v>0.2432294466052452</v>
      </c>
      <c r="AP65" s="487">
        <f t="shared" si="77"/>
        <v>0.23914690541141712</v>
      </c>
      <c r="AQ65" s="1204">
        <f t="shared" si="77"/>
        <v>0.23913074280873803</v>
      </c>
      <c r="AR65" s="493">
        <f t="shared" si="77"/>
        <v>0.22570053047298322</v>
      </c>
      <c r="AS65" s="487">
        <f t="shared" si="77"/>
        <v>0.24428153621831006</v>
      </c>
      <c r="AT65" s="487">
        <f t="shared" si="77"/>
        <v>0.23364210620251066</v>
      </c>
      <c r="AU65" s="487">
        <f t="shared" si="77"/>
        <v>0.24024023435846537</v>
      </c>
      <c r="AV65" s="1204">
        <f t="shared" si="77"/>
        <v>0.23649412830896319</v>
      </c>
      <c r="AW65" s="493">
        <f t="shared" si="77"/>
        <v>0.23228552676278408</v>
      </c>
      <c r="AX65" s="487">
        <f t="shared" si="77"/>
        <v>0.2469854104456552</v>
      </c>
      <c r="AY65" s="487">
        <f t="shared" si="77"/>
        <v>0.24595342429160399</v>
      </c>
      <c r="AZ65" s="487">
        <f t="shared" si="77"/>
        <v>0.22802584023390782</v>
      </c>
      <c r="BA65" s="1204">
        <f t="shared" si="77"/>
        <v>0.23888222306542459</v>
      </c>
      <c r="BB65" s="493">
        <f>BC65</f>
        <v>0.23888222306542459</v>
      </c>
      <c r="BC65" s="487">
        <f>BD65</f>
        <v>0.23888222306542459</v>
      </c>
      <c r="BD65" s="487">
        <f>BE65</f>
        <v>0.23888222306542459</v>
      </c>
      <c r="BE65" s="487">
        <f>BF65</f>
        <v>0.23888222306542459</v>
      </c>
      <c r="BF65" s="1204">
        <f>BA65</f>
        <v>0.23888222306542459</v>
      </c>
      <c r="BG65" s="493">
        <f>BH65</f>
        <v>0.23788222306542459</v>
      </c>
      <c r="BH65" s="487">
        <f>BI65</f>
        <v>0.23788222306542459</v>
      </c>
      <c r="BI65" s="487">
        <f>BJ65</f>
        <v>0.23788222306542459</v>
      </c>
      <c r="BJ65" s="487">
        <f>BK65</f>
        <v>0.23788222306542459</v>
      </c>
      <c r="BK65" s="1204">
        <f>BF65-0.1%</f>
        <v>0.23788222306542459</v>
      </c>
      <c r="BL65" s="493">
        <f>BM65</f>
        <v>0.23788222306542459</v>
      </c>
      <c r="BM65" s="487">
        <f>BN65</f>
        <v>0.23788222306542459</v>
      </c>
      <c r="BN65" s="487">
        <f>BO65</f>
        <v>0.23788222306542459</v>
      </c>
      <c r="BO65" s="487">
        <f>BP65</f>
        <v>0.23788222306542459</v>
      </c>
      <c r="BP65" s="1204">
        <f>BK65</f>
        <v>0.23788222306542459</v>
      </c>
      <c r="BQ65" s="493">
        <f>BR65</f>
        <v>0.23688222306542459</v>
      </c>
      <c r="BR65" s="487">
        <f>BS65</f>
        <v>0.23688222306542459</v>
      </c>
      <c r="BS65" s="487">
        <f>BT65</f>
        <v>0.23688222306542459</v>
      </c>
      <c r="BT65" s="487">
        <f>BU65</f>
        <v>0.23688222306542459</v>
      </c>
      <c r="BU65" s="1204">
        <f>BP65-0.1%</f>
        <v>0.23688222306542459</v>
      </c>
      <c r="BV65" s="493">
        <f>BW65</f>
        <v>0.23688222306542459</v>
      </c>
      <c r="BW65" s="487">
        <f>BX65</f>
        <v>0.23688222306542459</v>
      </c>
      <c r="BX65" s="487">
        <f>BY65</f>
        <v>0.23688222306542459</v>
      </c>
      <c r="BY65" s="487">
        <f>BZ65</f>
        <v>0.23688222306542459</v>
      </c>
      <c r="BZ65" s="1204">
        <f>BU65</f>
        <v>0.23688222306542459</v>
      </c>
      <c r="CA65" s="105"/>
    </row>
    <row r="66" spans="1:79" s="93" customFormat="1" ht="14.1" customHeight="1" x14ac:dyDescent="0.2">
      <c r="A66"/>
      <c r="B66"/>
      <c r="C66" s="462" t="s">
        <v>101</v>
      </c>
      <c r="D66" s="60">
        <f>W66</f>
        <v>31.422000000000001</v>
      </c>
      <c r="E66" s="60">
        <f>AB66</f>
        <v>28.524999999999999</v>
      </c>
      <c r="F66" s="60">
        <f>AG66</f>
        <v>30.797000000000001</v>
      </c>
      <c r="G66" s="60">
        <f>AL66</f>
        <v>37.018000000000001</v>
      </c>
      <c r="H66" s="60">
        <f>AQ66</f>
        <v>69.855999999999995</v>
      </c>
      <c r="I66" s="60">
        <f>AV66</f>
        <v>98.29</v>
      </c>
      <c r="J66" s="502">
        <f>BA66</f>
        <v>97.908000000000001</v>
      </c>
      <c r="O66" s="751"/>
      <c r="P66" s="60"/>
      <c r="Q66" s="60"/>
      <c r="R66" s="462" t="str">
        <f t="shared" si="1"/>
        <v>Provision at Federal Statutory Rate</v>
      </c>
      <c r="S66" s="106" t="s">
        <v>106</v>
      </c>
      <c r="T66" s="106" t="s">
        <v>106</v>
      </c>
      <c r="U66" s="106" t="s">
        <v>106</v>
      </c>
      <c r="V66" s="106" t="s">
        <v>106</v>
      </c>
      <c r="W66" s="489">
        <v>31.422000000000001</v>
      </c>
      <c r="X66" s="526" t="s">
        <v>106</v>
      </c>
      <c r="Y66" s="106" t="s">
        <v>106</v>
      </c>
      <c r="Z66" s="106" t="s">
        <v>106</v>
      </c>
      <c r="AA66" s="106" t="s">
        <v>106</v>
      </c>
      <c r="AB66" s="489">
        <v>28.524999999999999</v>
      </c>
      <c r="AC66" s="526" t="s">
        <v>106</v>
      </c>
      <c r="AD66" s="106" t="s">
        <v>106</v>
      </c>
      <c r="AE66" s="106" t="s">
        <v>106</v>
      </c>
      <c r="AF66" s="106" t="s">
        <v>106</v>
      </c>
      <c r="AG66" s="489">
        <v>30.797000000000001</v>
      </c>
      <c r="AH66" s="526" t="s">
        <v>106</v>
      </c>
      <c r="AI66" s="106" t="s">
        <v>106</v>
      </c>
      <c r="AJ66" s="106" t="s">
        <v>106</v>
      </c>
      <c r="AK66" s="106" t="s">
        <v>106</v>
      </c>
      <c r="AL66" s="489">
        <v>37.018000000000001</v>
      </c>
      <c r="AM66" s="526" t="s">
        <v>106</v>
      </c>
      <c r="AN66" s="106" t="s">
        <v>106</v>
      </c>
      <c r="AO66" s="106" t="s">
        <v>106</v>
      </c>
      <c r="AP66" s="106" t="s">
        <v>106</v>
      </c>
      <c r="AQ66" s="489">
        <v>69.855999999999995</v>
      </c>
      <c r="AR66" s="526" t="s">
        <v>106</v>
      </c>
      <c r="AS66" s="106" t="s">
        <v>106</v>
      </c>
      <c r="AT66" s="106" t="s">
        <v>106</v>
      </c>
      <c r="AU66" s="106" t="s">
        <v>106</v>
      </c>
      <c r="AV66" s="489">
        <v>98.29</v>
      </c>
      <c r="AW66" s="526" t="s">
        <v>106</v>
      </c>
      <c r="AX66" s="106" t="s">
        <v>106</v>
      </c>
      <c r="AY66" s="106" t="s">
        <v>106</v>
      </c>
      <c r="AZ66" s="106" t="s">
        <v>106</v>
      </c>
      <c r="BA66" s="489">
        <v>97.908000000000001</v>
      </c>
      <c r="BB66" s="526" t="s">
        <v>106</v>
      </c>
      <c r="BC66" s="106" t="s">
        <v>106</v>
      </c>
      <c r="BD66" s="106" t="s">
        <v>106</v>
      </c>
      <c r="BE66" s="106" t="s">
        <v>106</v>
      </c>
      <c r="BF66" s="489"/>
      <c r="BG66" s="526" t="s">
        <v>106</v>
      </c>
      <c r="BH66" s="106" t="s">
        <v>106</v>
      </c>
      <c r="BI66" s="106" t="s">
        <v>106</v>
      </c>
      <c r="BJ66" s="106" t="s">
        <v>106</v>
      </c>
      <c r="BK66" s="489"/>
      <c r="BL66" s="526" t="s">
        <v>106</v>
      </c>
      <c r="BM66" s="106" t="s">
        <v>106</v>
      </c>
      <c r="BN66" s="106" t="s">
        <v>106</v>
      </c>
      <c r="BO66" s="106" t="s">
        <v>106</v>
      </c>
      <c r="BP66" s="489"/>
      <c r="BQ66" s="526" t="s">
        <v>106</v>
      </c>
      <c r="BR66" s="106" t="s">
        <v>106</v>
      </c>
      <c r="BS66" s="106" t="s">
        <v>106</v>
      </c>
      <c r="BT66" s="106" t="s">
        <v>106</v>
      </c>
      <c r="BU66" s="489"/>
      <c r="BV66" s="526" t="s">
        <v>106</v>
      </c>
      <c r="BW66" s="106" t="s">
        <v>106</v>
      </c>
      <c r="BX66" s="106" t="s">
        <v>106</v>
      </c>
      <c r="BY66" s="106" t="s">
        <v>106</v>
      </c>
      <c r="BZ66" s="489"/>
      <c r="CA66" s="106"/>
    </row>
    <row r="67" spans="1:79" s="93" customFormat="1" ht="14.1" customHeight="1" x14ac:dyDescent="0.2">
      <c r="A67"/>
      <c r="B67"/>
      <c r="C67" s="462" t="s">
        <v>102</v>
      </c>
      <c r="D67" s="60">
        <f>W67</f>
        <v>2.5449999999999999</v>
      </c>
      <c r="E67" s="60">
        <f>AB67</f>
        <v>4.468</v>
      </c>
      <c r="F67" s="60">
        <f>AG67</f>
        <v>5.1059999999999999</v>
      </c>
      <c r="G67" s="60">
        <f>AL67</f>
        <v>5.6639999999999997</v>
      </c>
      <c r="H67" s="60">
        <f>AQ67</f>
        <v>11.435</v>
      </c>
      <c r="I67" s="60">
        <f>AV67</f>
        <v>16.274000000000001</v>
      </c>
      <c r="J67" s="502">
        <f>BA67</f>
        <v>15.58</v>
      </c>
      <c r="O67" s="751"/>
      <c r="P67" s="60"/>
      <c r="Q67" s="60"/>
      <c r="R67" s="462" t="str">
        <f t="shared" si="1"/>
        <v>State Income Tax</v>
      </c>
      <c r="S67" s="106" t="s">
        <v>106</v>
      </c>
      <c r="T67" s="106" t="s">
        <v>106</v>
      </c>
      <c r="U67" s="106" t="s">
        <v>106</v>
      </c>
      <c r="V67" s="106" t="s">
        <v>106</v>
      </c>
      <c r="W67" s="489">
        <v>2.5449999999999999</v>
      </c>
      <c r="X67" s="526" t="s">
        <v>106</v>
      </c>
      <c r="Y67" s="106" t="s">
        <v>106</v>
      </c>
      <c r="Z67" s="106" t="s">
        <v>106</v>
      </c>
      <c r="AA67" s="106" t="s">
        <v>106</v>
      </c>
      <c r="AB67" s="489">
        <v>4.468</v>
      </c>
      <c r="AC67" s="526" t="s">
        <v>106</v>
      </c>
      <c r="AD67" s="106" t="s">
        <v>106</v>
      </c>
      <c r="AE67" s="106" t="s">
        <v>106</v>
      </c>
      <c r="AF67" s="106" t="s">
        <v>106</v>
      </c>
      <c r="AG67" s="489">
        <v>5.1059999999999999</v>
      </c>
      <c r="AH67" s="526" t="s">
        <v>106</v>
      </c>
      <c r="AI67" s="106" t="s">
        <v>106</v>
      </c>
      <c r="AJ67" s="106" t="s">
        <v>106</v>
      </c>
      <c r="AK67" s="106" t="s">
        <v>106</v>
      </c>
      <c r="AL67" s="489">
        <v>5.6639999999999997</v>
      </c>
      <c r="AM67" s="526" t="s">
        <v>106</v>
      </c>
      <c r="AN67" s="106" t="s">
        <v>106</v>
      </c>
      <c r="AO67" s="106" t="s">
        <v>106</v>
      </c>
      <c r="AP67" s="106" t="s">
        <v>106</v>
      </c>
      <c r="AQ67" s="489">
        <v>11.435</v>
      </c>
      <c r="AR67" s="526" t="s">
        <v>106</v>
      </c>
      <c r="AS67" s="106" t="s">
        <v>106</v>
      </c>
      <c r="AT67" s="106" t="s">
        <v>106</v>
      </c>
      <c r="AU67" s="106" t="s">
        <v>106</v>
      </c>
      <c r="AV67" s="489">
        <v>16.274000000000001</v>
      </c>
      <c r="AW67" s="526" t="s">
        <v>106</v>
      </c>
      <c r="AX67" s="106" t="s">
        <v>106</v>
      </c>
      <c r="AY67" s="106" t="s">
        <v>106</v>
      </c>
      <c r="AZ67" s="106" t="s">
        <v>106</v>
      </c>
      <c r="BA67" s="489">
        <v>15.58</v>
      </c>
      <c r="BB67" s="526" t="s">
        <v>106</v>
      </c>
      <c r="BC67" s="106" t="s">
        <v>106</v>
      </c>
      <c r="BD67" s="106" t="s">
        <v>106</v>
      </c>
      <c r="BE67" s="106" t="s">
        <v>106</v>
      </c>
      <c r="BF67" s="489"/>
      <c r="BG67" s="526" t="s">
        <v>106</v>
      </c>
      <c r="BH67" s="106" t="s">
        <v>106</v>
      </c>
      <c r="BI67" s="106" t="s">
        <v>106</v>
      </c>
      <c r="BJ67" s="106" t="s">
        <v>106</v>
      </c>
      <c r="BK67" s="489"/>
      <c r="BL67" s="526" t="s">
        <v>106</v>
      </c>
      <c r="BM67" s="106" t="s">
        <v>106</v>
      </c>
      <c r="BN67" s="106" t="s">
        <v>106</v>
      </c>
      <c r="BO67" s="106" t="s">
        <v>106</v>
      </c>
      <c r="BP67" s="489"/>
      <c r="BQ67" s="526" t="s">
        <v>106</v>
      </c>
      <c r="BR67" s="106" t="s">
        <v>106</v>
      </c>
      <c r="BS67" s="106" t="s">
        <v>106</v>
      </c>
      <c r="BT67" s="106" t="s">
        <v>106</v>
      </c>
      <c r="BU67" s="489"/>
      <c r="BV67" s="526" t="s">
        <v>106</v>
      </c>
      <c r="BW67" s="106" t="s">
        <v>106</v>
      </c>
      <c r="BX67" s="106" t="s">
        <v>106</v>
      </c>
      <c r="BY67" s="106" t="s">
        <v>106</v>
      </c>
      <c r="BZ67" s="489"/>
      <c r="CA67" s="106"/>
    </row>
    <row r="68" spans="1:79" s="102" customFormat="1" ht="14.1" customHeight="1" x14ac:dyDescent="0.2">
      <c r="A68"/>
      <c r="B68"/>
      <c r="C68" s="445" t="s">
        <v>103</v>
      </c>
      <c r="D68" s="463">
        <f>W68</f>
        <v>0.37845817873895538</v>
      </c>
      <c r="E68" s="463">
        <f>AB68</f>
        <v>0.24289384759226373</v>
      </c>
      <c r="F68" s="463">
        <f>AG68</f>
        <v>0.24481766358454024</v>
      </c>
      <c r="G68" s="463">
        <f>AL68</f>
        <v>0.24212891001713183</v>
      </c>
      <c r="H68" s="463">
        <f>AQ68</f>
        <v>0.24428364080018514</v>
      </c>
      <c r="I68" s="463">
        <f>AV68</f>
        <v>0.24476976720336399</v>
      </c>
      <c r="J68" s="519">
        <f>BA68</f>
        <v>0.24341790586988721</v>
      </c>
      <c r="K68" s="463">
        <f>BF68</f>
        <v>0.24341790586988721</v>
      </c>
      <c r="L68" s="463">
        <f>BK68</f>
        <v>0.24241790586988721</v>
      </c>
      <c r="M68" s="463">
        <f>BP68</f>
        <v>0.24241790586988721</v>
      </c>
      <c r="N68" s="463">
        <f>BU68</f>
        <v>0.24141790586988721</v>
      </c>
      <c r="O68" s="464">
        <f>BZ68</f>
        <v>0.24141790586988721</v>
      </c>
      <c r="P68" s="471"/>
      <c r="Q68" s="454"/>
      <c r="R68" s="473" t="str">
        <f t="shared" si="1"/>
        <v>Marginal Tax Rate</v>
      </c>
      <c r="S68" s="490">
        <f>T68</f>
        <v>0.37845817873895538</v>
      </c>
      <c r="T68" s="490">
        <f>U68</f>
        <v>0.37845817873895538</v>
      </c>
      <c r="U68" s="490">
        <f>V68</f>
        <v>0.37845817873895538</v>
      </c>
      <c r="V68" s="490">
        <f>W68</f>
        <v>0.37845817873895538</v>
      </c>
      <c r="W68" s="1205">
        <f>IF(ISNUMBER(W66)=TRUE,SUM(W66:W67)/W26,"NA")</f>
        <v>0.37845817873895538</v>
      </c>
      <c r="X68" s="403">
        <f>Y68</f>
        <v>0.24289384759226373</v>
      </c>
      <c r="Y68" s="490">
        <f>Z68</f>
        <v>0.24289384759226373</v>
      </c>
      <c r="Z68" s="490">
        <f>AA68</f>
        <v>0.24289384759226373</v>
      </c>
      <c r="AA68" s="490">
        <f>AB68</f>
        <v>0.24289384759226373</v>
      </c>
      <c r="AB68" s="1205">
        <f>IF(ISNUMBER(AB66)=TRUE,SUM(AB66:AB67)/AB26,"NA")</f>
        <v>0.24289384759226373</v>
      </c>
      <c r="AC68" s="403">
        <f>AD68</f>
        <v>0.24481766358454024</v>
      </c>
      <c r="AD68" s="490">
        <f>AE68</f>
        <v>0.24481766358454024</v>
      </c>
      <c r="AE68" s="490">
        <f>AF68</f>
        <v>0.24481766358454024</v>
      </c>
      <c r="AF68" s="490">
        <f>AG68</f>
        <v>0.24481766358454024</v>
      </c>
      <c r="AG68" s="1205">
        <f>IF(ISNUMBER(AG66)=TRUE,SUM(AG66:AG67)/AG26,"NA")</f>
        <v>0.24481766358454024</v>
      </c>
      <c r="AH68" s="403">
        <f>AI68</f>
        <v>0.24212891001713183</v>
      </c>
      <c r="AI68" s="490">
        <f>AJ68</f>
        <v>0.24212891001713183</v>
      </c>
      <c r="AJ68" s="490">
        <f>AK68</f>
        <v>0.24212891001713183</v>
      </c>
      <c r="AK68" s="490">
        <f>AL68</f>
        <v>0.24212891001713183</v>
      </c>
      <c r="AL68" s="1205">
        <f>IF(ISNUMBER(AL66)=TRUE,SUM(AL66:AL67)/AL26,"NA")</f>
        <v>0.24212891001713183</v>
      </c>
      <c r="AM68" s="403">
        <f>AN68</f>
        <v>0.24428364080018514</v>
      </c>
      <c r="AN68" s="490">
        <f>AO68</f>
        <v>0.24428364080018514</v>
      </c>
      <c r="AO68" s="490">
        <f>AP68</f>
        <v>0.24428364080018514</v>
      </c>
      <c r="AP68" s="490">
        <f>AQ68</f>
        <v>0.24428364080018514</v>
      </c>
      <c r="AQ68" s="1205">
        <f>IF(ISNUMBER(AQ66)=TRUE,SUM(AQ66:AQ67)/AQ26,"NA")</f>
        <v>0.24428364080018514</v>
      </c>
      <c r="AR68" s="403">
        <f>AS68</f>
        <v>0.24476976720336399</v>
      </c>
      <c r="AS68" s="490">
        <f>AT68</f>
        <v>0.24476976720336399</v>
      </c>
      <c r="AT68" s="490">
        <f>AU68</f>
        <v>0.24476976720336399</v>
      </c>
      <c r="AU68" s="490">
        <f>AV68</f>
        <v>0.24476976720336399</v>
      </c>
      <c r="AV68" s="1205">
        <f>IF(ISNUMBER(AV66)=TRUE,SUM(AV66:AV67)/AV26,"NA")</f>
        <v>0.24476976720336399</v>
      </c>
      <c r="AW68" s="403">
        <f>AX68</f>
        <v>0.24341790586988721</v>
      </c>
      <c r="AX68" s="490">
        <f>AY68</f>
        <v>0.24341790586988721</v>
      </c>
      <c r="AY68" s="490">
        <f>AZ68</f>
        <v>0.24341790586988721</v>
      </c>
      <c r="AZ68" s="490">
        <f>BA68</f>
        <v>0.24341790586988721</v>
      </c>
      <c r="BA68" s="1205">
        <f>IF(ISNUMBER(BA66)=TRUE,SUM(BA66:BA67)/BA26,"NA")</f>
        <v>0.24341790586988721</v>
      </c>
      <c r="BB68" s="403">
        <f>BC68</f>
        <v>0.24341790586988721</v>
      </c>
      <c r="BC68" s="490">
        <f>BD68</f>
        <v>0.24341790586988721</v>
      </c>
      <c r="BD68" s="490">
        <f>BE68</f>
        <v>0.24341790586988721</v>
      </c>
      <c r="BE68" s="490">
        <f>BF68</f>
        <v>0.24341790586988721</v>
      </c>
      <c r="BF68" s="1205">
        <f>BA68</f>
        <v>0.24341790586988721</v>
      </c>
      <c r="BG68" s="403">
        <f>BH68</f>
        <v>0.24241790586988721</v>
      </c>
      <c r="BH68" s="490">
        <f>BI68</f>
        <v>0.24241790586988721</v>
      </c>
      <c r="BI68" s="490">
        <f>BJ68</f>
        <v>0.24241790586988721</v>
      </c>
      <c r="BJ68" s="490">
        <f>BK68</f>
        <v>0.24241790586988721</v>
      </c>
      <c r="BK68" s="1205">
        <f>BE68-0.1%</f>
        <v>0.24241790586988721</v>
      </c>
      <c r="BL68" s="403">
        <f>BM68</f>
        <v>0.24241790586988721</v>
      </c>
      <c r="BM68" s="490">
        <f>BN68</f>
        <v>0.24241790586988721</v>
      </c>
      <c r="BN68" s="490">
        <f>BO68</f>
        <v>0.24241790586988721</v>
      </c>
      <c r="BO68" s="490">
        <f>BP68</f>
        <v>0.24241790586988721</v>
      </c>
      <c r="BP68" s="1205">
        <f>BK68</f>
        <v>0.24241790586988721</v>
      </c>
      <c r="BQ68" s="403">
        <f>BR68</f>
        <v>0.24141790586988721</v>
      </c>
      <c r="BR68" s="490">
        <f>BS68</f>
        <v>0.24141790586988721</v>
      </c>
      <c r="BS68" s="490">
        <f>BT68</f>
        <v>0.24141790586988721</v>
      </c>
      <c r="BT68" s="490">
        <f>BU68</f>
        <v>0.24141790586988721</v>
      </c>
      <c r="BU68" s="1205">
        <f>BP68-0.1%</f>
        <v>0.24141790586988721</v>
      </c>
      <c r="BV68" s="403">
        <f>BW68</f>
        <v>0.24141790586988721</v>
      </c>
      <c r="BW68" s="490">
        <f>BX68</f>
        <v>0.24141790586988721</v>
      </c>
      <c r="BX68" s="490">
        <f>BY68</f>
        <v>0.24141790586988721</v>
      </c>
      <c r="BY68" s="490">
        <f>BZ68</f>
        <v>0.24141790586988721</v>
      </c>
      <c r="BZ68" s="1205">
        <f>BU68</f>
        <v>0.24141790586988721</v>
      </c>
      <c r="CA68" s="105"/>
    </row>
    <row r="69" spans="1:79" ht="2.1" customHeight="1" x14ac:dyDescent="0.2">
      <c r="C69" s="107"/>
      <c r="D69" s="107"/>
      <c r="E69" s="107"/>
      <c r="F69" s="107"/>
      <c r="G69" s="107"/>
      <c r="H69" s="107"/>
      <c r="I69" s="107"/>
      <c r="J69" s="107"/>
      <c r="K69" s="107"/>
      <c r="L69" s="107"/>
      <c r="M69" s="107"/>
      <c r="N69" s="107"/>
      <c r="O69" s="107"/>
      <c r="R69" s="107"/>
      <c r="S69" s="107"/>
      <c r="T69" s="107"/>
      <c r="U69" s="107"/>
      <c r="V69" s="107"/>
      <c r="W69" s="107"/>
      <c r="X69" s="107"/>
      <c r="Y69" s="107"/>
      <c r="Z69" s="107"/>
      <c r="AA69" s="107"/>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row>
    <row r="72" spans="1:79" ht="14.1" customHeight="1" x14ac:dyDescent="0.2">
      <c r="C72" s="298" t="s">
        <v>104</v>
      </c>
      <c r="D72" s="107"/>
      <c r="E72" s="107"/>
      <c r="F72" s="107"/>
      <c r="G72" s="107"/>
      <c r="H72" s="107"/>
      <c r="I72" s="107"/>
      <c r="J72" s="504"/>
      <c r="K72" s="107"/>
      <c r="L72" s="107"/>
      <c r="M72" s="107"/>
      <c r="N72" s="107"/>
      <c r="O72" s="465"/>
      <c r="R72" s="298" t="str">
        <f>C72</f>
        <v>As a Percentage of Sales</v>
      </c>
      <c r="S72" s="107"/>
      <c r="T72" s="107"/>
      <c r="U72" s="107"/>
      <c r="V72" s="107"/>
      <c r="W72" s="107"/>
      <c r="X72" s="440"/>
      <c r="Y72" s="107"/>
      <c r="Z72" s="107"/>
      <c r="AA72" s="107"/>
      <c r="AB72" s="465"/>
      <c r="AC72" s="440"/>
      <c r="AD72" s="107"/>
      <c r="AE72" s="107"/>
      <c r="AF72" s="107"/>
      <c r="AG72" s="465"/>
      <c r="AH72" s="440"/>
      <c r="AI72" s="107"/>
      <c r="AJ72" s="107"/>
      <c r="AK72" s="107"/>
      <c r="AL72" s="465"/>
      <c r="AM72" s="440"/>
      <c r="AN72" s="107"/>
      <c r="AO72" s="107"/>
      <c r="AP72" s="107"/>
      <c r="AQ72" s="465"/>
      <c r="AR72" s="440"/>
      <c r="AS72" s="107"/>
      <c r="AT72" s="107"/>
      <c r="AU72" s="107"/>
      <c r="AV72" s="465"/>
      <c r="AW72" s="440"/>
      <c r="AX72" s="107"/>
      <c r="AY72" s="107"/>
      <c r="AZ72" s="107"/>
      <c r="BA72" s="465"/>
      <c r="BB72" s="440"/>
      <c r="BC72" s="107"/>
      <c r="BD72" s="107"/>
      <c r="BE72" s="107"/>
      <c r="BF72" s="465"/>
      <c r="BG72" s="440"/>
      <c r="BH72" s="107"/>
      <c r="BI72" s="107"/>
      <c r="BJ72" s="107"/>
      <c r="BK72" s="465"/>
      <c r="BL72" s="440"/>
      <c r="BM72" s="107"/>
      <c r="BN72" s="107"/>
      <c r="BO72" s="107"/>
      <c r="BP72" s="465"/>
      <c r="BQ72" s="440"/>
      <c r="BR72" s="107"/>
      <c r="BS72" s="107"/>
      <c r="BT72" s="107"/>
      <c r="BU72" s="465"/>
      <c r="BV72" s="440"/>
      <c r="BW72" s="107"/>
      <c r="BX72" s="107"/>
      <c r="BY72" s="107"/>
      <c r="BZ72" s="465"/>
    </row>
    <row r="73" spans="1:79" ht="14.1" customHeight="1" x14ac:dyDescent="0.2">
      <c r="C73" s="364"/>
      <c r="J73" s="502"/>
      <c r="O73" s="365"/>
      <c r="R73" s="364"/>
      <c r="X73" s="364"/>
      <c r="AB73" s="365"/>
      <c r="AC73" s="364"/>
      <c r="AG73" s="365"/>
      <c r="AH73" s="364"/>
      <c r="AL73" s="365"/>
      <c r="AM73" s="364"/>
      <c r="AQ73" s="365"/>
      <c r="AR73" s="364"/>
      <c r="AV73" s="365"/>
      <c r="AW73" s="364"/>
      <c r="BA73" s="365"/>
      <c r="BB73" s="364"/>
      <c r="BF73" s="365"/>
      <c r="BG73" s="364"/>
      <c r="BK73" s="365"/>
      <c r="BL73" s="364"/>
      <c r="BP73" s="365"/>
      <c r="BQ73" s="364"/>
      <c r="BU73" s="365"/>
      <c r="BV73" s="364"/>
      <c r="BZ73" s="365"/>
    </row>
    <row r="74" spans="1:79" s="100" customFormat="1" ht="14.1" customHeight="1" x14ac:dyDescent="0.2">
      <c r="A74"/>
      <c r="B74"/>
      <c r="C74" s="364" t="str">
        <f>C11</f>
        <v>Salaries, Wages and employees’ benefits</v>
      </c>
      <c r="D74" s="453">
        <f t="shared" ref="D74:I74" si="78">IFERROR(D11/D8,"NA")</f>
        <v>0.54587339814893254</v>
      </c>
      <c r="E74" s="453">
        <f t="shared" si="78"/>
        <v>0.5276914639728294</v>
      </c>
      <c r="F74" s="453">
        <f t="shared" si="78"/>
        <v>0.53052691081777659</v>
      </c>
      <c r="G74" s="453">
        <f t="shared" si="78"/>
        <v>0.52857658670102492</v>
      </c>
      <c r="H74" s="453">
        <f t="shared" si="78"/>
        <v>0.46476215360308709</v>
      </c>
      <c r="I74" s="453">
        <f t="shared" si="78"/>
        <v>0.41888077499850473</v>
      </c>
      <c r="J74" s="516">
        <f t="shared" ref="J74:O74" si="79">IFERROR(J11/J8,"NA")</f>
        <v>0.45160862667984991</v>
      </c>
      <c r="K74" s="381">
        <f t="shared" si="79"/>
        <v>0.46718350758144372</v>
      </c>
      <c r="L74" s="381">
        <f t="shared" si="79"/>
        <v>0.46606464470975106</v>
      </c>
      <c r="M74" s="381">
        <f t="shared" si="79"/>
        <v>0.455008019734914</v>
      </c>
      <c r="N74" s="381">
        <f t="shared" si="79"/>
        <v>0.44988475984985743</v>
      </c>
      <c r="O74" s="466">
        <f t="shared" si="79"/>
        <v>0.4456868370137127</v>
      </c>
      <c r="P74" s="102"/>
      <c r="R74" s="471" t="str">
        <f t="shared" si="1"/>
        <v>Salaries, Wages and employees’ benefits</v>
      </c>
      <c r="S74" s="453">
        <f t="shared" ref="S74:BA74" si="80">IFERROR(S11/S8,"NA")</f>
        <v>0.55991519390881794</v>
      </c>
      <c r="T74" s="453">
        <f t="shared" si="80"/>
        <v>0.5483247710520438</v>
      </c>
      <c r="U74" s="453">
        <f t="shared" si="80"/>
        <v>0.55681564979917841</v>
      </c>
      <c r="V74" s="453">
        <f t="shared" si="80"/>
        <v>0.52111325661304075</v>
      </c>
      <c r="W74" s="453">
        <f t="shared" si="80"/>
        <v>0.54587339814893254</v>
      </c>
      <c r="X74" s="471">
        <f t="shared" si="80"/>
        <v>0.53747788342816405</v>
      </c>
      <c r="Y74" s="453">
        <f t="shared" si="80"/>
        <v>0.51408805500872334</v>
      </c>
      <c r="Z74" s="453">
        <f t="shared" si="80"/>
        <v>0.52785493065640254</v>
      </c>
      <c r="AA74" s="453">
        <f t="shared" si="80"/>
        <v>0.53240811309157998</v>
      </c>
      <c r="AB74" s="454">
        <f t="shared" si="80"/>
        <v>0.5276914639728294</v>
      </c>
      <c r="AC74" s="471">
        <f t="shared" si="80"/>
        <v>0.5366794614500322</v>
      </c>
      <c r="AD74" s="453">
        <f t="shared" si="80"/>
        <v>0.5120455842910846</v>
      </c>
      <c r="AE74" s="453">
        <f t="shared" si="80"/>
        <v>0.53351845098327755</v>
      </c>
      <c r="AF74" s="453">
        <f t="shared" si="80"/>
        <v>0.54102219764594373</v>
      </c>
      <c r="AG74" s="454">
        <f t="shared" si="80"/>
        <v>0.53052691081777659</v>
      </c>
      <c r="AH74" s="471">
        <f t="shared" si="80"/>
        <v>0.53460380469359048</v>
      </c>
      <c r="AI74" s="453">
        <f t="shared" si="80"/>
        <v>0.5364015555566185</v>
      </c>
      <c r="AJ74" s="453">
        <f t="shared" si="80"/>
        <v>0.52369259660887379</v>
      </c>
      <c r="AK74" s="453">
        <f t="shared" si="80"/>
        <v>0.5209976452415831</v>
      </c>
      <c r="AL74" s="454">
        <f t="shared" si="80"/>
        <v>0.52857658670102492</v>
      </c>
      <c r="AM74" s="471">
        <f t="shared" si="80"/>
        <v>0.50495791965691195</v>
      </c>
      <c r="AN74" s="453">
        <f t="shared" si="80"/>
        <v>0.47045418346218409</v>
      </c>
      <c r="AO74" s="453">
        <f t="shared" si="80"/>
        <v>0.44965401742246225</v>
      </c>
      <c r="AP74" s="453">
        <f t="shared" si="80"/>
        <v>0.44304718505350171</v>
      </c>
      <c r="AQ74" s="454">
        <f t="shared" si="80"/>
        <v>0.46476215360308709</v>
      </c>
      <c r="AR74" s="471">
        <f t="shared" si="80"/>
        <v>0.43777373808256309</v>
      </c>
      <c r="AS74" s="453">
        <f t="shared" si="80"/>
        <v>0.39574866475131248</v>
      </c>
      <c r="AT74" s="453">
        <f t="shared" si="80"/>
        <v>0.40743268897323187</v>
      </c>
      <c r="AU74" s="453">
        <f t="shared" si="80"/>
        <v>0.43886775878949436</v>
      </c>
      <c r="AV74" s="454">
        <f t="shared" si="80"/>
        <v>0.41888077499850473</v>
      </c>
      <c r="AW74" s="471">
        <f t="shared" si="80"/>
        <v>0.45259675868803323</v>
      </c>
      <c r="AX74" s="453">
        <f t="shared" si="80"/>
        <v>0.44900391867807238</v>
      </c>
      <c r="AY74" s="453">
        <f t="shared" si="80"/>
        <v>0.44456900911314545</v>
      </c>
      <c r="AZ74" s="453">
        <f t="shared" si="80"/>
        <v>0.46041308318644375</v>
      </c>
      <c r="BA74" s="454">
        <f t="shared" si="80"/>
        <v>0.45160862667984991</v>
      </c>
      <c r="BB74" s="471">
        <f t="shared" ref="BB74:BZ74" si="81">IFERROR(BB11/BB8,"NA")</f>
        <v>0.45273492100294793</v>
      </c>
      <c r="BC74" s="453">
        <f t="shared" si="81"/>
        <v>0.4521624208618587</v>
      </c>
      <c r="BD74" s="453">
        <f t="shared" si="81"/>
        <v>0.47278539561075072</v>
      </c>
      <c r="BE74" s="453">
        <f t="shared" si="81"/>
        <v>0.49069999999999997</v>
      </c>
      <c r="BF74" s="454">
        <f t="shared" si="81"/>
        <v>0.46718350758144372</v>
      </c>
      <c r="BG74" s="471">
        <f t="shared" si="81"/>
        <v>0.46000000000000008</v>
      </c>
      <c r="BH74" s="453">
        <f t="shared" si="81"/>
        <v>0.44950000000000001</v>
      </c>
      <c r="BI74" s="453">
        <f t="shared" si="81"/>
        <v>0.47189999999999993</v>
      </c>
      <c r="BJ74" s="453">
        <f t="shared" si="81"/>
        <v>0.4827999999999999</v>
      </c>
      <c r="BK74" s="454">
        <f t="shared" si="81"/>
        <v>0.46606464470975106</v>
      </c>
      <c r="BL74" s="471">
        <f t="shared" si="81"/>
        <v>0.4608000000000001</v>
      </c>
      <c r="BM74" s="453">
        <f t="shared" si="81"/>
        <v>0.44779999999999998</v>
      </c>
      <c r="BN74" s="453">
        <f t="shared" si="81"/>
        <v>0.45679999999999993</v>
      </c>
      <c r="BO74" s="453">
        <f t="shared" si="81"/>
        <v>0.45519999999999994</v>
      </c>
      <c r="BP74" s="454">
        <f t="shared" si="81"/>
        <v>0.455008019734914</v>
      </c>
      <c r="BQ74" s="471">
        <f t="shared" si="81"/>
        <v>0.44960000000000011</v>
      </c>
      <c r="BR74" s="453">
        <f t="shared" si="81"/>
        <v>0.44129999999999997</v>
      </c>
      <c r="BS74" s="453">
        <f t="shared" si="81"/>
        <v>0.45869999999999994</v>
      </c>
      <c r="BT74" s="453">
        <f t="shared" si="81"/>
        <v>0.44979999999999992</v>
      </c>
      <c r="BU74" s="454">
        <f t="shared" si="81"/>
        <v>0.44988475984985743</v>
      </c>
      <c r="BV74" s="471">
        <f t="shared" si="81"/>
        <v>0.4512000000000001</v>
      </c>
      <c r="BW74" s="453">
        <f t="shared" si="81"/>
        <v>0.43759999999999988</v>
      </c>
      <c r="BX74" s="453">
        <f t="shared" si="81"/>
        <v>0.45649999999999996</v>
      </c>
      <c r="BY74" s="453">
        <f t="shared" si="81"/>
        <v>0.43779999999999997</v>
      </c>
      <c r="BZ74" s="454">
        <f t="shared" si="81"/>
        <v>0.4456868370137127</v>
      </c>
    </row>
    <row r="75" spans="1:79" ht="14.1" customHeight="1" x14ac:dyDescent="0.2">
      <c r="C75" s="462" t="s">
        <v>105</v>
      </c>
      <c r="D75" s="101"/>
      <c r="E75" s="101">
        <f t="shared" ref="E75:O75" si="82">IFERROR((E74-D74)*10000,"NA")</f>
        <v>-181.81934176103144</v>
      </c>
      <c r="F75" s="101">
        <f t="shared" si="82"/>
        <v>28.35446844947187</v>
      </c>
      <c r="G75" s="101">
        <f t="shared" si="82"/>
        <v>-19.50324116751667</v>
      </c>
      <c r="H75" s="101">
        <f t="shared" si="82"/>
        <v>-638.14433097937831</v>
      </c>
      <c r="I75" s="101">
        <f t="shared" si="82"/>
        <v>-458.81378604582358</v>
      </c>
      <c r="J75" s="522">
        <f t="shared" si="82"/>
        <v>327.27851681345174</v>
      </c>
      <c r="K75" s="131">
        <f t="shared" si="82"/>
        <v>155.74880901593812</v>
      </c>
      <c r="L75" s="131">
        <f t="shared" si="82"/>
        <v>-11.188628716926608</v>
      </c>
      <c r="M75" s="131">
        <f t="shared" si="82"/>
        <v>-110.56624974837059</v>
      </c>
      <c r="N75" s="131">
        <f t="shared" si="82"/>
        <v>-51.232598850565751</v>
      </c>
      <c r="O75" s="282">
        <f t="shared" si="82"/>
        <v>-41.979228361447298</v>
      </c>
      <c r="P75" s="131"/>
      <c r="Q75" s="101"/>
      <c r="R75" s="469" t="str">
        <f t="shared" si="1"/>
        <v>Y/Y ∆ bps</v>
      </c>
      <c r="S75" s="101"/>
      <c r="T75" s="101"/>
      <c r="U75" s="101"/>
      <c r="V75" s="101"/>
      <c r="W75" s="101"/>
      <c r="X75" s="364">
        <f t="shared" ref="X75:BA75" si="83">IFERROR((X74-W74)*10000,"NA")</f>
        <v>-83.955147207684931</v>
      </c>
      <c r="Y75" s="60">
        <f t="shared" si="83"/>
        <v>-233.89828419440707</v>
      </c>
      <c r="Z75" s="60">
        <f t="shared" si="83"/>
        <v>137.668756476792</v>
      </c>
      <c r="AA75" s="60">
        <f t="shared" si="83"/>
        <v>45.531824351774389</v>
      </c>
      <c r="AB75" s="365">
        <f t="shared" si="83"/>
        <v>-47.166491187505819</v>
      </c>
      <c r="AC75" s="364">
        <f t="shared" si="83"/>
        <v>89.879974772028021</v>
      </c>
      <c r="AD75" s="60">
        <f t="shared" si="83"/>
        <v>-246.33877158947604</v>
      </c>
      <c r="AE75" s="60">
        <f t="shared" si="83"/>
        <v>214.72866692192949</v>
      </c>
      <c r="AF75" s="60">
        <f t="shared" si="83"/>
        <v>75.037466626661768</v>
      </c>
      <c r="AG75" s="365">
        <f t="shared" si="83"/>
        <v>-104.95286828167139</v>
      </c>
      <c r="AH75" s="364">
        <f t="shared" si="83"/>
        <v>40.768938758138916</v>
      </c>
      <c r="AI75" s="60">
        <f t="shared" si="83"/>
        <v>17.977508630280248</v>
      </c>
      <c r="AJ75" s="60">
        <f t="shared" si="83"/>
        <v>-127.08958947744708</v>
      </c>
      <c r="AK75" s="60">
        <f t="shared" si="83"/>
        <v>-26.949513672906988</v>
      </c>
      <c r="AL75" s="365">
        <f t="shared" si="83"/>
        <v>75.789414594418233</v>
      </c>
      <c r="AM75" s="364">
        <f t="shared" si="83"/>
        <v>-236.18667044112973</v>
      </c>
      <c r="AN75" s="60">
        <f t="shared" si="83"/>
        <v>-345.0373619472785</v>
      </c>
      <c r="AO75" s="60">
        <f t="shared" si="83"/>
        <v>-208.00166039721844</v>
      </c>
      <c r="AP75" s="60">
        <f t="shared" si="83"/>
        <v>-66.068323689605364</v>
      </c>
      <c r="AQ75" s="365">
        <f t="shared" si="83"/>
        <v>217.14968549585379</v>
      </c>
      <c r="AR75" s="364">
        <f t="shared" si="83"/>
        <v>-269.88415520524001</v>
      </c>
      <c r="AS75" s="60">
        <f t="shared" si="83"/>
        <v>-420.25073331250604</v>
      </c>
      <c r="AT75" s="60">
        <f t="shared" si="83"/>
        <v>116.84024221919387</v>
      </c>
      <c r="AU75" s="60">
        <f t="shared" si="83"/>
        <v>314.35069816262484</v>
      </c>
      <c r="AV75" s="365">
        <f t="shared" si="83"/>
        <v>-199.86983790989621</v>
      </c>
      <c r="AW75" s="364">
        <f t="shared" si="83"/>
        <v>337.15983689528497</v>
      </c>
      <c r="AX75" s="60">
        <f t="shared" si="83"/>
        <v>-35.928400099608517</v>
      </c>
      <c r="AY75" s="60">
        <f t="shared" si="83"/>
        <v>-44.349095649269252</v>
      </c>
      <c r="AZ75" s="60">
        <f t="shared" si="83"/>
        <v>158.44074073298299</v>
      </c>
      <c r="BA75" s="365">
        <f t="shared" si="83"/>
        <v>-88.044565065938386</v>
      </c>
      <c r="BB75" s="364">
        <f t="shared" ref="BB75:BZ75" si="84">IFERROR((BB74-BA74)*10000,"NA")</f>
        <v>11.262943230980206</v>
      </c>
      <c r="BC75" s="60">
        <f t="shared" si="84"/>
        <v>-5.725001410892272</v>
      </c>
      <c r="BD75" s="60">
        <f t="shared" si="84"/>
        <v>206.2297474889202</v>
      </c>
      <c r="BE75" s="60">
        <f t="shared" si="84"/>
        <v>179.14604389249246</v>
      </c>
      <c r="BF75" s="365">
        <f t="shared" si="84"/>
        <v>-235.16492418556246</v>
      </c>
      <c r="BG75" s="364">
        <f t="shared" si="84"/>
        <v>-71.835075814436493</v>
      </c>
      <c r="BH75" s="60">
        <f t="shared" si="84"/>
        <v>-105.00000000000065</v>
      </c>
      <c r="BI75" s="60">
        <f t="shared" si="84"/>
        <v>223.9999999999992</v>
      </c>
      <c r="BJ75" s="60">
        <f t="shared" si="84"/>
        <v>108.99999999999966</v>
      </c>
      <c r="BK75" s="365">
        <f t="shared" si="84"/>
        <v>-167.35355290248833</v>
      </c>
      <c r="BL75" s="364">
        <f t="shared" si="84"/>
        <v>-52.64644709750965</v>
      </c>
      <c r="BM75" s="60">
        <f t="shared" si="84"/>
        <v>-130.00000000000122</v>
      </c>
      <c r="BN75" s="60">
        <f t="shared" si="84"/>
        <v>89.999999999999531</v>
      </c>
      <c r="BO75" s="60">
        <f t="shared" si="84"/>
        <v>-15.999999999999904</v>
      </c>
      <c r="BP75" s="365">
        <f t="shared" si="84"/>
        <v>-1.9198026508593369</v>
      </c>
      <c r="BQ75" s="364">
        <f t="shared" si="84"/>
        <v>-54.080197349138935</v>
      </c>
      <c r="BR75" s="60">
        <f t="shared" si="84"/>
        <v>-83.000000000001407</v>
      </c>
      <c r="BS75" s="60">
        <f t="shared" si="84"/>
        <v>173.99999999999972</v>
      </c>
      <c r="BT75" s="60">
        <f t="shared" si="84"/>
        <v>-89.000000000000185</v>
      </c>
      <c r="BU75" s="365">
        <f t="shared" si="84"/>
        <v>0.84759849857507508</v>
      </c>
      <c r="BV75" s="364">
        <f t="shared" si="84"/>
        <v>13.152401501426713</v>
      </c>
      <c r="BW75" s="60">
        <f t="shared" si="84"/>
        <v>-136.00000000000222</v>
      </c>
      <c r="BX75" s="60">
        <f t="shared" si="84"/>
        <v>189.00000000000082</v>
      </c>
      <c r="BY75" s="60">
        <f t="shared" si="84"/>
        <v>-186.99999999999994</v>
      </c>
      <c r="BZ75" s="365">
        <f t="shared" si="84"/>
        <v>78.868370137127329</v>
      </c>
    </row>
    <row r="76" spans="1:79" s="100" customFormat="1" ht="14.1" customHeight="1" x14ac:dyDescent="0.2">
      <c r="A76"/>
      <c r="B76"/>
      <c r="C76" s="364" t="str">
        <f>C12</f>
        <v>Purchased transportation</v>
      </c>
      <c r="D76" s="453">
        <f t="shared" ref="D76:J76" si="85">IFERROR(D12/D8,"NA")</f>
        <v>7.6672435383137935E-2</v>
      </c>
      <c r="E76" s="453">
        <f t="shared" si="85"/>
        <v>7.4918568744788666E-2</v>
      </c>
      <c r="F76" s="453">
        <f t="shared" si="85"/>
        <v>7.2747217690368182E-2</v>
      </c>
      <c r="G76" s="453">
        <f t="shared" si="85"/>
        <v>7.757442796891513E-2</v>
      </c>
      <c r="H76" s="453">
        <f t="shared" si="85"/>
        <v>0.10910541511702693</v>
      </c>
      <c r="I76" s="453">
        <f t="shared" si="85"/>
        <v>0.113140956649524</v>
      </c>
      <c r="J76" s="516">
        <f t="shared" si="85"/>
        <v>8.2836560836222803E-2</v>
      </c>
      <c r="K76" s="381">
        <f>IFERROR(K12/K8,"NA")</f>
        <v>7.3523545603587301E-2</v>
      </c>
      <c r="L76" s="381">
        <f>IFERROR(L12/L8,"NA")</f>
        <v>6.0031665941289017E-2</v>
      </c>
      <c r="M76" s="381">
        <f>IFERROR(M12/M8,"NA")</f>
        <v>5.4794426864058936E-2</v>
      </c>
      <c r="N76" s="381">
        <f>IFERROR(N12/N8,"NA")</f>
        <v>4.8789175477609081E-2</v>
      </c>
      <c r="O76" s="466">
        <f>IFERROR(O12/O8,"NA")</f>
        <v>4.888105905952967E-2</v>
      </c>
      <c r="P76" s="102"/>
      <c r="R76" s="471" t="str">
        <f t="shared" si="1"/>
        <v>Purchased transportation</v>
      </c>
      <c r="S76" s="453">
        <f t="shared" ref="S76:BA76" si="86">IFERROR(S12/S8,"NA")</f>
        <v>6.4440248847070475E-2</v>
      </c>
      <c r="T76" s="453">
        <f t="shared" si="86"/>
        <v>6.243857493857493E-2</v>
      </c>
      <c r="U76" s="453">
        <f t="shared" si="86"/>
        <v>6.5914038084682144E-2</v>
      </c>
      <c r="V76" s="453">
        <f t="shared" si="86"/>
        <v>0.11099624790099383</v>
      </c>
      <c r="W76" s="453">
        <f t="shared" si="86"/>
        <v>7.6672435383137935E-2</v>
      </c>
      <c r="X76" s="471">
        <f t="shared" si="86"/>
        <v>7.6159926681177686E-2</v>
      </c>
      <c r="Y76" s="453">
        <f t="shared" si="86"/>
        <v>7.9567188826586296E-2</v>
      </c>
      <c r="Z76" s="453">
        <f t="shared" si="86"/>
        <v>7.3352413984331302E-2</v>
      </c>
      <c r="AA76" s="453">
        <f t="shared" si="86"/>
        <v>7.0458512599877093E-2</v>
      </c>
      <c r="AB76" s="454">
        <f t="shared" si="86"/>
        <v>7.4918568744788666E-2</v>
      </c>
      <c r="AC76" s="471">
        <f t="shared" si="86"/>
        <v>6.9213607934064642E-2</v>
      </c>
      <c r="AD76" s="453">
        <f t="shared" si="86"/>
        <v>7.3576837320522628E-2</v>
      </c>
      <c r="AE76" s="453">
        <f t="shared" si="86"/>
        <v>7.6442072891141022E-2</v>
      </c>
      <c r="AF76" s="453">
        <f t="shared" si="86"/>
        <v>7.1242368501235706E-2</v>
      </c>
      <c r="AG76" s="454">
        <f t="shared" si="86"/>
        <v>7.2747217690368182E-2</v>
      </c>
      <c r="AH76" s="471">
        <f t="shared" si="86"/>
        <v>6.7337072912839718E-2</v>
      </c>
      <c r="AI76" s="453">
        <f t="shared" si="86"/>
        <v>6.3155024706180618E-2</v>
      </c>
      <c r="AJ76" s="453">
        <f t="shared" si="86"/>
        <v>8.3205574044298181E-2</v>
      </c>
      <c r="AK76" s="453">
        <f t="shared" si="86"/>
        <v>9.4129473936056349E-2</v>
      </c>
      <c r="AL76" s="454">
        <f t="shared" si="86"/>
        <v>7.757442796891513E-2</v>
      </c>
      <c r="AM76" s="471">
        <f t="shared" si="86"/>
        <v>9.3025033362667681E-2</v>
      </c>
      <c r="AN76" s="453">
        <f t="shared" si="86"/>
        <v>0.10936004046676807</v>
      </c>
      <c r="AO76" s="453">
        <f t="shared" si="86"/>
        <v>0.11715534812468355</v>
      </c>
      <c r="AP76" s="453">
        <f t="shared" si="86"/>
        <v>0.11344539857814454</v>
      </c>
      <c r="AQ76" s="454">
        <f t="shared" si="86"/>
        <v>0.10910541511702693</v>
      </c>
      <c r="AR76" s="471">
        <f t="shared" si="86"/>
        <v>0.11833954411266516</v>
      </c>
      <c r="AS76" s="453">
        <f t="shared" si="86"/>
        <v>0.12315539853585389</v>
      </c>
      <c r="AT76" s="453">
        <f t="shared" si="86"/>
        <v>0.11712797147873857</v>
      </c>
      <c r="AU76" s="453">
        <f t="shared" si="86"/>
        <v>9.2076568566748979E-2</v>
      </c>
      <c r="AV76" s="454">
        <f t="shared" si="86"/>
        <v>0.113140956649524</v>
      </c>
      <c r="AW76" s="471">
        <f t="shared" si="86"/>
        <v>7.0741141650328895E-2</v>
      </c>
      <c r="AX76" s="453">
        <f t="shared" si="86"/>
        <v>7.1651920037084926E-2</v>
      </c>
      <c r="AY76" s="453">
        <f t="shared" si="86"/>
        <v>9.9008700318908474E-2</v>
      </c>
      <c r="AZ76" s="453">
        <f t="shared" si="86"/>
        <v>8.7127162735710917E-2</v>
      </c>
      <c r="BA76" s="454">
        <f t="shared" si="86"/>
        <v>8.2836560836222803E-2</v>
      </c>
      <c r="BB76" s="471">
        <f t="shared" ref="BB76:BZ76" si="87">IFERROR(BB12/BB8,"NA")</f>
        <v>6.9566427080918147E-2</v>
      </c>
      <c r="BC76" s="453">
        <f t="shared" si="87"/>
        <v>7.4154199726933934E-2</v>
      </c>
      <c r="BD76" s="453">
        <f t="shared" si="87"/>
        <v>7.7881209305750015E-2</v>
      </c>
      <c r="BE76" s="453">
        <f t="shared" si="87"/>
        <v>7.1999999999999981E-2</v>
      </c>
      <c r="BF76" s="454">
        <f t="shared" si="87"/>
        <v>7.3523545603587301E-2</v>
      </c>
      <c r="BG76" s="471">
        <f t="shared" si="87"/>
        <v>4.7500000000000001E-2</v>
      </c>
      <c r="BH76" s="453">
        <f t="shared" si="87"/>
        <v>5.11E-2</v>
      </c>
      <c r="BI76" s="453">
        <f t="shared" si="87"/>
        <v>6.8499999999999991E-2</v>
      </c>
      <c r="BJ76" s="453">
        <f t="shared" si="87"/>
        <v>7.2199999999999986E-2</v>
      </c>
      <c r="BK76" s="454">
        <f t="shared" si="87"/>
        <v>6.0031665941289017E-2</v>
      </c>
      <c r="BL76" s="471">
        <f t="shared" si="87"/>
        <v>4.4199999999999996E-2</v>
      </c>
      <c r="BM76" s="453">
        <f t="shared" si="87"/>
        <v>5.21E-2</v>
      </c>
      <c r="BN76" s="453">
        <f t="shared" si="87"/>
        <v>5.8199999999999995E-2</v>
      </c>
      <c r="BO76" s="453">
        <f t="shared" si="87"/>
        <v>6.359999999999999E-2</v>
      </c>
      <c r="BP76" s="454">
        <f t="shared" si="87"/>
        <v>5.4794426864058936E-2</v>
      </c>
      <c r="BQ76" s="471">
        <f t="shared" si="87"/>
        <v>4.3099999999999999E-2</v>
      </c>
      <c r="BR76" s="453">
        <f t="shared" si="87"/>
        <v>4.7E-2</v>
      </c>
      <c r="BS76" s="453">
        <f t="shared" si="87"/>
        <v>4.8699999999999986E-2</v>
      </c>
      <c r="BT76" s="453">
        <f t="shared" si="87"/>
        <v>5.5799999999999982E-2</v>
      </c>
      <c r="BU76" s="454">
        <f t="shared" si="87"/>
        <v>4.8789175477609081E-2</v>
      </c>
      <c r="BV76" s="471">
        <f t="shared" si="87"/>
        <v>4.2900000000000008E-2</v>
      </c>
      <c r="BW76" s="453">
        <f t="shared" si="87"/>
        <v>4.6999999999999993E-2</v>
      </c>
      <c r="BX76" s="453">
        <f t="shared" si="87"/>
        <v>4.8999999999999981E-2</v>
      </c>
      <c r="BY76" s="453">
        <f t="shared" si="87"/>
        <v>5.6099999999999976E-2</v>
      </c>
      <c r="BZ76" s="454">
        <f t="shared" si="87"/>
        <v>4.888105905952967E-2</v>
      </c>
    </row>
    <row r="77" spans="1:79" s="132" customFormat="1" ht="14.1" customHeight="1" x14ac:dyDescent="0.2">
      <c r="A77"/>
      <c r="B77"/>
      <c r="C77" s="462" t="s">
        <v>105</v>
      </c>
      <c r="E77" s="132">
        <f t="shared" ref="E77:O77" si="88">IFERROR((E76-D76)*10000,"NA")</f>
        <v>-17.538666383492689</v>
      </c>
      <c r="F77" s="132">
        <f t="shared" si="88"/>
        <v>-21.713510544204841</v>
      </c>
      <c r="G77" s="132">
        <f t="shared" si="88"/>
        <v>48.272102785469478</v>
      </c>
      <c r="H77" s="132">
        <f t="shared" si="88"/>
        <v>315.30987148111797</v>
      </c>
      <c r="I77" s="132">
        <f t="shared" si="88"/>
        <v>40.355415324970778</v>
      </c>
      <c r="J77" s="523">
        <f t="shared" si="88"/>
        <v>-303.04395813301204</v>
      </c>
      <c r="K77" s="448">
        <f t="shared" si="88"/>
        <v>-93.130152326355017</v>
      </c>
      <c r="L77" s="448">
        <f t="shared" si="88"/>
        <v>-134.91879662298285</v>
      </c>
      <c r="M77" s="448">
        <f t="shared" si="88"/>
        <v>-52.372390772300811</v>
      </c>
      <c r="N77" s="448">
        <f t="shared" si="88"/>
        <v>-60.052513864498543</v>
      </c>
      <c r="O77" s="467">
        <f t="shared" si="88"/>
        <v>0.91883581920589041</v>
      </c>
      <c r="P77" s="448"/>
      <c r="R77" s="468" t="str">
        <f t="shared" si="1"/>
        <v>Y/Y ∆ bps</v>
      </c>
      <c r="X77" s="527">
        <f t="shared" ref="X77:BA77" si="89">IFERROR((X76-W76)*10000,"NA")</f>
        <v>-5.1250870196024865</v>
      </c>
      <c r="Y77" s="132">
        <f t="shared" si="89"/>
        <v>34.072621454086097</v>
      </c>
      <c r="Z77" s="132">
        <f t="shared" si="89"/>
        <v>-62.147748422549945</v>
      </c>
      <c r="AA77" s="132">
        <f t="shared" si="89"/>
        <v>-28.939013844542089</v>
      </c>
      <c r="AB77" s="472">
        <f t="shared" si="89"/>
        <v>44.60056144911573</v>
      </c>
      <c r="AC77" s="527">
        <f t="shared" si="89"/>
        <v>-57.049608107240246</v>
      </c>
      <c r="AD77" s="132">
        <f t="shared" si="89"/>
        <v>43.632293864579871</v>
      </c>
      <c r="AE77" s="132">
        <f t="shared" si="89"/>
        <v>28.652355706183936</v>
      </c>
      <c r="AF77" s="132">
        <f t="shared" si="89"/>
        <v>-51.99704389905316</v>
      </c>
      <c r="AG77" s="472">
        <f t="shared" si="89"/>
        <v>15.048491891324762</v>
      </c>
      <c r="AH77" s="527">
        <f t="shared" si="89"/>
        <v>-54.10144777528464</v>
      </c>
      <c r="AI77" s="132">
        <f t="shared" si="89"/>
        <v>-41.820482066591005</v>
      </c>
      <c r="AJ77" s="132">
        <f t="shared" si="89"/>
        <v>200.50549338117563</v>
      </c>
      <c r="AK77" s="132">
        <f t="shared" si="89"/>
        <v>109.23899891758168</v>
      </c>
      <c r="AL77" s="472">
        <f t="shared" si="89"/>
        <v>-165.5504596714122</v>
      </c>
      <c r="AM77" s="527">
        <f t="shared" si="89"/>
        <v>154.50605393752551</v>
      </c>
      <c r="AN77" s="132">
        <f t="shared" si="89"/>
        <v>163.35007104100393</v>
      </c>
      <c r="AO77" s="132">
        <f t="shared" si="89"/>
        <v>77.95307657915474</v>
      </c>
      <c r="AP77" s="132">
        <f t="shared" si="89"/>
        <v>-37.099495465390127</v>
      </c>
      <c r="AQ77" s="472">
        <f t="shared" si="89"/>
        <v>-43.399834611176082</v>
      </c>
      <c r="AR77" s="527">
        <f t="shared" si="89"/>
        <v>92.341289956382326</v>
      </c>
      <c r="AS77" s="132">
        <f t="shared" si="89"/>
        <v>48.158544231887284</v>
      </c>
      <c r="AT77" s="132">
        <f t="shared" si="89"/>
        <v>-60.274270571153146</v>
      </c>
      <c r="AU77" s="132">
        <f t="shared" si="89"/>
        <v>-250.51402911989595</v>
      </c>
      <c r="AV77" s="472">
        <f t="shared" si="89"/>
        <v>210.64388082775025</v>
      </c>
      <c r="AW77" s="527">
        <f t="shared" si="89"/>
        <v>-423.9981499919511</v>
      </c>
      <c r="AX77" s="132">
        <f t="shared" si="89"/>
        <v>9.1077838675603093</v>
      </c>
      <c r="AY77" s="132">
        <f t="shared" si="89"/>
        <v>273.56780281823546</v>
      </c>
      <c r="AZ77" s="132">
        <f t="shared" si="89"/>
        <v>-118.81537583197557</v>
      </c>
      <c r="BA77" s="472">
        <f t="shared" si="89"/>
        <v>-42.906018994881137</v>
      </c>
      <c r="BB77" s="527">
        <f t="shared" ref="BB77:BZ77" si="90">IFERROR((BB76-BA76)*10000,"NA")</f>
        <v>-132.70133755304656</v>
      </c>
      <c r="BC77" s="132">
        <f t="shared" si="90"/>
        <v>45.877726460157866</v>
      </c>
      <c r="BD77" s="132">
        <f t="shared" si="90"/>
        <v>37.270095788160816</v>
      </c>
      <c r="BE77" s="132">
        <f t="shared" si="90"/>
        <v>-58.812093057500348</v>
      </c>
      <c r="BF77" s="472">
        <f t="shared" si="90"/>
        <v>15.235456035873202</v>
      </c>
      <c r="BG77" s="527">
        <f t="shared" si="90"/>
        <v>-260.23545603587303</v>
      </c>
      <c r="BH77" s="132">
        <f t="shared" si="90"/>
        <v>35.999999999999993</v>
      </c>
      <c r="BI77" s="132">
        <f t="shared" si="90"/>
        <v>173.99999999999991</v>
      </c>
      <c r="BJ77" s="132">
        <f t="shared" si="90"/>
        <v>36.99999999999995</v>
      </c>
      <c r="BK77" s="472">
        <f t="shared" si="90"/>
        <v>-121.6833405871097</v>
      </c>
      <c r="BL77" s="527">
        <f t="shared" si="90"/>
        <v>-158.3166594128902</v>
      </c>
      <c r="BM77" s="132">
        <f t="shared" si="90"/>
        <v>79.000000000000043</v>
      </c>
      <c r="BN77" s="132">
        <f t="shared" si="90"/>
        <v>60.999999999999943</v>
      </c>
      <c r="BO77" s="132">
        <f t="shared" si="90"/>
        <v>53.99999999999995</v>
      </c>
      <c r="BP77" s="472">
        <f t="shared" si="90"/>
        <v>-88.055731359410544</v>
      </c>
      <c r="BQ77" s="527">
        <f t="shared" si="90"/>
        <v>-116.94426864058936</v>
      </c>
      <c r="BR77" s="132">
        <f t="shared" si="90"/>
        <v>39.000000000000007</v>
      </c>
      <c r="BS77" s="132">
        <f t="shared" si="90"/>
        <v>16.999999999999861</v>
      </c>
      <c r="BT77" s="132">
        <f t="shared" si="90"/>
        <v>70.999999999999957</v>
      </c>
      <c r="BU77" s="472">
        <f t="shared" si="90"/>
        <v>-70.108245223909009</v>
      </c>
      <c r="BV77" s="527">
        <f t="shared" si="90"/>
        <v>-58.891754776090735</v>
      </c>
      <c r="BW77" s="132">
        <f t="shared" si="90"/>
        <v>40.999999999999858</v>
      </c>
      <c r="BX77" s="132">
        <f t="shared" si="90"/>
        <v>19.999999999999879</v>
      </c>
      <c r="BY77" s="132">
        <f t="shared" si="90"/>
        <v>70.999999999999957</v>
      </c>
      <c r="BZ77" s="472">
        <f t="shared" si="90"/>
        <v>-72.189409404703056</v>
      </c>
    </row>
    <row r="78" spans="1:79" s="100" customFormat="1" ht="14.1" customHeight="1" x14ac:dyDescent="0.2">
      <c r="A78"/>
      <c r="B78"/>
      <c r="C78" s="364" t="str">
        <f>C13</f>
        <v>Fuel, operating expenses and supplies</v>
      </c>
      <c r="D78" s="453">
        <f t="shared" ref="D78:J78" si="91">IFERROR(D13/D8,"NA")</f>
        <v>0.19085173164718805</v>
      </c>
      <c r="E78" s="453">
        <f t="shared" si="91"/>
        <v>0.19651128972475723</v>
      </c>
      <c r="F78" s="453">
        <f t="shared" si="91"/>
        <v>0.19032257161806312</v>
      </c>
      <c r="G78" s="453">
        <f t="shared" si="91"/>
        <v>0.16420082464225078</v>
      </c>
      <c r="H78" s="453">
        <f t="shared" si="91"/>
        <v>0.1668647409188781</v>
      </c>
      <c r="I78" s="453">
        <f t="shared" si="91"/>
        <v>0.20001597388591996</v>
      </c>
      <c r="J78" s="516">
        <f t="shared" si="91"/>
        <v>0.1956276616530733</v>
      </c>
      <c r="K78" s="381">
        <f>IFERROR(K13/K8,"NA")</f>
        <v>0.19256208661250368</v>
      </c>
      <c r="L78" s="381">
        <f>IFERROR(L13/L8,"NA")</f>
        <v>0.17650582085109134</v>
      </c>
      <c r="M78" s="381">
        <f>IFERROR(M13/M8,"NA")</f>
        <v>0.17632383740058921</v>
      </c>
      <c r="N78" s="381">
        <f>IFERROR(N13/N8,"NA")</f>
        <v>0.17580669675977656</v>
      </c>
      <c r="O78" s="466">
        <f>IFERROR(O13/O8,"NA")</f>
        <v>0.16854097544861676</v>
      </c>
      <c r="P78" s="102"/>
      <c r="R78" s="471" t="str">
        <f t="shared" si="1"/>
        <v>Fuel, operating expenses and supplies</v>
      </c>
      <c r="S78" s="453">
        <f t="shared" ref="S78:BA78" si="92">IFERROR(S13/S8,"NA")</f>
        <v>0.19805626915101057</v>
      </c>
      <c r="T78" s="453">
        <f t="shared" si="92"/>
        <v>0.18453205271387088</v>
      </c>
      <c r="U78" s="453">
        <f t="shared" si="92"/>
        <v>0.19047768680976512</v>
      </c>
      <c r="V78" s="453">
        <f t="shared" si="92"/>
        <v>0.1910303140675591</v>
      </c>
      <c r="W78" s="453">
        <f t="shared" si="92"/>
        <v>0.19085173164718805</v>
      </c>
      <c r="X78" s="471">
        <f t="shared" si="92"/>
        <v>0.20059316963887933</v>
      </c>
      <c r="Y78" s="453">
        <f t="shared" si="92"/>
        <v>0.19766427511825568</v>
      </c>
      <c r="Z78" s="453">
        <f t="shared" si="92"/>
        <v>0.19184748638271273</v>
      </c>
      <c r="AA78" s="453">
        <f t="shared" si="92"/>
        <v>0.19623355869698847</v>
      </c>
      <c r="AB78" s="454">
        <f t="shared" si="92"/>
        <v>0.19651128972475723</v>
      </c>
      <c r="AC78" s="471">
        <f t="shared" si="92"/>
        <v>0.20347358883931183</v>
      </c>
      <c r="AD78" s="453">
        <f t="shared" si="92"/>
        <v>0.18381930007863076</v>
      </c>
      <c r="AE78" s="453">
        <f t="shared" si="92"/>
        <v>0.17969848003054015</v>
      </c>
      <c r="AF78" s="453">
        <f t="shared" si="92"/>
        <v>0.19619243226163208</v>
      </c>
      <c r="AG78" s="454">
        <f t="shared" si="92"/>
        <v>0.19032257161806312</v>
      </c>
      <c r="AH78" s="471">
        <f t="shared" si="92"/>
        <v>0.18570730920527961</v>
      </c>
      <c r="AI78" s="453">
        <f t="shared" si="92"/>
        <v>0.1576173005448275</v>
      </c>
      <c r="AJ78" s="453">
        <f t="shared" si="92"/>
        <v>0.15394682720711961</v>
      </c>
      <c r="AK78" s="453">
        <f t="shared" si="92"/>
        <v>0.16018863251917176</v>
      </c>
      <c r="AL78" s="454">
        <f t="shared" si="92"/>
        <v>0.16420082464225078</v>
      </c>
      <c r="AM78" s="471">
        <f t="shared" si="92"/>
        <v>0.17538847366311761</v>
      </c>
      <c r="AN78" s="453">
        <f t="shared" si="92"/>
        <v>0.15868854065842514</v>
      </c>
      <c r="AO78" s="453">
        <f t="shared" si="92"/>
        <v>0.16038856504861931</v>
      </c>
      <c r="AP78" s="453">
        <f t="shared" si="92"/>
        <v>0.17421537853215377</v>
      </c>
      <c r="AQ78" s="454">
        <f t="shared" si="92"/>
        <v>0.1668647409188781</v>
      </c>
      <c r="AR78" s="471">
        <f t="shared" si="92"/>
        <v>0.18567457532788076</v>
      </c>
      <c r="AS78" s="453">
        <f t="shared" si="92"/>
        <v>0.19519712857821164</v>
      </c>
      <c r="AT78" s="453">
        <f t="shared" si="92"/>
        <v>0.19938154588855492</v>
      </c>
      <c r="AU78" s="453">
        <f t="shared" si="92"/>
        <v>0.22066228882185562</v>
      </c>
      <c r="AV78" s="454">
        <f t="shared" si="92"/>
        <v>0.20001597388591996</v>
      </c>
      <c r="AW78" s="471">
        <f t="shared" si="92"/>
        <v>0.21440953166751195</v>
      </c>
      <c r="AX78" s="453">
        <f t="shared" si="92"/>
        <v>0.19217646432160226</v>
      </c>
      <c r="AY78" s="453">
        <f t="shared" si="92"/>
        <v>0.18613573735976802</v>
      </c>
      <c r="AZ78" s="453">
        <f t="shared" si="92"/>
        <v>0.19209805999478111</v>
      </c>
      <c r="BA78" s="454">
        <f t="shared" si="92"/>
        <v>0.1956276616530733</v>
      </c>
      <c r="BB78" s="471">
        <f t="shared" ref="BB78:BZ78" si="93">IFERROR(BB13/BB8,"NA")</f>
        <v>0.20711470305720248</v>
      </c>
      <c r="BC78" s="453">
        <f t="shared" si="93"/>
        <v>0.19541836928055353</v>
      </c>
      <c r="BD78" s="453">
        <f t="shared" si="93"/>
        <v>0.18849594408284973</v>
      </c>
      <c r="BE78" s="453">
        <f t="shared" si="93"/>
        <v>0.17999999999999997</v>
      </c>
      <c r="BF78" s="454">
        <f t="shared" si="93"/>
        <v>0.19256208661250368</v>
      </c>
      <c r="BG78" s="471">
        <f t="shared" si="93"/>
        <v>0.18500000000000003</v>
      </c>
      <c r="BH78" s="453">
        <f t="shared" si="93"/>
        <v>0.17199999999999999</v>
      </c>
      <c r="BI78" s="453">
        <f t="shared" si="93"/>
        <v>0.17459999999999995</v>
      </c>
      <c r="BJ78" s="453">
        <f t="shared" si="93"/>
        <v>0.17519999999999997</v>
      </c>
      <c r="BK78" s="454">
        <f t="shared" si="93"/>
        <v>0.17650582085109134</v>
      </c>
      <c r="BL78" s="471">
        <f t="shared" si="93"/>
        <v>0.1898</v>
      </c>
      <c r="BM78" s="453">
        <f t="shared" si="93"/>
        <v>0.17729999999999999</v>
      </c>
      <c r="BN78" s="453">
        <f t="shared" si="93"/>
        <v>0.16839999999999991</v>
      </c>
      <c r="BO78" s="453">
        <f t="shared" si="93"/>
        <v>0.17119999999999996</v>
      </c>
      <c r="BP78" s="454">
        <f t="shared" si="93"/>
        <v>0.17632383740058921</v>
      </c>
      <c r="BQ78" s="471">
        <f t="shared" si="93"/>
        <v>0.18899999999999997</v>
      </c>
      <c r="BR78" s="453">
        <f t="shared" si="93"/>
        <v>0.1764</v>
      </c>
      <c r="BS78" s="453">
        <f t="shared" si="93"/>
        <v>0.16629999999999992</v>
      </c>
      <c r="BT78" s="453">
        <f t="shared" si="93"/>
        <v>0.17299999999999996</v>
      </c>
      <c r="BU78" s="454">
        <f t="shared" si="93"/>
        <v>0.17580669675977656</v>
      </c>
      <c r="BV78" s="471">
        <f t="shared" si="93"/>
        <v>0.18169999999999997</v>
      </c>
      <c r="BW78" s="453">
        <f t="shared" si="93"/>
        <v>0.1681</v>
      </c>
      <c r="BX78" s="453">
        <f t="shared" si="93"/>
        <v>0.15799999999999995</v>
      </c>
      <c r="BY78" s="453">
        <f t="shared" si="93"/>
        <v>0.16789999999999994</v>
      </c>
      <c r="BZ78" s="454">
        <f t="shared" si="93"/>
        <v>0.16854097544861676</v>
      </c>
    </row>
    <row r="79" spans="1:79" s="132" customFormat="1" ht="14.1" customHeight="1" x14ac:dyDescent="0.2">
      <c r="A79"/>
      <c r="B79"/>
      <c r="C79" s="462" t="s">
        <v>105</v>
      </c>
      <c r="E79" s="132">
        <f t="shared" ref="E79:O79" si="94">IFERROR((E78-D78)*10000,"NA")</f>
        <v>56.595580775691822</v>
      </c>
      <c r="F79" s="132">
        <f t="shared" si="94"/>
        <v>-61.887181066941075</v>
      </c>
      <c r="G79" s="132">
        <f t="shared" si="94"/>
        <v>-261.21746975812351</v>
      </c>
      <c r="H79" s="132">
        <f t="shared" si="94"/>
        <v>26.639162766273206</v>
      </c>
      <c r="I79" s="132">
        <f t="shared" si="94"/>
        <v>331.51232967041864</v>
      </c>
      <c r="J79" s="523">
        <f t="shared" si="94"/>
        <v>-43.883122328466641</v>
      </c>
      <c r="K79" s="448">
        <f t="shared" si="94"/>
        <v>-30.655750405696182</v>
      </c>
      <c r="L79" s="448">
        <f t="shared" si="94"/>
        <v>-160.56265761412337</v>
      </c>
      <c r="M79" s="448">
        <f t="shared" si="94"/>
        <v>-1.8198345050213227</v>
      </c>
      <c r="N79" s="448">
        <f t="shared" si="94"/>
        <v>-5.1714064081265221</v>
      </c>
      <c r="O79" s="467">
        <f t="shared" si="94"/>
        <v>-72.657213111597954</v>
      </c>
      <c r="P79" s="448"/>
      <c r="R79" s="468" t="str">
        <f t="shared" si="1"/>
        <v>Y/Y ∆ bps</v>
      </c>
      <c r="X79" s="527">
        <f t="shared" ref="X79:BA79" si="95">IFERROR((X78-W78)*10000,"NA")</f>
        <v>97.414379916912765</v>
      </c>
      <c r="Y79" s="132">
        <f t="shared" si="95"/>
        <v>-29.288945206236427</v>
      </c>
      <c r="Z79" s="132">
        <f t="shared" si="95"/>
        <v>-58.167887355429492</v>
      </c>
      <c r="AA79" s="132">
        <f t="shared" si="95"/>
        <v>43.860723142757351</v>
      </c>
      <c r="AB79" s="472">
        <f t="shared" si="95"/>
        <v>2.7773102776876279</v>
      </c>
      <c r="AC79" s="527">
        <f t="shared" si="95"/>
        <v>69.622991145545939</v>
      </c>
      <c r="AD79" s="132">
        <f t="shared" si="95"/>
        <v>-196.54288760681067</v>
      </c>
      <c r="AE79" s="132">
        <f t="shared" si="95"/>
        <v>-41.208200480906122</v>
      </c>
      <c r="AF79" s="132">
        <f t="shared" si="95"/>
        <v>164.9395223109193</v>
      </c>
      <c r="AG79" s="472">
        <f t="shared" si="95"/>
        <v>-58.698606435689527</v>
      </c>
      <c r="AH79" s="527">
        <f t="shared" si="95"/>
        <v>-46.152624127835104</v>
      </c>
      <c r="AI79" s="132">
        <f t="shared" si="95"/>
        <v>-280.90008660452111</v>
      </c>
      <c r="AJ79" s="132">
        <f t="shared" si="95"/>
        <v>-36.704733377078966</v>
      </c>
      <c r="AK79" s="132">
        <f t="shared" si="95"/>
        <v>62.418053120521513</v>
      </c>
      <c r="AL79" s="472">
        <f t="shared" si="95"/>
        <v>40.121921230790171</v>
      </c>
      <c r="AM79" s="527">
        <f t="shared" si="95"/>
        <v>111.8764902086683</v>
      </c>
      <c r="AN79" s="132">
        <f t="shared" si="95"/>
        <v>-166.99933004692468</v>
      </c>
      <c r="AO79" s="132">
        <f t="shared" si="95"/>
        <v>17.000243901941769</v>
      </c>
      <c r="AP79" s="132">
        <f t="shared" si="95"/>
        <v>138.26813483534457</v>
      </c>
      <c r="AQ79" s="472">
        <f t="shared" si="95"/>
        <v>-73.506376132756728</v>
      </c>
      <c r="AR79" s="527">
        <f t="shared" si="95"/>
        <v>188.09834409002661</v>
      </c>
      <c r="AS79" s="132">
        <f t="shared" si="95"/>
        <v>95.225532503308841</v>
      </c>
      <c r="AT79" s="132">
        <f t="shared" si="95"/>
        <v>41.844173103432745</v>
      </c>
      <c r="AU79" s="132">
        <f t="shared" si="95"/>
        <v>212.80742933300706</v>
      </c>
      <c r="AV79" s="472">
        <f t="shared" si="95"/>
        <v>-206.46314935935661</v>
      </c>
      <c r="AW79" s="527">
        <f t="shared" si="95"/>
        <v>143.93557781591986</v>
      </c>
      <c r="AX79" s="132">
        <f t="shared" si="95"/>
        <v>-222.33067345909686</v>
      </c>
      <c r="AY79" s="132">
        <f t="shared" si="95"/>
        <v>-60.407269618342475</v>
      </c>
      <c r="AZ79" s="132">
        <f t="shared" si="95"/>
        <v>59.623226350130899</v>
      </c>
      <c r="BA79" s="472">
        <f t="shared" si="95"/>
        <v>35.296016582921922</v>
      </c>
      <c r="BB79" s="527">
        <f t="shared" ref="BB79:BZ79" si="96">IFERROR((BB78-BA78)*10000,"NA")</f>
        <v>114.87041404129178</v>
      </c>
      <c r="BC79" s="132">
        <f t="shared" si="96"/>
        <v>-116.96333776648943</v>
      </c>
      <c r="BD79" s="132">
        <f t="shared" si="96"/>
        <v>-69.22425197703808</v>
      </c>
      <c r="BE79" s="132">
        <f t="shared" si="96"/>
        <v>-84.959440828497605</v>
      </c>
      <c r="BF79" s="472">
        <f t="shared" si="96"/>
        <v>125.62086612503714</v>
      </c>
      <c r="BG79" s="527">
        <f t="shared" si="96"/>
        <v>-75.620866125036542</v>
      </c>
      <c r="BH79" s="132">
        <f t="shared" si="96"/>
        <v>-130.0000000000004</v>
      </c>
      <c r="BI79" s="132">
        <f t="shared" si="96"/>
        <v>25.999999999999634</v>
      </c>
      <c r="BJ79" s="132">
        <f t="shared" si="96"/>
        <v>6.0000000000001723</v>
      </c>
      <c r="BK79" s="472">
        <f t="shared" si="96"/>
        <v>13.058208510913772</v>
      </c>
      <c r="BL79" s="527">
        <f t="shared" si="96"/>
        <v>132.94179148908651</v>
      </c>
      <c r="BM79" s="132">
        <f t="shared" si="96"/>
        <v>-125.00000000000011</v>
      </c>
      <c r="BN79" s="132">
        <f t="shared" si="96"/>
        <v>-89.000000000000739</v>
      </c>
      <c r="BO79" s="132">
        <f t="shared" si="96"/>
        <v>28.000000000000526</v>
      </c>
      <c r="BP79" s="472">
        <f t="shared" si="96"/>
        <v>51.238374005892481</v>
      </c>
      <c r="BQ79" s="527">
        <f t="shared" si="96"/>
        <v>126.76162599410762</v>
      </c>
      <c r="BR79" s="132">
        <f t="shared" si="96"/>
        <v>-125.99999999999973</v>
      </c>
      <c r="BS79" s="132">
        <f t="shared" si="96"/>
        <v>-101.00000000000081</v>
      </c>
      <c r="BT79" s="132">
        <f t="shared" si="96"/>
        <v>67.000000000000398</v>
      </c>
      <c r="BU79" s="472">
        <f t="shared" si="96"/>
        <v>28.066967597766002</v>
      </c>
      <c r="BV79" s="527">
        <f t="shared" si="96"/>
        <v>58.933032402234133</v>
      </c>
      <c r="BW79" s="132">
        <f t="shared" si="96"/>
        <v>-135.99999999999974</v>
      </c>
      <c r="BX79" s="132">
        <f t="shared" si="96"/>
        <v>-101.00000000000054</v>
      </c>
      <c r="BY79" s="132">
        <f t="shared" si="96"/>
        <v>98.999999999999915</v>
      </c>
      <c r="BZ79" s="472">
        <f t="shared" si="96"/>
        <v>6.4097544861682625</v>
      </c>
    </row>
    <row r="80" spans="1:79" s="100" customFormat="1" ht="14.1" customHeight="1" x14ac:dyDescent="0.2">
      <c r="A80"/>
      <c r="B80"/>
      <c r="C80" s="364" t="str">
        <f>C14</f>
        <v>Operating taxes and licenses</v>
      </c>
      <c r="D80" s="453">
        <f t="shared" ref="D80:J80" si="97">IFERROR(D14/D8,"NA")</f>
        <v>3.0846378202367332E-2</v>
      </c>
      <c r="E80" s="453">
        <f t="shared" si="97"/>
        <v>3.0286319972379582E-2</v>
      </c>
      <c r="F80" s="453">
        <f t="shared" si="97"/>
        <v>3.0444917685051226E-2</v>
      </c>
      <c r="G80" s="453">
        <f t="shared" si="97"/>
        <v>3.0890611435902555E-2</v>
      </c>
      <c r="H80" s="453">
        <f t="shared" si="97"/>
        <v>2.5820289561253876E-2</v>
      </c>
      <c r="I80" s="453">
        <f t="shared" si="97"/>
        <v>2.2859132173877542E-2</v>
      </c>
      <c r="J80" s="516">
        <f t="shared" si="97"/>
        <v>2.4134519178478208E-2</v>
      </c>
      <c r="K80" s="381">
        <f>IFERROR(K14/K8,"NA")</f>
        <v>2.4435314737063576E-2</v>
      </c>
      <c r="L80" s="381">
        <f>IFERROR(L14/L8,"NA")</f>
        <v>2.368256862990567E-2</v>
      </c>
      <c r="M80" s="381">
        <f>IFERROR(M14/M8,"NA")</f>
        <v>2.2222003746675458E-2</v>
      </c>
      <c r="N80" s="381">
        <f>IFERROR(N14/N8,"NA")</f>
        <v>2.0371320174896231E-2</v>
      </c>
      <c r="O80" s="466">
        <f>IFERROR(O14/O8,"NA")</f>
        <v>1.9423282884982712E-2</v>
      </c>
      <c r="P80" s="102"/>
      <c r="R80" s="471" t="str">
        <f t="shared" si="1"/>
        <v>Operating taxes and licenses</v>
      </c>
      <c r="S80" s="453">
        <f t="shared" ref="S80:BA80" si="98">IFERROR(S14/S8,"NA")</f>
        <v>3.2752483828035535E-2</v>
      </c>
      <c r="T80" s="453">
        <f t="shared" si="98"/>
        <v>3.0363524681706496E-2</v>
      </c>
      <c r="U80" s="453">
        <f t="shared" si="98"/>
        <v>3.0368906079494488E-2</v>
      </c>
      <c r="V80" s="453">
        <f t="shared" si="98"/>
        <v>3.0107849412546083E-2</v>
      </c>
      <c r="W80" s="453">
        <f t="shared" si="98"/>
        <v>3.0846378202367332E-2</v>
      </c>
      <c r="X80" s="471">
        <f t="shared" si="98"/>
        <v>3.0931378164738229E-2</v>
      </c>
      <c r="Y80" s="453">
        <f t="shared" si="98"/>
        <v>2.9841486056557474E-2</v>
      </c>
      <c r="Z80" s="453">
        <f t="shared" si="98"/>
        <v>2.9058045596176349E-2</v>
      </c>
      <c r="AA80" s="453">
        <f t="shared" si="98"/>
        <v>3.1417332513829145E-2</v>
      </c>
      <c r="AB80" s="454">
        <f t="shared" si="98"/>
        <v>3.0286319972379582E-2</v>
      </c>
      <c r="AC80" s="471">
        <f t="shared" si="98"/>
        <v>3.2154199871402687E-2</v>
      </c>
      <c r="AD80" s="453">
        <f t="shared" si="98"/>
        <v>2.9145079115457943E-2</v>
      </c>
      <c r="AE80" s="453">
        <f t="shared" si="98"/>
        <v>2.9077120268889783E-2</v>
      </c>
      <c r="AF80" s="453">
        <f t="shared" si="98"/>
        <v>3.1670296683330892E-2</v>
      </c>
      <c r="AG80" s="454">
        <f t="shared" si="98"/>
        <v>3.0444917685051226E-2</v>
      </c>
      <c r="AH80" s="471">
        <f t="shared" si="98"/>
        <v>3.224939291570713E-2</v>
      </c>
      <c r="AI80" s="453">
        <f t="shared" si="98"/>
        <v>3.286902615076271E-2</v>
      </c>
      <c r="AJ80" s="453">
        <f t="shared" si="98"/>
        <v>2.9210135985740817E-2</v>
      </c>
      <c r="AK80" s="453">
        <f t="shared" si="98"/>
        <v>2.9579291557708359E-2</v>
      </c>
      <c r="AL80" s="454">
        <f t="shared" si="98"/>
        <v>3.0890611435902555E-2</v>
      </c>
      <c r="AM80" s="471">
        <f t="shared" si="98"/>
        <v>2.9619438350334863E-2</v>
      </c>
      <c r="AN80" s="453">
        <f t="shared" si="98"/>
        <v>2.548251195012366E-2</v>
      </c>
      <c r="AO80" s="453">
        <f t="shared" si="98"/>
        <v>2.3647552157035841E-2</v>
      </c>
      <c r="AP80" s="453">
        <f t="shared" si="98"/>
        <v>2.5322445513635976E-2</v>
      </c>
      <c r="AQ80" s="454">
        <f t="shared" si="98"/>
        <v>2.5820289561253876E-2</v>
      </c>
      <c r="AR80" s="471">
        <f t="shared" si="98"/>
        <v>2.5064426753133622E-2</v>
      </c>
      <c r="AS80" s="453">
        <f t="shared" si="98"/>
        <v>2.1432384508700913E-2</v>
      </c>
      <c r="AT80" s="453">
        <f t="shared" si="98"/>
        <v>2.2288746246030146E-2</v>
      </c>
      <c r="AU80" s="453">
        <f t="shared" si="98"/>
        <v>2.2892183625477722E-2</v>
      </c>
      <c r="AV80" s="454">
        <f t="shared" si="98"/>
        <v>2.2859132173877542E-2</v>
      </c>
      <c r="AW80" s="471">
        <f t="shared" si="98"/>
        <v>2.5835118502426067E-2</v>
      </c>
      <c r="AX80" s="453">
        <f t="shared" si="98"/>
        <v>2.5131654338618706E-2</v>
      </c>
      <c r="AY80" s="453">
        <f t="shared" si="98"/>
        <v>2.1954630365454676E-2</v>
      </c>
      <c r="AZ80" s="453">
        <f t="shared" si="98"/>
        <v>2.3966493239537118E-2</v>
      </c>
      <c r="BA80" s="454">
        <f t="shared" si="98"/>
        <v>2.4134519178478208E-2</v>
      </c>
      <c r="BB80" s="471">
        <f t="shared" ref="BB80:BZ80" si="99">IFERROR(BB14/BB8,"NA")</f>
        <v>2.6187936802358317E-2</v>
      </c>
      <c r="BC80" s="453">
        <f t="shared" si="99"/>
        <v>2.3921218982464496E-2</v>
      </c>
      <c r="BD80" s="453">
        <f t="shared" si="99"/>
        <v>2.3681188643194479E-2</v>
      </c>
      <c r="BE80" s="453">
        <f t="shared" si="99"/>
        <v>2.4099999999999996E-2</v>
      </c>
      <c r="BF80" s="454">
        <f t="shared" si="99"/>
        <v>2.4435314737063576E-2</v>
      </c>
      <c r="BG80" s="471">
        <f t="shared" si="99"/>
        <v>2.5700000000000004E-2</v>
      </c>
      <c r="BH80" s="453">
        <f t="shared" si="99"/>
        <v>2.3299999999999998E-2</v>
      </c>
      <c r="BI80" s="453">
        <f t="shared" si="99"/>
        <v>2.2999999999999996E-2</v>
      </c>
      <c r="BJ80" s="453">
        <f t="shared" si="99"/>
        <v>2.2899999999999997E-2</v>
      </c>
      <c r="BK80" s="454">
        <f t="shared" si="99"/>
        <v>2.368256862990567E-2</v>
      </c>
      <c r="BL80" s="471">
        <f t="shared" si="99"/>
        <v>2.4300000000000002E-2</v>
      </c>
      <c r="BM80" s="453">
        <f t="shared" si="99"/>
        <v>2.1900000000000003E-2</v>
      </c>
      <c r="BN80" s="453">
        <f t="shared" si="99"/>
        <v>2.1599999999999994E-2</v>
      </c>
      <c r="BO80" s="453">
        <f t="shared" si="99"/>
        <v>2.1299999999999996E-2</v>
      </c>
      <c r="BP80" s="454">
        <f t="shared" si="99"/>
        <v>2.2222003746675458E-2</v>
      </c>
      <c r="BQ80" s="471">
        <f t="shared" si="99"/>
        <v>2.2400000000000003E-2</v>
      </c>
      <c r="BR80" s="453">
        <f t="shared" si="99"/>
        <v>2.01E-2</v>
      </c>
      <c r="BS80" s="453">
        <f t="shared" si="99"/>
        <v>1.9699999999999999E-2</v>
      </c>
      <c r="BT80" s="453">
        <f t="shared" si="99"/>
        <v>1.9499999999999997E-2</v>
      </c>
      <c r="BU80" s="454">
        <f t="shared" si="99"/>
        <v>2.0371320174896231E-2</v>
      </c>
      <c r="BV80" s="471">
        <f t="shared" si="99"/>
        <v>2.1400000000000002E-2</v>
      </c>
      <c r="BW80" s="453">
        <f t="shared" si="99"/>
        <v>1.9E-2</v>
      </c>
      <c r="BX80" s="453">
        <f t="shared" si="99"/>
        <v>1.8899999999999997E-2</v>
      </c>
      <c r="BY80" s="453">
        <f t="shared" si="99"/>
        <v>1.8599999999999995E-2</v>
      </c>
      <c r="BZ80" s="454">
        <f t="shared" si="99"/>
        <v>1.9423282884982712E-2</v>
      </c>
    </row>
    <row r="81" spans="1:78" s="132" customFormat="1" ht="14.1" customHeight="1" x14ac:dyDescent="0.2">
      <c r="A81"/>
      <c r="B81"/>
      <c r="C81" s="462" t="s">
        <v>105</v>
      </c>
      <c r="E81" s="132">
        <f t="shared" ref="E81:O81" si="100">IFERROR((E80-D80)*10000,"NA")</f>
        <v>-5.6005822998774972</v>
      </c>
      <c r="F81" s="132">
        <f t="shared" si="100"/>
        <v>1.5859771267164382</v>
      </c>
      <c r="G81" s="132">
        <f t="shared" si="100"/>
        <v>4.4569375085132954</v>
      </c>
      <c r="H81" s="132">
        <f t="shared" si="100"/>
        <v>-50.70321874648679</v>
      </c>
      <c r="I81" s="132">
        <f t="shared" si="100"/>
        <v>-29.611573873763348</v>
      </c>
      <c r="J81" s="523">
        <f t="shared" si="100"/>
        <v>12.753870046006664</v>
      </c>
      <c r="K81" s="448">
        <f t="shared" si="100"/>
        <v>3.0079555858536846</v>
      </c>
      <c r="L81" s="448">
        <f t="shared" si="100"/>
        <v>-7.5274610715790615</v>
      </c>
      <c r="M81" s="448">
        <f t="shared" si="100"/>
        <v>-14.605648832302123</v>
      </c>
      <c r="N81" s="448">
        <f t="shared" si="100"/>
        <v>-18.506835717792271</v>
      </c>
      <c r="O81" s="467">
        <f t="shared" si="100"/>
        <v>-9.4803728991351903</v>
      </c>
      <c r="P81" s="448"/>
      <c r="R81" s="468" t="str">
        <f t="shared" si="1"/>
        <v>Y/Y ∆ bps</v>
      </c>
      <c r="X81" s="527">
        <f t="shared" ref="X81:BA81" si="101">IFERROR((X80-W80)*10000,"NA")</f>
        <v>0.84999962370897042</v>
      </c>
      <c r="Y81" s="132">
        <f t="shared" si="101"/>
        <v>-10.898921081807545</v>
      </c>
      <c r="Z81" s="132">
        <f t="shared" si="101"/>
        <v>-7.8344046038112545</v>
      </c>
      <c r="AA81" s="132">
        <f t="shared" si="101"/>
        <v>23.592869176527962</v>
      </c>
      <c r="AB81" s="472">
        <f t="shared" si="101"/>
        <v>-11.31012541449563</v>
      </c>
      <c r="AC81" s="527">
        <f t="shared" si="101"/>
        <v>18.678798990231055</v>
      </c>
      <c r="AD81" s="132">
        <f t="shared" si="101"/>
        <v>-30.091207559447447</v>
      </c>
      <c r="AE81" s="132">
        <f t="shared" si="101"/>
        <v>-0.67958846568159226</v>
      </c>
      <c r="AF81" s="132">
        <f t="shared" si="101"/>
        <v>25.93176414441109</v>
      </c>
      <c r="AG81" s="472">
        <f t="shared" si="101"/>
        <v>-12.253789982796665</v>
      </c>
      <c r="AH81" s="527">
        <f t="shared" si="101"/>
        <v>18.04475230655904</v>
      </c>
      <c r="AI81" s="132">
        <f t="shared" si="101"/>
        <v>6.1963323505558057</v>
      </c>
      <c r="AJ81" s="132">
        <f t="shared" si="101"/>
        <v>-36.588901650218936</v>
      </c>
      <c r="AK81" s="132">
        <f t="shared" si="101"/>
        <v>3.6915557196754225</v>
      </c>
      <c r="AL81" s="472">
        <f t="shared" si="101"/>
        <v>13.113198781941962</v>
      </c>
      <c r="AM81" s="527">
        <f t="shared" si="101"/>
        <v>-12.711730855676922</v>
      </c>
      <c r="AN81" s="132">
        <f t="shared" si="101"/>
        <v>-41.369264002112033</v>
      </c>
      <c r="AO81" s="132">
        <f t="shared" si="101"/>
        <v>-18.349597930878183</v>
      </c>
      <c r="AP81" s="132">
        <f t="shared" si="101"/>
        <v>16.748933566001352</v>
      </c>
      <c r="AQ81" s="472">
        <f t="shared" si="101"/>
        <v>4.9784404761789993</v>
      </c>
      <c r="AR81" s="527">
        <f t="shared" si="101"/>
        <v>-7.5586280812025421</v>
      </c>
      <c r="AS81" s="132">
        <f t="shared" si="101"/>
        <v>-36.320422444327086</v>
      </c>
      <c r="AT81" s="132">
        <f t="shared" si="101"/>
        <v>8.563617373292324</v>
      </c>
      <c r="AU81" s="132">
        <f t="shared" si="101"/>
        <v>6.0343737944757585</v>
      </c>
      <c r="AV81" s="472">
        <f t="shared" si="101"/>
        <v>-0.33051451600180082</v>
      </c>
      <c r="AW81" s="527">
        <f t="shared" si="101"/>
        <v>29.759863285485253</v>
      </c>
      <c r="AX81" s="132">
        <f t="shared" si="101"/>
        <v>-7.0346416380736088</v>
      </c>
      <c r="AY81" s="132">
        <f t="shared" si="101"/>
        <v>-31.770239731640295</v>
      </c>
      <c r="AZ81" s="132">
        <f t="shared" si="101"/>
        <v>20.118628740824416</v>
      </c>
      <c r="BA81" s="472">
        <f t="shared" si="101"/>
        <v>1.6802593894109028</v>
      </c>
      <c r="BB81" s="527">
        <f t="shared" ref="BB81:BZ81" si="102">IFERROR((BB80-BA80)*10000,"NA")</f>
        <v>20.534176238801091</v>
      </c>
      <c r="BC81" s="132">
        <f t="shared" si="102"/>
        <v>-22.66717819893821</v>
      </c>
      <c r="BD81" s="132">
        <f t="shared" si="102"/>
        <v>-2.4003033927001702</v>
      </c>
      <c r="BE81" s="132">
        <f t="shared" si="102"/>
        <v>4.1881135680551722</v>
      </c>
      <c r="BF81" s="472">
        <f t="shared" si="102"/>
        <v>3.3531473706358006</v>
      </c>
      <c r="BG81" s="527">
        <f t="shared" si="102"/>
        <v>12.646852629364275</v>
      </c>
      <c r="BH81" s="132">
        <f t="shared" si="102"/>
        <v>-24.000000000000064</v>
      </c>
      <c r="BI81" s="132">
        <f t="shared" si="102"/>
        <v>-3.0000000000000164</v>
      </c>
      <c r="BJ81" s="132">
        <f t="shared" si="102"/>
        <v>-0.999999999999994</v>
      </c>
      <c r="BK81" s="472">
        <f t="shared" si="102"/>
        <v>7.825686299056736</v>
      </c>
      <c r="BL81" s="527">
        <f t="shared" si="102"/>
        <v>6.1743137009433182</v>
      </c>
      <c r="BM81" s="132">
        <f t="shared" si="102"/>
        <v>-23.999999999999993</v>
      </c>
      <c r="BN81" s="132">
        <f t="shared" si="102"/>
        <v>-3.0000000000000862</v>
      </c>
      <c r="BO81" s="132">
        <f t="shared" si="102"/>
        <v>-2.9999999999999818</v>
      </c>
      <c r="BP81" s="472">
        <f t="shared" si="102"/>
        <v>9.2200374667546221</v>
      </c>
      <c r="BQ81" s="527">
        <f t="shared" si="102"/>
        <v>1.7799625332454507</v>
      </c>
      <c r="BR81" s="132">
        <f t="shared" si="102"/>
        <v>-23.000000000000036</v>
      </c>
      <c r="BS81" s="132">
        <f t="shared" si="102"/>
        <v>-4.0000000000000107</v>
      </c>
      <c r="BT81" s="132">
        <f t="shared" si="102"/>
        <v>-2.0000000000000226</v>
      </c>
      <c r="BU81" s="472">
        <f t="shared" si="102"/>
        <v>8.7132017489623479</v>
      </c>
      <c r="BV81" s="527">
        <f t="shared" si="102"/>
        <v>10.286798251037711</v>
      </c>
      <c r="BW81" s="132">
        <f t="shared" si="102"/>
        <v>-24.000000000000028</v>
      </c>
      <c r="BX81" s="132">
        <f t="shared" si="102"/>
        <v>-1.0000000000000286</v>
      </c>
      <c r="BY81" s="132">
        <f t="shared" si="102"/>
        <v>-3.0000000000000164</v>
      </c>
      <c r="BZ81" s="472">
        <f t="shared" si="102"/>
        <v>8.2328288498271718</v>
      </c>
    </row>
    <row r="82" spans="1:78" s="100" customFormat="1" ht="14.1" customHeight="1" x14ac:dyDescent="0.2">
      <c r="A82"/>
      <c r="B82"/>
      <c r="C82" s="364" t="str">
        <f>C15</f>
        <v>Claims and insurance</v>
      </c>
      <c r="D82" s="453">
        <f t="shared" ref="D82:J82" si="103">IFERROR(D15/D8,"NA")</f>
        <v>2.6455414418563923E-2</v>
      </c>
      <c r="E82" s="453">
        <f t="shared" si="103"/>
        <v>2.3233680946688602E-2</v>
      </c>
      <c r="F82" s="453">
        <f t="shared" si="103"/>
        <v>2.410710038142198E-2</v>
      </c>
      <c r="G82" s="453">
        <f t="shared" si="103"/>
        <v>2.7305711366432429E-2</v>
      </c>
      <c r="H82" s="453">
        <f t="shared" si="103"/>
        <v>2.680337868068566E-2</v>
      </c>
      <c r="I82" s="453">
        <f t="shared" si="103"/>
        <v>2.0272150604375198E-2</v>
      </c>
      <c r="J82" s="516">
        <f t="shared" si="103"/>
        <v>2.3593815993639276E-2</v>
      </c>
      <c r="K82" s="381">
        <f>IFERROR(K15/K8,"NA")</f>
        <v>2.3608751483317331E-2</v>
      </c>
      <c r="L82" s="381">
        <f>IFERROR(L15/L8,"NA")</f>
        <v>2.229176107966108E-2</v>
      </c>
      <c r="M82" s="381">
        <f>IFERROR(M15/M8,"NA")</f>
        <v>2.1280511379877111E-2</v>
      </c>
      <c r="N82" s="381">
        <f>IFERROR(N15/N8,"NA")</f>
        <v>2.0383761150313696E-2</v>
      </c>
      <c r="O82" s="466">
        <f>IFERROR(O15/O8,"NA")</f>
        <v>2.0057959539578955E-2</v>
      </c>
      <c r="P82" s="102"/>
      <c r="R82" s="471" t="str">
        <f t="shared" si="1"/>
        <v>Claims and insurance</v>
      </c>
      <c r="S82" s="453">
        <f t="shared" ref="S82:BA82" si="104">IFERROR(S15/S8,"NA")</f>
        <v>2.800767587978582E-2</v>
      </c>
      <c r="T82" s="453">
        <f t="shared" si="104"/>
        <v>2.9109895018985928E-2</v>
      </c>
      <c r="U82" s="453">
        <f t="shared" si="104"/>
        <v>2.4381395295690476E-2</v>
      </c>
      <c r="V82" s="453">
        <f t="shared" si="104"/>
        <v>2.4510499717454344E-2</v>
      </c>
      <c r="W82" s="453">
        <f t="shared" si="104"/>
        <v>2.6455414418563923E-2</v>
      </c>
      <c r="X82" s="471">
        <f t="shared" si="104"/>
        <v>2.594417077175698E-2</v>
      </c>
      <c r="Y82" s="453">
        <f t="shared" si="104"/>
        <v>2.3114673035835906E-2</v>
      </c>
      <c r="Z82" s="453">
        <f t="shared" si="104"/>
        <v>2.3463091159455024E-2</v>
      </c>
      <c r="AA82" s="453">
        <f t="shared" si="104"/>
        <v>2.0501536570374932E-2</v>
      </c>
      <c r="AB82" s="454">
        <f t="shared" si="104"/>
        <v>2.3233680946688602E-2</v>
      </c>
      <c r="AC82" s="471">
        <f t="shared" si="104"/>
        <v>2.3210841143347035E-2</v>
      </c>
      <c r="AD82" s="453">
        <f t="shared" si="104"/>
        <v>2.8341537500403927E-2</v>
      </c>
      <c r="AE82" s="453">
        <f t="shared" si="104"/>
        <v>1.6741630784126799E-2</v>
      </c>
      <c r="AF82" s="453">
        <f t="shared" si="104"/>
        <v>2.8296073939489699E-2</v>
      </c>
      <c r="AG82" s="454">
        <f t="shared" si="104"/>
        <v>2.410710038142198E-2</v>
      </c>
      <c r="AH82" s="471">
        <f t="shared" si="104"/>
        <v>2.3344743232466238E-2</v>
      </c>
      <c r="AI82" s="453">
        <f t="shared" si="104"/>
        <v>4.375122574226168E-2</v>
      </c>
      <c r="AJ82" s="453">
        <f t="shared" si="104"/>
        <v>2.4799843780511619E-2</v>
      </c>
      <c r="AK82" s="453">
        <f t="shared" si="104"/>
        <v>1.9117196452331887E-2</v>
      </c>
      <c r="AL82" s="454">
        <f t="shared" si="104"/>
        <v>2.7305711366432429E-2</v>
      </c>
      <c r="AM82" s="471">
        <f t="shared" si="104"/>
        <v>2.3715382358895542E-2</v>
      </c>
      <c r="AN82" s="453">
        <f t="shared" si="104"/>
        <v>3.0329072537381877E-2</v>
      </c>
      <c r="AO82" s="453">
        <f t="shared" si="104"/>
        <v>2.5182728134290573E-2</v>
      </c>
      <c r="AP82" s="453">
        <f t="shared" si="104"/>
        <v>2.7579847702327562E-2</v>
      </c>
      <c r="AQ82" s="454">
        <f t="shared" si="104"/>
        <v>2.680337868068566E-2</v>
      </c>
      <c r="AR82" s="471">
        <f t="shared" si="104"/>
        <v>1.6236751681749987E-2</v>
      </c>
      <c r="AS82" s="453">
        <f t="shared" si="104"/>
        <v>1.9067699992220549E-2</v>
      </c>
      <c r="AT82" s="453">
        <f t="shared" si="104"/>
        <v>2.191454861211057E-2</v>
      </c>
      <c r="AU82" s="453">
        <f t="shared" si="104"/>
        <v>2.3883451319606071E-2</v>
      </c>
      <c r="AV82" s="454">
        <f t="shared" si="104"/>
        <v>2.0272150604375198E-2</v>
      </c>
      <c r="AW82" s="471">
        <f t="shared" si="104"/>
        <v>2.1284261999742631E-2</v>
      </c>
      <c r="AX82" s="453">
        <f t="shared" si="104"/>
        <v>2.4410398749247792E-2</v>
      </c>
      <c r="AY82" s="453">
        <f t="shared" si="104"/>
        <v>2.3252453737628107E-2</v>
      </c>
      <c r="AZ82" s="453">
        <f t="shared" si="104"/>
        <v>2.5221931697757508E-2</v>
      </c>
      <c r="BA82" s="454">
        <f t="shared" si="104"/>
        <v>2.3593815993639276E-2</v>
      </c>
      <c r="BB82" s="471">
        <f t="shared" ref="BB82:BZ82" si="105">IFERROR(BB15/BB8,"NA")</f>
        <v>2.3136696366466831E-2</v>
      </c>
      <c r="BC82" s="453">
        <f t="shared" si="105"/>
        <v>2.2870497689627862E-2</v>
      </c>
      <c r="BD82" s="453">
        <f t="shared" si="105"/>
        <v>2.2887936511329376E-2</v>
      </c>
      <c r="BE82" s="453">
        <f t="shared" si="105"/>
        <v>2.5599999999999998E-2</v>
      </c>
      <c r="BF82" s="454">
        <f t="shared" si="105"/>
        <v>2.3608751483317331E-2</v>
      </c>
      <c r="BG82" s="471">
        <f t="shared" si="105"/>
        <v>2.2100000000000005E-2</v>
      </c>
      <c r="BH82" s="453">
        <f t="shared" si="105"/>
        <v>2.1600000000000001E-2</v>
      </c>
      <c r="BI82" s="453">
        <f t="shared" si="105"/>
        <v>2.1599999999999998E-2</v>
      </c>
      <c r="BJ82" s="453">
        <f t="shared" si="105"/>
        <v>2.3899999999999994E-2</v>
      </c>
      <c r="BK82" s="454">
        <f t="shared" si="105"/>
        <v>2.229176107966108E-2</v>
      </c>
      <c r="BL82" s="471">
        <f t="shared" si="105"/>
        <v>2.1000000000000001E-2</v>
      </c>
      <c r="BM82" s="453">
        <f t="shared" si="105"/>
        <v>2.06E-2</v>
      </c>
      <c r="BN82" s="453">
        <f t="shared" si="105"/>
        <v>2.0699999999999996E-2</v>
      </c>
      <c r="BO82" s="453">
        <f t="shared" si="105"/>
        <v>2.2799999999999997E-2</v>
      </c>
      <c r="BP82" s="454">
        <f t="shared" si="105"/>
        <v>2.1280511379877111E-2</v>
      </c>
      <c r="BQ82" s="471">
        <f t="shared" si="105"/>
        <v>1.9899999999999998E-2</v>
      </c>
      <c r="BR82" s="453">
        <f t="shared" si="105"/>
        <v>1.9699999999999999E-2</v>
      </c>
      <c r="BS82" s="453">
        <f t="shared" si="105"/>
        <v>1.9799999999999991E-2</v>
      </c>
      <c r="BT82" s="453">
        <f t="shared" si="105"/>
        <v>2.2099999999999991E-2</v>
      </c>
      <c r="BU82" s="454">
        <f t="shared" si="105"/>
        <v>2.0383761150313696E-2</v>
      </c>
      <c r="BV82" s="471">
        <f t="shared" si="105"/>
        <v>1.9400000000000001E-2</v>
      </c>
      <c r="BW82" s="453">
        <f t="shared" si="105"/>
        <v>1.9200000000000002E-2</v>
      </c>
      <c r="BX82" s="453">
        <f t="shared" si="105"/>
        <v>1.9599999999999996E-2</v>
      </c>
      <c r="BY82" s="453">
        <f t="shared" si="105"/>
        <v>2.1999999999999992E-2</v>
      </c>
      <c r="BZ82" s="454">
        <f t="shared" si="105"/>
        <v>2.0057959539578955E-2</v>
      </c>
    </row>
    <row r="83" spans="1:78" s="132" customFormat="1" ht="14.1" customHeight="1" x14ac:dyDescent="0.2">
      <c r="A83"/>
      <c r="B83"/>
      <c r="C83" s="468" t="s">
        <v>105</v>
      </c>
      <c r="E83" s="132">
        <f t="shared" ref="E83:O83" si="106">IFERROR((E82-D82)*10000,"NA")</f>
        <v>-32.217334718753207</v>
      </c>
      <c r="F83" s="132">
        <f t="shared" si="106"/>
        <v>8.73419434733378</v>
      </c>
      <c r="G83" s="132">
        <f t="shared" si="106"/>
        <v>31.986109850104491</v>
      </c>
      <c r="H83" s="132">
        <f t="shared" si="106"/>
        <v>-5.0233268574676959</v>
      </c>
      <c r="I83" s="132">
        <f t="shared" si="106"/>
        <v>-65.31228076310461</v>
      </c>
      <c r="J83" s="523">
        <f t="shared" si="106"/>
        <v>33.216653892640771</v>
      </c>
      <c r="K83" s="448">
        <f t="shared" si="106"/>
        <v>0.14935489678055691</v>
      </c>
      <c r="L83" s="448">
        <f t="shared" si="106"/>
        <v>-13.169904036562514</v>
      </c>
      <c r="M83" s="448">
        <f t="shared" si="106"/>
        <v>-10.112496997839692</v>
      </c>
      <c r="N83" s="448">
        <f t="shared" si="106"/>
        <v>-8.9675022956341515</v>
      </c>
      <c r="O83" s="467">
        <f t="shared" si="106"/>
        <v>-3.2580161073474114</v>
      </c>
      <c r="P83" s="448"/>
      <c r="R83" s="468" t="str">
        <f t="shared" si="1"/>
        <v>Y/Y ∆ bps</v>
      </c>
      <c r="X83" s="527">
        <f t="shared" ref="X83:BA83" si="107">IFERROR((X82-W82)*10000,"NA")</f>
        <v>-5.1124364680694283</v>
      </c>
      <c r="Y83" s="132">
        <f t="shared" si="107"/>
        <v>-28.294977359210744</v>
      </c>
      <c r="Z83" s="132">
        <f t="shared" si="107"/>
        <v>3.4841812361911808</v>
      </c>
      <c r="AA83" s="132">
        <f t="shared" si="107"/>
        <v>-29.61554589080092</v>
      </c>
      <c r="AB83" s="472">
        <f t="shared" si="107"/>
        <v>27.321443763136699</v>
      </c>
      <c r="AC83" s="527">
        <f t="shared" si="107"/>
        <v>-0.22839803341567072</v>
      </c>
      <c r="AD83" s="132">
        <f t="shared" si="107"/>
        <v>51.306963570568918</v>
      </c>
      <c r="AE83" s="132">
        <f t="shared" si="107"/>
        <v>-115.99906716277128</v>
      </c>
      <c r="AF83" s="132">
        <f t="shared" si="107"/>
        <v>115.54443155362901</v>
      </c>
      <c r="AG83" s="472">
        <f t="shared" si="107"/>
        <v>-41.88973558067719</v>
      </c>
      <c r="AH83" s="527">
        <f t="shared" si="107"/>
        <v>-7.6235714895574178</v>
      </c>
      <c r="AI83" s="132">
        <f t="shared" si="107"/>
        <v>204.06482509795441</v>
      </c>
      <c r="AJ83" s="132">
        <f t="shared" si="107"/>
        <v>-189.51381961750062</v>
      </c>
      <c r="AK83" s="132">
        <f t="shared" si="107"/>
        <v>-56.826473281797327</v>
      </c>
      <c r="AL83" s="472">
        <f t="shared" si="107"/>
        <v>81.885149141005428</v>
      </c>
      <c r="AM83" s="527">
        <f t="shared" si="107"/>
        <v>-35.903290075368872</v>
      </c>
      <c r="AN83" s="132">
        <f t="shared" si="107"/>
        <v>66.136901784863355</v>
      </c>
      <c r="AO83" s="132">
        <f t="shared" si="107"/>
        <v>-51.463444030913038</v>
      </c>
      <c r="AP83" s="132">
        <f t="shared" si="107"/>
        <v>23.971195680369885</v>
      </c>
      <c r="AQ83" s="472">
        <f t="shared" si="107"/>
        <v>-7.7646902164190195</v>
      </c>
      <c r="AR83" s="527">
        <f t="shared" si="107"/>
        <v>-105.66626998935673</v>
      </c>
      <c r="AS83" s="132">
        <f t="shared" si="107"/>
        <v>28.309483104705624</v>
      </c>
      <c r="AT83" s="132">
        <f t="shared" si="107"/>
        <v>28.468486198900202</v>
      </c>
      <c r="AU83" s="132">
        <f t="shared" si="107"/>
        <v>19.689027074955014</v>
      </c>
      <c r="AV83" s="472">
        <f t="shared" si="107"/>
        <v>-36.113007152308725</v>
      </c>
      <c r="AW83" s="527">
        <f t="shared" si="107"/>
        <v>10.121113953674328</v>
      </c>
      <c r="AX83" s="132">
        <f t="shared" si="107"/>
        <v>31.261367495051609</v>
      </c>
      <c r="AY83" s="132">
        <f t="shared" si="107"/>
        <v>-11.579450116196849</v>
      </c>
      <c r="AZ83" s="132">
        <f t="shared" si="107"/>
        <v>19.694779601294002</v>
      </c>
      <c r="BA83" s="472">
        <f t="shared" si="107"/>
        <v>-16.281157041182318</v>
      </c>
      <c r="BB83" s="527">
        <f t="shared" ref="BB83:BZ83" si="108">IFERROR((BB82-BA82)*10000,"NA")</f>
        <v>-4.5711962717244479</v>
      </c>
      <c r="BC83" s="132">
        <f t="shared" si="108"/>
        <v>-2.6619867683896903</v>
      </c>
      <c r="BD83" s="132">
        <f t="shared" si="108"/>
        <v>0.17438821701513951</v>
      </c>
      <c r="BE83" s="132">
        <f t="shared" si="108"/>
        <v>27.12063488670622</v>
      </c>
      <c r="BF83" s="472">
        <f t="shared" si="108"/>
        <v>-19.912485166826663</v>
      </c>
      <c r="BG83" s="527">
        <f t="shared" si="108"/>
        <v>-15.087514833173262</v>
      </c>
      <c r="BH83" s="132">
        <f t="shared" si="108"/>
        <v>-5.0000000000000391</v>
      </c>
      <c r="BI83" s="132">
        <f t="shared" si="108"/>
        <v>-3.4694469519536142E-14</v>
      </c>
      <c r="BJ83" s="132">
        <f t="shared" si="108"/>
        <v>22.999999999999964</v>
      </c>
      <c r="BK83" s="472">
        <f t="shared" si="108"/>
        <v>-16.082389203389141</v>
      </c>
      <c r="BL83" s="527">
        <f t="shared" si="108"/>
        <v>-12.917610796610788</v>
      </c>
      <c r="BM83" s="132">
        <f t="shared" si="108"/>
        <v>-4.0000000000000107</v>
      </c>
      <c r="BN83" s="132">
        <f t="shared" si="108"/>
        <v>0.99999999999995925</v>
      </c>
      <c r="BO83" s="132">
        <f t="shared" si="108"/>
        <v>21.000000000000011</v>
      </c>
      <c r="BP83" s="472">
        <f t="shared" si="108"/>
        <v>-15.194886201228865</v>
      </c>
      <c r="BQ83" s="527">
        <f t="shared" si="108"/>
        <v>-13.805113798771133</v>
      </c>
      <c r="BR83" s="132">
        <f t="shared" si="108"/>
        <v>-1.999999999999988</v>
      </c>
      <c r="BS83" s="132">
        <f t="shared" si="108"/>
        <v>0.9999999999999245</v>
      </c>
      <c r="BT83" s="132">
        <f t="shared" si="108"/>
        <v>23</v>
      </c>
      <c r="BU83" s="472">
        <f t="shared" si="108"/>
        <v>-17.162388496862953</v>
      </c>
      <c r="BV83" s="527">
        <f t="shared" si="108"/>
        <v>-9.8376115031369515</v>
      </c>
      <c r="BW83" s="132">
        <f t="shared" si="108"/>
        <v>-1.999999999999988</v>
      </c>
      <c r="BX83" s="132">
        <f t="shared" si="108"/>
        <v>3.9999999999999409</v>
      </c>
      <c r="BY83" s="132">
        <f t="shared" si="108"/>
        <v>23.999999999999957</v>
      </c>
      <c r="BZ83" s="472">
        <f t="shared" si="108"/>
        <v>-19.420404604210372</v>
      </c>
    </row>
    <row r="84" spans="1:78" s="100" customFormat="1" ht="14.1" customHeight="1" x14ac:dyDescent="0.2">
      <c r="A84"/>
      <c r="B84"/>
      <c r="C84" s="364" t="str">
        <f>C16</f>
        <v xml:space="preserve">Depreciation and Amortization </v>
      </c>
      <c r="D84" s="453">
        <f t="shared" ref="D84:J84" si="109">IFERROR(D16/D8,"NA")</f>
        <v>6.2007413666803589E-2</v>
      </c>
      <c r="E84" s="453">
        <f t="shared" si="109"/>
        <v>6.1766823936163465E-2</v>
      </c>
      <c r="F84" s="453">
        <f t="shared" si="109"/>
        <v>6.667748714834601E-2</v>
      </c>
      <c r="G84" s="453">
        <f t="shared" si="109"/>
        <v>7.3890206467855532E-2</v>
      </c>
      <c r="H84" s="453">
        <f t="shared" si="109"/>
        <v>6.1912768099326075E-2</v>
      </c>
      <c r="I84" s="453">
        <f t="shared" si="109"/>
        <v>5.6303649961300939E-2</v>
      </c>
      <c r="J84" s="516">
        <f t="shared" si="109"/>
        <v>6.2068075155660395E-2</v>
      </c>
      <c r="K84" s="381">
        <f>IFERROR(K16/K8,"NA")</f>
        <v>6.6141335520076283E-2</v>
      </c>
      <c r="L84" s="381">
        <f>IFERROR(L16/L8,"NA")</f>
        <v>6.9022528094812158E-2</v>
      </c>
      <c r="M84" s="381">
        <f>IFERROR(M16/M8,"NA")</f>
        <v>6.8671818155340028E-2</v>
      </c>
      <c r="N84" s="381">
        <f>IFERROR(N16/N8,"NA")</f>
        <v>7.0387373576715956E-2</v>
      </c>
      <c r="O84" s="466">
        <f>IFERROR(O16/O8,"NA")</f>
        <v>7.1255952638977119E-2</v>
      </c>
      <c r="P84" s="102"/>
      <c r="R84" s="471" t="str">
        <f t="shared" si="1"/>
        <v xml:space="preserve">Depreciation and Amortization </v>
      </c>
      <c r="S84" s="453">
        <f t="shared" ref="S84:BA84" si="110">IFERROR(S16/S8,"NA")</f>
        <v>6.2171531152310507E-2</v>
      </c>
      <c r="T84" s="453">
        <f t="shared" si="110"/>
        <v>6.1933214205941473E-2</v>
      </c>
      <c r="U84" s="453">
        <f t="shared" si="110"/>
        <v>6.3811553381972336E-2</v>
      </c>
      <c r="V84" s="453">
        <f t="shared" si="110"/>
        <v>6.0245158560329519E-2</v>
      </c>
      <c r="W84" s="453">
        <f t="shared" si="110"/>
        <v>6.2007413666803589E-2</v>
      </c>
      <c r="X84" s="471">
        <f t="shared" si="110"/>
        <v>5.8629599928717815E-2</v>
      </c>
      <c r="Y84" s="453">
        <f t="shared" si="110"/>
        <v>5.887360868794491E-2</v>
      </c>
      <c r="Z84" s="453">
        <f t="shared" si="110"/>
        <v>6.2726465238907611E-2</v>
      </c>
      <c r="AA84" s="453">
        <f t="shared" si="110"/>
        <v>6.6842040565457936E-2</v>
      </c>
      <c r="AB84" s="454">
        <f t="shared" si="110"/>
        <v>6.1766823936163465E-2</v>
      </c>
      <c r="AC84" s="471">
        <f t="shared" si="110"/>
        <v>6.5229039611869918E-2</v>
      </c>
      <c r="AD84" s="453">
        <f t="shared" si="110"/>
        <v>6.2781805060373341E-2</v>
      </c>
      <c r="AE84" s="453">
        <f t="shared" si="110"/>
        <v>6.6823632784591719E-2</v>
      </c>
      <c r="AF84" s="453">
        <f t="shared" si="110"/>
        <v>7.1946554117341743E-2</v>
      </c>
      <c r="AG84" s="454">
        <f t="shared" si="110"/>
        <v>6.667748714834601E-2</v>
      </c>
      <c r="AH84" s="471">
        <f t="shared" si="110"/>
        <v>7.3006926585363674E-2</v>
      </c>
      <c r="AI84" s="453">
        <f t="shared" si="110"/>
        <v>8.0513926823784915E-2</v>
      </c>
      <c r="AJ84" s="453">
        <f t="shared" si="110"/>
        <v>7.1096486307943504E-2</v>
      </c>
      <c r="AK84" s="453">
        <f t="shared" si="110"/>
        <v>7.1727788248034538E-2</v>
      </c>
      <c r="AL84" s="454">
        <f t="shared" si="110"/>
        <v>7.3890206467855532E-2</v>
      </c>
      <c r="AM84" s="471">
        <f t="shared" si="110"/>
        <v>7.30714725434541E-2</v>
      </c>
      <c r="AN84" s="453">
        <f t="shared" si="110"/>
        <v>6.0663395952973133E-2</v>
      </c>
      <c r="AO84" s="453">
        <f t="shared" si="110"/>
        <v>5.8002388772767983E-2</v>
      </c>
      <c r="AP84" s="453">
        <f t="shared" si="110"/>
        <v>5.8220881861538412E-2</v>
      </c>
      <c r="AQ84" s="454">
        <f t="shared" si="110"/>
        <v>6.1912768099326075E-2</v>
      </c>
      <c r="AR84" s="471">
        <f t="shared" si="110"/>
        <v>6.042201035667618E-2</v>
      </c>
      <c r="AS84" s="453">
        <f t="shared" si="110"/>
        <v>4.9552413373142659E-2</v>
      </c>
      <c r="AT84" s="453">
        <f t="shared" si="110"/>
        <v>5.5762300890535542E-2</v>
      </c>
      <c r="AU84" s="453">
        <f t="shared" si="110"/>
        <v>6.0429203661285388E-2</v>
      </c>
      <c r="AV84" s="454">
        <f t="shared" si="110"/>
        <v>5.6303649961300939E-2</v>
      </c>
      <c r="AW84" s="471">
        <f t="shared" si="110"/>
        <v>6.491707479543099E-2</v>
      </c>
      <c r="AX84" s="453">
        <f t="shared" si="110"/>
        <v>6.4291082056139898E-2</v>
      </c>
      <c r="AY84" s="453">
        <f t="shared" si="110"/>
        <v>5.8851000588277795E-2</v>
      </c>
      <c r="AZ84" s="453">
        <f t="shared" si="110"/>
        <v>6.0826858661327157E-2</v>
      </c>
      <c r="BA84" s="454">
        <f t="shared" si="110"/>
        <v>6.2068075155660395E-2</v>
      </c>
      <c r="BB84" s="471">
        <f t="shared" ref="BB84:BZ84" si="111">IFERROR(BB16/BB8,"NA")</f>
        <v>6.4719949653870359E-2</v>
      </c>
      <c r="BC84" s="453">
        <f t="shared" si="111"/>
        <v>6.3815831029439635E-2</v>
      </c>
      <c r="BD84" s="453">
        <f t="shared" si="111"/>
        <v>6.4904174429968778E-2</v>
      </c>
      <c r="BE84" s="453">
        <f t="shared" si="111"/>
        <v>7.1248045401607923E-2</v>
      </c>
      <c r="BF84" s="454">
        <f t="shared" si="111"/>
        <v>6.6141335520076283E-2</v>
      </c>
      <c r="BG84" s="471">
        <f t="shared" si="111"/>
        <v>6.974863347325963E-2</v>
      </c>
      <c r="BH84" s="453">
        <f t="shared" si="111"/>
        <v>6.5543933109548369E-2</v>
      </c>
      <c r="BI84" s="453">
        <f t="shared" si="111"/>
        <v>6.8017489330507469E-2</v>
      </c>
      <c r="BJ84" s="453">
        <f t="shared" si="111"/>
        <v>7.2975610380680539E-2</v>
      </c>
      <c r="BK84" s="454">
        <f t="shared" si="111"/>
        <v>6.9022528094812158E-2</v>
      </c>
      <c r="BL84" s="471">
        <f t="shared" si="111"/>
        <v>7.0983805716453768E-2</v>
      </c>
      <c r="BM84" s="453">
        <f t="shared" si="111"/>
        <v>6.5972397344112324E-2</v>
      </c>
      <c r="BN84" s="453">
        <f t="shared" si="111"/>
        <v>6.7621226412611132E-2</v>
      </c>
      <c r="BO84" s="453">
        <f t="shared" si="111"/>
        <v>7.0351534360427306E-2</v>
      </c>
      <c r="BP84" s="454">
        <f t="shared" si="111"/>
        <v>6.8671818155340028E-2</v>
      </c>
      <c r="BQ84" s="471">
        <f t="shared" si="111"/>
        <v>7.3788800176743941E-2</v>
      </c>
      <c r="BR84" s="453">
        <f t="shared" si="111"/>
        <v>6.7866604103695979E-2</v>
      </c>
      <c r="BS84" s="453">
        <f t="shared" si="111"/>
        <v>6.8755367537795903E-2</v>
      </c>
      <c r="BT84" s="453">
        <f t="shared" si="111"/>
        <v>7.151694037696886E-2</v>
      </c>
      <c r="BU84" s="454">
        <f t="shared" si="111"/>
        <v>7.0387373576715956E-2</v>
      </c>
      <c r="BV84" s="471">
        <f t="shared" si="111"/>
        <v>7.5195205506662102E-2</v>
      </c>
      <c r="BW84" s="453">
        <f t="shared" si="111"/>
        <v>6.8428634062671523E-2</v>
      </c>
      <c r="BX84" s="453">
        <f t="shared" si="111"/>
        <v>6.9217859347203967E-2</v>
      </c>
      <c r="BY84" s="453">
        <f t="shared" si="111"/>
        <v>7.2660378637754403E-2</v>
      </c>
      <c r="BZ84" s="454">
        <f t="shared" si="111"/>
        <v>7.1255952638977119E-2</v>
      </c>
    </row>
    <row r="85" spans="1:78" s="101" customFormat="1" ht="14.1" customHeight="1" x14ac:dyDescent="0.2">
      <c r="A85"/>
      <c r="B85"/>
      <c r="C85" s="469" t="s">
        <v>105</v>
      </c>
      <c r="E85" s="101">
        <f t="shared" ref="E85:O85" si="112">IFERROR((E84-D84)*10000,"NA")</f>
        <v>-2.4058973064012417</v>
      </c>
      <c r="F85" s="101">
        <f t="shared" si="112"/>
        <v>49.106632121825449</v>
      </c>
      <c r="G85" s="101">
        <f t="shared" si="112"/>
        <v>72.127193195095231</v>
      </c>
      <c r="H85" s="101">
        <f t="shared" si="112"/>
        <v>-119.77438368529457</v>
      </c>
      <c r="I85" s="101">
        <f t="shared" si="112"/>
        <v>-56.091181380251363</v>
      </c>
      <c r="J85" s="522">
        <f t="shared" si="112"/>
        <v>57.644251943594554</v>
      </c>
      <c r="K85" s="131">
        <f t="shared" si="112"/>
        <v>40.732603644158885</v>
      </c>
      <c r="L85" s="131">
        <f t="shared" si="112"/>
        <v>28.811925747358746</v>
      </c>
      <c r="M85" s="131">
        <f t="shared" si="112"/>
        <v>-3.5070993947212967</v>
      </c>
      <c r="N85" s="131">
        <f t="shared" si="112"/>
        <v>17.155554213759277</v>
      </c>
      <c r="O85" s="282">
        <f t="shared" si="112"/>
        <v>8.685790622611627</v>
      </c>
      <c r="P85" s="131"/>
      <c r="R85" s="469" t="str">
        <f t="shared" si="1"/>
        <v>Y/Y ∆ bps</v>
      </c>
      <c r="X85" s="357">
        <f t="shared" ref="X85:BA85" si="113">IFERROR((X84-W84)*10000,"NA")</f>
        <v>-33.778137380857736</v>
      </c>
      <c r="Y85" s="101">
        <f t="shared" si="113"/>
        <v>2.440087592270948</v>
      </c>
      <c r="Z85" s="101">
        <f>IFERROR((Z84-Y84)*10000,"NA")</f>
        <v>38.528565509627008</v>
      </c>
      <c r="AA85" s="101">
        <f t="shared" si="113"/>
        <v>41.15575326550325</v>
      </c>
      <c r="AB85" s="275">
        <f t="shared" si="113"/>
        <v>-50.752166292944715</v>
      </c>
      <c r="AC85" s="357">
        <f t="shared" si="113"/>
        <v>34.622156757064538</v>
      </c>
      <c r="AD85" s="101">
        <f t="shared" si="113"/>
        <v>-24.47234551496577</v>
      </c>
      <c r="AE85" s="101">
        <f t="shared" si="113"/>
        <v>40.418277242183777</v>
      </c>
      <c r="AF85" s="101">
        <f t="shared" si="113"/>
        <v>51.229213327500247</v>
      </c>
      <c r="AG85" s="275">
        <f t="shared" si="113"/>
        <v>-52.690669689957339</v>
      </c>
      <c r="AH85" s="357">
        <f t="shared" si="113"/>
        <v>63.29439437017664</v>
      </c>
      <c r="AI85" s="101">
        <f t="shared" si="113"/>
        <v>75.070002384212415</v>
      </c>
      <c r="AJ85" s="101">
        <f t="shared" si="113"/>
        <v>-94.174405158414103</v>
      </c>
      <c r="AK85" s="101">
        <f t="shared" si="113"/>
        <v>6.3130194009103358</v>
      </c>
      <c r="AL85" s="275">
        <f t="shared" si="113"/>
        <v>21.62418219820994</v>
      </c>
      <c r="AM85" s="357">
        <f t="shared" si="113"/>
        <v>-8.1873392440143249</v>
      </c>
      <c r="AN85" s="101">
        <f t="shared" si="113"/>
        <v>-124.08076590480967</v>
      </c>
      <c r="AO85" s="101">
        <f t="shared" si="113"/>
        <v>-26.610071802051493</v>
      </c>
      <c r="AP85" s="101">
        <f t="shared" si="113"/>
        <v>2.1849308877042866</v>
      </c>
      <c r="AQ85" s="275">
        <f t="shared" si="113"/>
        <v>36.918862377876628</v>
      </c>
      <c r="AR85" s="357">
        <f t="shared" si="113"/>
        <v>-14.907577426498953</v>
      </c>
      <c r="AS85" s="101">
        <f t="shared" si="113"/>
        <v>-108.69596983533521</v>
      </c>
      <c r="AT85" s="101">
        <f t="shared" si="113"/>
        <v>62.098875173928825</v>
      </c>
      <c r="AU85" s="101">
        <f t="shared" si="113"/>
        <v>46.669027707498465</v>
      </c>
      <c r="AV85" s="275">
        <f t="shared" si="113"/>
        <v>-41.255536999844495</v>
      </c>
      <c r="AW85" s="357">
        <f t="shared" si="113"/>
        <v>86.134248341300506</v>
      </c>
      <c r="AX85" s="101">
        <f t="shared" si="113"/>
        <v>-6.2599273929109245</v>
      </c>
      <c r="AY85" s="101">
        <f t="shared" si="113"/>
        <v>-54.400814678621025</v>
      </c>
      <c r="AZ85" s="101">
        <f t="shared" si="113"/>
        <v>19.758580730493623</v>
      </c>
      <c r="BA85" s="275">
        <f t="shared" si="113"/>
        <v>12.412164943332375</v>
      </c>
      <c r="BB85" s="357">
        <f t="shared" ref="BB85:BZ85" si="114">IFERROR((BB84-BA84)*10000,"NA")</f>
        <v>26.518744982099648</v>
      </c>
      <c r="BC85" s="101">
        <f t="shared" si="114"/>
        <v>-9.0411862443072479</v>
      </c>
      <c r="BD85" s="101">
        <f t="shared" si="114"/>
        <v>10.883434005291431</v>
      </c>
      <c r="BE85" s="101">
        <f t="shared" si="114"/>
        <v>63.438709716391458</v>
      </c>
      <c r="BF85" s="275">
        <f t="shared" si="114"/>
        <v>-51.067098815316406</v>
      </c>
      <c r="BG85" s="357">
        <f t="shared" si="114"/>
        <v>36.072979531833468</v>
      </c>
      <c r="BH85" s="101">
        <f t="shared" si="114"/>
        <v>-42.04700363711261</v>
      </c>
      <c r="BI85" s="101">
        <f t="shared" si="114"/>
        <v>24.735562209590999</v>
      </c>
      <c r="BJ85" s="101">
        <f t="shared" si="114"/>
        <v>49.581210501730702</v>
      </c>
      <c r="BK85" s="275">
        <f t="shared" si="114"/>
        <v>-39.530822858683813</v>
      </c>
      <c r="BL85" s="357">
        <f t="shared" si="114"/>
        <v>19.612776216416105</v>
      </c>
      <c r="BM85" s="101">
        <f t="shared" si="114"/>
        <v>-50.114083723414446</v>
      </c>
      <c r="BN85" s="101">
        <f t="shared" si="114"/>
        <v>16.488290684988083</v>
      </c>
      <c r="BO85" s="101">
        <f t="shared" si="114"/>
        <v>27.303079478161742</v>
      </c>
      <c r="BP85" s="275">
        <f t="shared" si="114"/>
        <v>-16.797162050872782</v>
      </c>
      <c r="BQ85" s="357">
        <f t="shared" si="114"/>
        <v>51.169820214039127</v>
      </c>
      <c r="BR85" s="101">
        <f t="shared" si="114"/>
        <v>-59.221960730479609</v>
      </c>
      <c r="BS85" s="101">
        <f t="shared" si="114"/>
        <v>8.8876343409992344</v>
      </c>
      <c r="BT85" s="101">
        <f t="shared" si="114"/>
        <v>27.615728391729572</v>
      </c>
      <c r="BU85" s="275">
        <f t="shared" si="114"/>
        <v>-11.295668002529041</v>
      </c>
      <c r="BV85" s="357">
        <f t="shared" si="114"/>
        <v>48.078319299461462</v>
      </c>
      <c r="BW85" s="101">
        <f t="shared" si="114"/>
        <v>-67.665714439905798</v>
      </c>
      <c r="BX85" s="101">
        <f t="shared" si="114"/>
        <v>7.892252845324438</v>
      </c>
      <c r="BY85" s="101">
        <f t="shared" si="114"/>
        <v>34.42519290550436</v>
      </c>
      <c r="BZ85" s="275">
        <f t="shared" si="114"/>
        <v>-14.04425998777284</v>
      </c>
    </row>
    <row r="86" spans="1:78" s="100" customFormat="1" ht="14.1" customHeight="1" x14ac:dyDescent="0.2">
      <c r="A86"/>
      <c r="B86"/>
      <c r="C86" s="364" t="str">
        <f>C18</f>
        <v>Other Operating Expenses</v>
      </c>
      <c r="D86" s="453">
        <f t="shared" ref="D86:J86" si="115">IFERROR(D18/D8,"NA")</f>
        <v>-1.3027664922763031E-4</v>
      </c>
      <c r="E86" s="453">
        <f t="shared" si="115"/>
        <v>2.2916239632517842E-4</v>
      </c>
      <c r="F86" s="453">
        <f t="shared" si="115"/>
        <v>-2.2555107500552688E-4</v>
      </c>
      <c r="G86" s="453">
        <f t="shared" si="115"/>
        <v>-1.387207619106151E-3</v>
      </c>
      <c r="H86" s="453">
        <f t="shared" si="115"/>
        <v>-1.7013995693632728E-3</v>
      </c>
      <c r="I86" s="453">
        <f t="shared" si="115"/>
        <v>1.7907943856447061E-5</v>
      </c>
      <c r="J86" s="516">
        <f t="shared" si="115"/>
        <v>3.1581508228718141E-4</v>
      </c>
      <c r="K86" s="381">
        <f>IFERROR(K18/K8,"NA")</f>
        <v>4.8594695524984582E-4</v>
      </c>
      <c r="L86" s="381">
        <f>IFERROR(L18/L8,"NA")</f>
        <v>4.8481706047646034E-4</v>
      </c>
      <c r="M86" s="381">
        <f>IFERROR(M18/M8,"NA")</f>
        <v>4.843926212392187E-4</v>
      </c>
      <c r="N86" s="381">
        <f>IFERROR(N18/N8,"NA")</f>
        <v>4.8495442178685415E-4</v>
      </c>
      <c r="O86" s="466">
        <f>IFERROR(O18/O8,"NA")</f>
        <v>4.855205598523919E-4</v>
      </c>
      <c r="P86" s="102"/>
      <c r="R86" s="471" t="str">
        <f t="shared" si="1"/>
        <v>Other Operating Expenses</v>
      </c>
      <c r="S86" s="453">
        <f t="shared" ref="S86:BA86" si="116">IFERROR(S18/S8,"NA")</f>
        <v>4.085548918258071E-4</v>
      </c>
      <c r="T86" s="453">
        <f t="shared" si="116"/>
        <v>3.2387759660486932E-4</v>
      </c>
      <c r="U86" s="453">
        <f t="shared" si="116"/>
        <v>-2.0482086030474602E-3</v>
      </c>
      <c r="V86" s="453">
        <f t="shared" si="116"/>
        <v>7.6595311617044847E-4</v>
      </c>
      <c r="W86" s="453">
        <f t="shared" si="116"/>
        <v>-1.3027664922763031E-4</v>
      </c>
      <c r="X86" s="471">
        <f t="shared" si="116"/>
        <v>5.3461641272387062E-5</v>
      </c>
      <c r="Y86" s="453">
        <f t="shared" si="116"/>
        <v>-9.7963296418275285E-5</v>
      </c>
      <c r="Z86" s="453">
        <f t="shared" si="116"/>
        <v>7.6604584055907246E-4</v>
      </c>
      <c r="AA86" s="453">
        <f t="shared" si="116"/>
        <v>1.8192993239090363E-4</v>
      </c>
      <c r="AB86" s="454">
        <f t="shared" si="116"/>
        <v>2.2916239632517842E-4</v>
      </c>
      <c r="AC86" s="471">
        <f t="shared" si="116"/>
        <v>3.0687995635485065E-4</v>
      </c>
      <c r="AD86" s="453">
        <f t="shared" si="116"/>
        <v>6.4628011934639534E-5</v>
      </c>
      <c r="AE86" s="453">
        <f t="shared" si="116"/>
        <v>9.6184401065492833E-4</v>
      </c>
      <c r="AF86" s="453">
        <f t="shared" si="116"/>
        <v>-2.2795752316251577E-3</v>
      </c>
      <c r="AG86" s="454">
        <f t="shared" si="116"/>
        <v>-2.2555107500552688E-4</v>
      </c>
      <c r="AH86" s="471">
        <f t="shared" si="116"/>
        <v>-3.113827184831405E-3</v>
      </c>
      <c r="AI86" s="453">
        <f t="shared" si="116"/>
        <v>3.5397044825095551E-4</v>
      </c>
      <c r="AJ86" s="453">
        <f t="shared" si="116"/>
        <v>-6.5645423309111E-4</v>
      </c>
      <c r="AK86" s="453">
        <f t="shared" si="116"/>
        <v>-2.0357537115777724E-3</v>
      </c>
      <c r="AL86" s="454">
        <f t="shared" si="116"/>
        <v>-1.387207619106151E-3</v>
      </c>
      <c r="AM86" s="471">
        <f t="shared" si="116"/>
        <v>-4.1109417155228332E-4</v>
      </c>
      <c r="AN86" s="453">
        <f t="shared" si="116"/>
        <v>-1.2077019881575194E-4</v>
      </c>
      <c r="AO86" s="453">
        <f t="shared" si="116"/>
        <v>-6.242940786996767E-3</v>
      </c>
      <c r="AP86" s="453">
        <f t="shared" si="116"/>
        <v>3.5813774852896143E-4</v>
      </c>
      <c r="AQ86" s="454">
        <f t="shared" si="116"/>
        <v>-1.7013995693632728E-3</v>
      </c>
      <c r="AR86" s="471">
        <f t="shared" si="116"/>
        <v>3.6296762328800271E-5</v>
      </c>
      <c r="AS86" s="453">
        <f t="shared" si="116"/>
        <v>2.8166973820809762E-5</v>
      </c>
      <c r="AT86" s="453">
        <f t="shared" si="116"/>
        <v>1.5762903992949185E-4</v>
      </c>
      <c r="AU86" s="453">
        <f t="shared" si="116"/>
        <v>-1.6775299439094997E-4</v>
      </c>
      <c r="AV86" s="454">
        <f t="shared" si="116"/>
        <v>1.7907943856447061E-5</v>
      </c>
      <c r="AW86" s="471">
        <f t="shared" si="116"/>
        <v>1.2111394551386377E-4</v>
      </c>
      <c r="AX86" s="453">
        <f t="shared" si="116"/>
        <v>2.1162589149206331E-4</v>
      </c>
      <c r="AY86" s="453">
        <f t="shared" si="116"/>
        <v>5.3667447596833615E-4</v>
      </c>
      <c r="AZ86" s="453">
        <f t="shared" si="116"/>
        <v>3.5546348711012181E-4</v>
      </c>
      <c r="BA86" s="454">
        <f t="shared" si="116"/>
        <v>3.1581508228718141E-4</v>
      </c>
      <c r="BB86" s="471">
        <f t="shared" ref="BB86:BZ86" si="117">IFERROR(BB18/BB8,"NA")</f>
        <v>3.1797555562916103E-4</v>
      </c>
      <c r="BC86" s="453">
        <f t="shared" si="117"/>
        <v>5.2232387967601345E-4</v>
      </c>
      <c r="BD86" s="453">
        <f t="shared" si="117"/>
        <v>7.2318944357162957E-4</v>
      </c>
      <c r="BE86" s="453">
        <f t="shared" si="117"/>
        <v>3.5546348711012181E-4</v>
      </c>
      <c r="BF86" s="454">
        <f t="shared" si="117"/>
        <v>4.8594695524984582E-4</v>
      </c>
      <c r="BG86" s="471">
        <f t="shared" si="117"/>
        <v>3.1797555562916108E-4</v>
      </c>
      <c r="BH86" s="453">
        <f t="shared" si="117"/>
        <v>5.2232387967601345E-4</v>
      </c>
      <c r="BI86" s="453">
        <f t="shared" si="117"/>
        <v>7.2318944357162957E-4</v>
      </c>
      <c r="BJ86" s="453">
        <f t="shared" si="117"/>
        <v>3.5546348711012181E-4</v>
      </c>
      <c r="BK86" s="454">
        <f t="shared" si="117"/>
        <v>4.8481706047646034E-4</v>
      </c>
      <c r="BL86" s="471">
        <f t="shared" si="117"/>
        <v>3.1797555562916108E-4</v>
      </c>
      <c r="BM86" s="453">
        <f t="shared" si="117"/>
        <v>5.2232387967601345E-4</v>
      </c>
      <c r="BN86" s="453">
        <f t="shared" si="117"/>
        <v>7.2318944357162957E-4</v>
      </c>
      <c r="BO86" s="453">
        <f t="shared" si="117"/>
        <v>3.5546348711012181E-4</v>
      </c>
      <c r="BP86" s="454">
        <f t="shared" si="117"/>
        <v>4.843926212392187E-4</v>
      </c>
      <c r="BQ86" s="471">
        <f t="shared" si="117"/>
        <v>3.1797555562916108E-4</v>
      </c>
      <c r="BR86" s="453">
        <f t="shared" si="117"/>
        <v>5.2232387967601345E-4</v>
      </c>
      <c r="BS86" s="453">
        <f t="shared" si="117"/>
        <v>7.2318944357162957E-4</v>
      </c>
      <c r="BT86" s="453">
        <f t="shared" si="117"/>
        <v>3.5546348711012181E-4</v>
      </c>
      <c r="BU86" s="454">
        <f t="shared" si="117"/>
        <v>4.8495442178685415E-4</v>
      </c>
      <c r="BV86" s="471">
        <f t="shared" si="117"/>
        <v>3.1797555562916108E-4</v>
      </c>
      <c r="BW86" s="453">
        <f t="shared" si="117"/>
        <v>5.2232387967601345E-4</v>
      </c>
      <c r="BX86" s="453">
        <f t="shared" si="117"/>
        <v>7.2318944357162957E-4</v>
      </c>
      <c r="BY86" s="453">
        <f t="shared" si="117"/>
        <v>3.5546348711012181E-4</v>
      </c>
      <c r="BZ86" s="454">
        <f t="shared" si="117"/>
        <v>4.855205598523919E-4</v>
      </c>
    </row>
    <row r="87" spans="1:78" s="100" customFormat="1" ht="14.1" customHeight="1" x14ac:dyDescent="0.2">
      <c r="A87"/>
      <c r="B87"/>
      <c r="C87" s="364" t="str">
        <f>C19</f>
        <v>Operating Income</v>
      </c>
      <c r="D87" s="453">
        <f t="shared" ref="D87:J87" si="118">IFERROR(D19/D8,"NA")</f>
        <v>6.7423505182234278E-2</v>
      </c>
      <c r="E87" s="453">
        <f t="shared" si="118"/>
        <v>8.5362690306067926E-2</v>
      </c>
      <c r="F87" s="453">
        <f t="shared" si="118"/>
        <v>8.5399345733978477E-2</v>
      </c>
      <c r="G87" s="453">
        <f t="shared" si="118"/>
        <v>0.1020083742782735</v>
      </c>
      <c r="H87" s="453">
        <f t="shared" si="118"/>
        <v>0.14864172693367075</v>
      </c>
      <c r="I87" s="453">
        <f t="shared" si="118"/>
        <v>0.17043151303859472</v>
      </c>
      <c r="J87" s="516">
        <f t="shared" si="118"/>
        <v>0.16205959708242404</v>
      </c>
      <c r="K87" s="381">
        <f>IFERROR(K19/K8,"NA")</f>
        <v>0.15411444456347134</v>
      </c>
      <c r="L87" s="381">
        <f>IFERROR(L19/L8,"NA")</f>
        <v>0.1838960578592351</v>
      </c>
      <c r="M87" s="381">
        <f>IFERROR(M19/M8,"NA")</f>
        <v>0.20315120345541482</v>
      </c>
      <c r="N87" s="381">
        <f>IFERROR(N19/N8,"NA")</f>
        <v>0.21586176129142348</v>
      </c>
      <c r="O87" s="466">
        <f>IFERROR(O19/O8,"NA")</f>
        <v>0.22764474511979579</v>
      </c>
      <c r="P87" s="102"/>
      <c r="R87" s="471" t="str">
        <f t="shared" si="1"/>
        <v>Operating Income</v>
      </c>
      <c r="S87" s="453">
        <f t="shared" ref="S87:BA87" si="119">IFERROR(S19/S8,"NA")</f>
        <v>5.4248042341143471E-2</v>
      </c>
      <c r="T87" s="453">
        <f t="shared" si="119"/>
        <v>8.2974089792271652E-2</v>
      </c>
      <c r="U87" s="453">
        <f t="shared" si="119"/>
        <v>7.0278979152264387E-2</v>
      </c>
      <c r="V87" s="453">
        <f t="shared" si="119"/>
        <v>6.1230720611905771E-2</v>
      </c>
      <c r="W87" s="453">
        <f t="shared" si="119"/>
        <v>6.7423505182234278E-2</v>
      </c>
      <c r="X87" s="471">
        <f t="shared" si="119"/>
        <v>7.0210409745293634E-2</v>
      </c>
      <c r="Y87" s="453">
        <f t="shared" si="119"/>
        <v>9.694867656251456E-2</v>
      </c>
      <c r="Z87" s="453">
        <f t="shared" si="119"/>
        <v>9.0931521141455168E-2</v>
      </c>
      <c r="AA87" s="453">
        <f t="shared" si="119"/>
        <v>8.1956976029501666E-2</v>
      </c>
      <c r="AB87" s="454">
        <f t="shared" si="119"/>
        <v>8.5362690306067926E-2</v>
      </c>
      <c r="AC87" s="471">
        <f t="shared" si="119"/>
        <v>6.9732381193617105E-2</v>
      </c>
      <c r="AD87" s="453">
        <f t="shared" si="119"/>
        <v>0.11022522862159222</v>
      </c>
      <c r="AE87" s="453">
        <f t="shared" si="119"/>
        <v>9.6736768246777988E-2</v>
      </c>
      <c r="AF87" s="453">
        <f t="shared" si="119"/>
        <v>6.1909652082651312E-2</v>
      </c>
      <c r="AG87" s="454">
        <f t="shared" si="119"/>
        <v>8.5399345733978477E-2</v>
      </c>
      <c r="AH87" s="471">
        <f t="shared" si="119"/>
        <v>8.9694146004892505E-2</v>
      </c>
      <c r="AI87" s="453">
        <f t="shared" si="119"/>
        <v>8.8821850619687351E-2</v>
      </c>
      <c r="AJ87" s="453">
        <f t="shared" si="119"/>
        <v>0.11772866731481144</v>
      </c>
      <c r="AK87" s="453">
        <f t="shared" si="119"/>
        <v>0.10923456972141667</v>
      </c>
      <c r="AL87" s="454">
        <f t="shared" si="119"/>
        <v>0.1020083742782735</v>
      </c>
      <c r="AM87" s="471">
        <f t="shared" si="119"/>
        <v>0.10343765106161446</v>
      </c>
      <c r="AN87" s="453">
        <f t="shared" si="119"/>
        <v>0.14738190774907109</v>
      </c>
      <c r="AO87" s="453">
        <f t="shared" si="119"/>
        <v>0.17418354116089169</v>
      </c>
      <c r="AP87" s="453">
        <f t="shared" si="119"/>
        <v>0.15976282692223576</v>
      </c>
      <c r="AQ87" s="454">
        <f t="shared" si="119"/>
        <v>0.14864172693367075</v>
      </c>
      <c r="AR87" s="471">
        <f t="shared" si="119"/>
        <v>0.15832376636379022</v>
      </c>
      <c r="AS87" s="453">
        <f t="shared" si="119"/>
        <v>0.19763176141500141</v>
      </c>
      <c r="AT87" s="453">
        <f t="shared" si="119"/>
        <v>0.17781636045512292</v>
      </c>
      <c r="AU87" s="453">
        <f t="shared" si="119"/>
        <v>0.14349783217380421</v>
      </c>
      <c r="AV87" s="454">
        <f t="shared" si="119"/>
        <v>0.17043151303859472</v>
      </c>
      <c r="AW87" s="471">
        <f t="shared" si="119"/>
        <v>0.15247897764690724</v>
      </c>
      <c r="AX87" s="453">
        <f t="shared" si="119"/>
        <v>0.17543385827111704</v>
      </c>
      <c r="AY87" s="453">
        <f t="shared" si="119"/>
        <v>0.16767547255735682</v>
      </c>
      <c r="AZ87" s="453">
        <f t="shared" si="119"/>
        <v>0.15232118389311119</v>
      </c>
      <c r="BA87" s="454">
        <f t="shared" si="119"/>
        <v>0.16205959708242404</v>
      </c>
      <c r="BB87" s="471">
        <f t="shared" ref="BB87:BZ87" si="120">IFERROR(BB19/BB8,"NA")</f>
        <v>0.15840741479248777</v>
      </c>
      <c r="BC87" s="453">
        <f t="shared" si="120"/>
        <v>0.16918029891502409</v>
      </c>
      <c r="BD87" s="453">
        <f t="shared" si="120"/>
        <v>0.15062149998278115</v>
      </c>
      <c r="BE87" s="453">
        <f t="shared" si="120"/>
        <v>0.13801561751112248</v>
      </c>
      <c r="BF87" s="454">
        <f t="shared" si="120"/>
        <v>0.15411444456347134</v>
      </c>
      <c r="BG87" s="471">
        <f t="shared" si="120"/>
        <v>0.19153031377265065</v>
      </c>
      <c r="BH87" s="453">
        <f t="shared" si="120"/>
        <v>0.21846743259224863</v>
      </c>
      <c r="BI87" s="453">
        <f t="shared" si="120"/>
        <v>0.17368386867353153</v>
      </c>
      <c r="BJ87" s="453">
        <f t="shared" si="120"/>
        <v>0.15162444558644006</v>
      </c>
      <c r="BK87" s="454">
        <f t="shared" si="120"/>
        <v>0.1838960578592351</v>
      </c>
      <c r="BL87" s="471">
        <f t="shared" si="120"/>
        <v>0.19038335313170859</v>
      </c>
      <c r="BM87" s="453">
        <f t="shared" si="120"/>
        <v>0.21582954149328842</v>
      </c>
      <c r="BN87" s="453">
        <f t="shared" si="120"/>
        <v>0.20796680823473351</v>
      </c>
      <c r="BO87" s="453">
        <f t="shared" si="120"/>
        <v>0.19710148983314069</v>
      </c>
      <c r="BP87" s="454">
        <f t="shared" si="120"/>
        <v>0.20315120345541482</v>
      </c>
      <c r="BQ87" s="471">
        <f t="shared" si="120"/>
        <v>0.20382548500884831</v>
      </c>
      <c r="BR87" s="453">
        <f t="shared" si="120"/>
        <v>0.22912765505969179</v>
      </c>
      <c r="BS87" s="453">
        <f t="shared" si="120"/>
        <v>0.21932283014543139</v>
      </c>
      <c r="BT87" s="453">
        <f t="shared" si="120"/>
        <v>0.20985208225049487</v>
      </c>
      <c r="BU87" s="454">
        <f t="shared" si="120"/>
        <v>0.21586176129142348</v>
      </c>
      <c r="BV87" s="471">
        <f t="shared" si="120"/>
        <v>0.2098316078104718</v>
      </c>
      <c r="BW87" s="453">
        <f t="shared" si="120"/>
        <v>0.24215212648976472</v>
      </c>
      <c r="BX87" s="453">
        <f t="shared" si="120"/>
        <v>0.23006530437009942</v>
      </c>
      <c r="BY87" s="453">
        <f t="shared" si="120"/>
        <v>0.2265309580913675</v>
      </c>
      <c r="BZ87" s="454">
        <f t="shared" si="120"/>
        <v>0.22764474511979579</v>
      </c>
    </row>
    <row r="88" spans="1:78" s="131" customFormat="1" ht="14.1" customHeight="1" x14ac:dyDescent="0.2">
      <c r="A88"/>
      <c r="B88"/>
      <c r="C88" s="462" t="s">
        <v>105</v>
      </c>
      <c r="D88" s="101"/>
      <c r="E88" s="101">
        <f t="shared" ref="E88:O88" si="121">IFERROR((E87-D87)*10000,"NA")</f>
        <v>179.39185123833647</v>
      </c>
      <c r="F88" s="101">
        <f t="shared" si="121"/>
        <v>0.36655427910550764</v>
      </c>
      <c r="G88" s="101">
        <f t="shared" si="121"/>
        <v>166.09028544295023</v>
      </c>
      <c r="H88" s="101">
        <f t="shared" si="121"/>
        <v>466.33352655397255</v>
      </c>
      <c r="I88" s="101">
        <f t="shared" si="121"/>
        <v>217.89786104923965</v>
      </c>
      <c r="J88" s="522">
        <f t="shared" si="121"/>
        <v>-83.719159561706775</v>
      </c>
      <c r="K88" s="131">
        <f t="shared" si="121"/>
        <v>-79.451525189526976</v>
      </c>
      <c r="L88" s="131">
        <f t="shared" si="121"/>
        <v>297.81613295763759</v>
      </c>
      <c r="M88" s="131">
        <f t="shared" si="121"/>
        <v>192.55145596179719</v>
      </c>
      <c r="N88" s="131">
        <f t="shared" si="121"/>
        <v>127.10557836008662</v>
      </c>
      <c r="O88" s="282">
        <f t="shared" si="121"/>
        <v>117.82983828372312</v>
      </c>
      <c r="Q88" s="101"/>
      <c r="R88" s="469" t="str">
        <f t="shared" ref="R88:R117" si="122">C88</f>
        <v>Y/Y ∆ bps</v>
      </c>
      <c r="X88" s="528">
        <f t="shared" ref="X88:BA88" si="123">IFERROR((X87-W87)*10000,"NA")</f>
        <v>27.869045630593558</v>
      </c>
      <c r="Y88" s="131">
        <f t="shared" si="123"/>
        <v>267.38266817220926</v>
      </c>
      <c r="Z88" s="131">
        <f t="shared" si="123"/>
        <v>-60.171554210593918</v>
      </c>
      <c r="AA88" s="131">
        <f t="shared" si="123"/>
        <v>-89.745451119535019</v>
      </c>
      <c r="AB88" s="282">
        <f t="shared" si="123"/>
        <v>34.057142765662604</v>
      </c>
      <c r="AC88" s="528">
        <f t="shared" si="123"/>
        <v>-156.30309112450823</v>
      </c>
      <c r="AD88" s="131">
        <f t="shared" si="123"/>
        <v>404.92847427975113</v>
      </c>
      <c r="AE88" s="131">
        <f t="shared" si="123"/>
        <v>-134.8846037481423</v>
      </c>
      <c r="AF88" s="131">
        <f t="shared" si="123"/>
        <v>-348.27116164126676</v>
      </c>
      <c r="AG88" s="282">
        <f t="shared" si="123"/>
        <v>234.89693651327164</v>
      </c>
      <c r="AH88" s="528">
        <f t="shared" si="123"/>
        <v>42.94800270914029</v>
      </c>
      <c r="AI88" s="131">
        <f t="shared" si="123"/>
        <v>-8.7229538520515462</v>
      </c>
      <c r="AJ88" s="131">
        <f t="shared" si="123"/>
        <v>289.06816695124087</v>
      </c>
      <c r="AK88" s="131">
        <f t="shared" si="123"/>
        <v>-84.940975933947698</v>
      </c>
      <c r="AL88" s="282">
        <f t="shared" si="123"/>
        <v>-72.261954431431661</v>
      </c>
      <c r="AM88" s="528">
        <f t="shared" si="123"/>
        <v>14.292767833409547</v>
      </c>
      <c r="AN88" s="131">
        <f t="shared" si="123"/>
        <v>439.44256687456635</v>
      </c>
      <c r="AO88" s="131">
        <f t="shared" si="123"/>
        <v>268.01633411820598</v>
      </c>
      <c r="AP88" s="131">
        <f t="shared" si="123"/>
        <v>-144.2071423865593</v>
      </c>
      <c r="AQ88" s="282">
        <f t="shared" si="123"/>
        <v>-111.21099988565003</v>
      </c>
      <c r="AR88" s="528">
        <f t="shared" si="123"/>
        <v>96.82039430119471</v>
      </c>
      <c r="AS88" s="131">
        <f t="shared" si="123"/>
        <v>393.07995051211185</v>
      </c>
      <c r="AT88" s="131">
        <f t="shared" si="123"/>
        <v>-198.15400959878494</v>
      </c>
      <c r="AU88" s="131">
        <f t="shared" si="123"/>
        <v>-343.18528281318703</v>
      </c>
      <c r="AV88" s="282">
        <f t="shared" si="123"/>
        <v>269.33680864790506</v>
      </c>
      <c r="AW88" s="528">
        <f t="shared" si="123"/>
        <v>-179.52535391687479</v>
      </c>
      <c r="AX88" s="131">
        <f t="shared" si="123"/>
        <v>229.54880624209807</v>
      </c>
      <c r="AY88" s="131">
        <f t="shared" si="123"/>
        <v>-77.583857137602237</v>
      </c>
      <c r="AZ88" s="131">
        <f t="shared" si="123"/>
        <v>-153.54288664245624</v>
      </c>
      <c r="BA88" s="282">
        <f t="shared" si="123"/>
        <v>97.384131893128441</v>
      </c>
      <c r="BB88" s="528">
        <f t="shared" ref="BB88:BZ88" si="124">IFERROR((BB87-BA87)*10000,"NA")</f>
        <v>-36.521822899362732</v>
      </c>
      <c r="BC88" s="131">
        <f t="shared" si="124"/>
        <v>107.72884122536325</v>
      </c>
      <c r="BD88" s="131">
        <f t="shared" si="124"/>
        <v>-185.58798932242937</v>
      </c>
      <c r="BE88" s="131">
        <f t="shared" si="124"/>
        <v>-126.0588247165867</v>
      </c>
      <c r="BF88" s="282">
        <f t="shared" si="124"/>
        <v>160.98827052348858</v>
      </c>
      <c r="BG88" s="528">
        <f t="shared" si="124"/>
        <v>374.15869209179306</v>
      </c>
      <c r="BH88" s="131">
        <f t="shared" si="124"/>
        <v>269.37118819597981</v>
      </c>
      <c r="BI88" s="131">
        <f t="shared" si="124"/>
        <v>-447.83563918717101</v>
      </c>
      <c r="BJ88" s="131">
        <f t="shared" si="124"/>
        <v>-220.59423087091469</v>
      </c>
      <c r="BK88" s="282">
        <f t="shared" si="124"/>
        <v>322.71612272795039</v>
      </c>
      <c r="BL88" s="528">
        <f t="shared" si="124"/>
        <v>64.872952724734915</v>
      </c>
      <c r="BM88" s="131">
        <f t="shared" si="124"/>
        <v>254.46188361579831</v>
      </c>
      <c r="BN88" s="131">
        <f t="shared" si="124"/>
        <v>-78.627332585549098</v>
      </c>
      <c r="BO88" s="131">
        <f t="shared" si="124"/>
        <v>-108.65318401592828</v>
      </c>
      <c r="BP88" s="282">
        <f t="shared" si="124"/>
        <v>60.497136222741332</v>
      </c>
      <c r="BQ88" s="528">
        <f t="shared" si="124"/>
        <v>6.7428155343349232</v>
      </c>
      <c r="BR88" s="131">
        <f t="shared" si="124"/>
        <v>253.0217005084348</v>
      </c>
      <c r="BS88" s="131">
        <f t="shared" si="124"/>
        <v>-98.048249142604078</v>
      </c>
      <c r="BT88" s="131">
        <f t="shared" si="124"/>
        <v>-94.707478949365154</v>
      </c>
      <c r="BU88" s="282">
        <f t="shared" si="124"/>
        <v>60.096790409286115</v>
      </c>
      <c r="BV88" s="528">
        <f t="shared" si="124"/>
        <v>-60.301534809516774</v>
      </c>
      <c r="BW88" s="131">
        <f t="shared" si="124"/>
        <v>323.20518679292923</v>
      </c>
      <c r="BX88" s="131">
        <f t="shared" si="124"/>
        <v>-120.86822119665302</v>
      </c>
      <c r="BY88" s="131">
        <f t="shared" si="124"/>
        <v>-35.343462787319204</v>
      </c>
      <c r="BZ88" s="282">
        <f t="shared" si="124"/>
        <v>11.137870284282926</v>
      </c>
    </row>
    <row r="89" spans="1:78" s="102" customFormat="1" ht="14.1" customHeight="1" x14ac:dyDescent="0.2">
      <c r="A89"/>
      <c r="B89"/>
      <c r="C89" s="364" t="str">
        <f>C23</f>
        <v>Interest Expense</v>
      </c>
      <c r="D89" s="453">
        <f t="shared" ref="D89:J89" si="125">IFERROR(D23/D8,"NA")</f>
        <v>3.595777897534212E-3</v>
      </c>
      <c r="E89" s="453">
        <f t="shared" si="125"/>
        <v>3.2759943622422604E-3</v>
      </c>
      <c r="F89" s="453">
        <f t="shared" si="125"/>
        <v>3.7431404209353936E-3</v>
      </c>
      <c r="G89" s="453">
        <f t="shared" si="125"/>
        <v>5.9003476798842819E-3</v>
      </c>
      <c r="H89" s="453">
        <f t="shared" si="125"/>
        <v>3.6124876786163699E-3</v>
      </c>
      <c r="I89" s="453">
        <f t="shared" si="125"/>
        <v>2.857212084137251E-3</v>
      </c>
      <c r="J89" s="516">
        <f t="shared" si="125"/>
        <v>3.1244422480064603E-3</v>
      </c>
      <c r="K89" s="381">
        <f>IFERROR(K23/K8,"NA")</f>
        <v>4.8553631095414416E-3</v>
      </c>
      <c r="L89" s="381">
        <f>IFERROR(L23/L8,"NA")</f>
        <v>5.3980363364748039E-3</v>
      </c>
      <c r="M89" s="381">
        <f>IFERROR(M23/M8,"NA")</f>
        <v>4.5407218343084411E-3</v>
      </c>
      <c r="N89" s="381">
        <f>IFERROR(N23/N8,"NA")</f>
        <v>1.9698027023792005E-3</v>
      </c>
      <c r="O89" s="466">
        <f>IFERROR(O23/O8,"NA")</f>
        <v>1.9763322650460137E-3</v>
      </c>
      <c r="Q89" s="100"/>
      <c r="R89" s="471" t="str">
        <f t="shared" si="122"/>
        <v>Interest Expense</v>
      </c>
      <c r="S89" s="381">
        <f t="shared" ref="S89:BA89" si="126">IFERROR(S23/S8,"NA")</f>
        <v>2.8196477761614413E-3</v>
      </c>
      <c r="T89" s="381">
        <f t="shared" si="126"/>
        <v>4.2941702032611119E-3</v>
      </c>
      <c r="U89" s="381">
        <f t="shared" si="126"/>
        <v>3.7507641503505091E-3</v>
      </c>
      <c r="V89" s="381">
        <f t="shared" si="126"/>
        <v>3.4521453382647155E-3</v>
      </c>
      <c r="W89" s="381">
        <f t="shared" si="126"/>
        <v>3.595777897534212E-3</v>
      </c>
      <c r="X89" s="514">
        <f t="shared" si="126"/>
        <v>3.1211415333307875E-3</v>
      </c>
      <c r="Y89" s="381">
        <f t="shared" si="126"/>
        <v>3.3913960236231491E-3</v>
      </c>
      <c r="Z89" s="381">
        <f t="shared" si="126"/>
        <v>3.3132657521113256E-3</v>
      </c>
      <c r="AA89" s="381">
        <f t="shared" si="126"/>
        <v>3.2649047326367571E-3</v>
      </c>
      <c r="AB89" s="466">
        <f t="shared" si="126"/>
        <v>3.2759943622422604E-3</v>
      </c>
      <c r="AC89" s="514">
        <f t="shared" si="126"/>
        <v>3.3683728542758607E-3</v>
      </c>
      <c r="AD89" s="381">
        <f t="shared" si="126"/>
        <v>4.0995702237206343E-3</v>
      </c>
      <c r="AE89" s="381">
        <f t="shared" si="126"/>
        <v>3.9838683190762886E-3</v>
      </c>
      <c r="AF89" s="381">
        <f t="shared" si="126"/>
        <v>3.4622459458544465E-3</v>
      </c>
      <c r="AG89" s="466">
        <f t="shared" si="126"/>
        <v>3.7431404209353936E-3</v>
      </c>
      <c r="AH89" s="514">
        <f t="shared" si="126"/>
        <v>5.9702775114472348E-3</v>
      </c>
      <c r="AI89" s="381">
        <f t="shared" si="126"/>
        <v>7.2962379877258357E-3</v>
      </c>
      <c r="AJ89" s="381">
        <f t="shared" si="126"/>
        <v>5.46252913535006E-3</v>
      </c>
      <c r="AK89" s="381">
        <f t="shared" si="126"/>
        <v>5.0522501374658428E-3</v>
      </c>
      <c r="AL89" s="466">
        <f t="shared" si="126"/>
        <v>5.9003476798842819E-3</v>
      </c>
      <c r="AM89" s="514">
        <f t="shared" si="126"/>
        <v>4.5643383036477895E-3</v>
      </c>
      <c r="AN89" s="381">
        <f t="shared" si="126"/>
        <v>3.6986267203189729E-3</v>
      </c>
      <c r="AO89" s="381">
        <f t="shared" si="126"/>
        <v>3.2321215288145713E-3</v>
      </c>
      <c r="AP89" s="381">
        <f t="shared" si="126"/>
        <v>3.1658809783480599E-3</v>
      </c>
      <c r="AQ89" s="466">
        <f t="shared" si="126"/>
        <v>3.6124876786163699E-3</v>
      </c>
      <c r="AR89" s="514">
        <f t="shared" si="126"/>
        <v>2.9176660879349559E-3</v>
      </c>
      <c r="AS89" s="381">
        <f t="shared" si="126"/>
        <v>2.7095961526596331E-3</v>
      </c>
      <c r="AT89" s="381">
        <f t="shared" si="126"/>
        <v>2.6781609077239595E-3</v>
      </c>
      <c r="AU89" s="381">
        <f t="shared" si="126"/>
        <v>3.1633022024443154E-3</v>
      </c>
      <c r="AV89" s="466">
        <f t="shared" si="126"/>
        <v>2.857212084137251E-3</v>
      </c>
      <c r="AW89" s="514">
        <f t="shared" si="126"/>
        <v>3.4255588273142228E-3</v>
      </c>
      <c r="AX89" s="381">
        <f t="shared" si="126"/>
        <v>2.9702737604049398E-3</v>
      </c>
      <c r="AY89" s="381">
        <f t="shared" si="126"/>
        <v>2.5693761417233444E-3</v>
      </c>
      <c r="AZ89" s="381">
        <f t="shared" si="126"/>
        <v>3.5750247626249428E-3</v>
      </c>
      <c r="BA89" s="466">
        <f t="shared" si="126"/>
        <v>3.1244422480064603E-3</v>
      </c>
      <c r="BB89" s="514">
        <f t="shared" ref="BB89:BZ89" si="127">IFERROR(BB23/BB8,"NA")</f>
        <v>2.9041191083435461E-3</v>
      </c>
      <c r="BC89" s="381">
        <f t="shared" si="127"/>
        <v>4.9750329185514856E-3</v>
      </c>
      <c r="BD89" s="381">
        <f t="shared" si="127"/>
        <v>5.5394850748661396E-3</v>
      </c>
      <c r="BE89" s="381">
        <f t="shared" si="127"/>
        <v>5.8669600437896881E-3</v>
      </c>
      <c r="BF89" s="466">
        <f t="shared" si="127"/>
        <v>4.8553631095414416E-3</v>
      </c>
      <c r="BG89" s="514">
        <f t="shared" si="127"/>
        <v>5.5585888513157988E-3</v>
      </c>
      <c r="BH89" s="381">
        <f t="shared" si="127"/>
        <v>5.3433893449236838E-3</v>
      </c>
      <c r="BI89" s="381">
        <f t="shared" si="127"/>
        <v>5.3316137185595259E-3</v>
      </c>
      <c r="BJ89" s="381">
        <f t="shared" si="127"/>
        <v>5.3732556056427377E-3</v>
      </c>
      <c r="BK89" s="466">
        <f t="shared" si="127"/>
        <v>5.3980363364748039E-3</v>
      </c>
      <c r="BL89" s="514">
        <f t="shared" si="127"/>
        <v>5.0156870191061832E-3</v>
      </c>
      <c r="BM89" s="381">
        <f t="shared" si="127"/>
        <v>4.930753143687492E-3</v>
      </c>
      <c r="BN89" s="381">
        <f t="shared" si="127"/>
        <v>4.8962897331309577E-3</v>
      </c>
      <c r="BO89" s="381">
        <f t="shared" si="127"/>
        <v>3.3637811566348198E-3</v>
      </c>
      <c r="BP89" s="466">
        <f t="shared" si="127"/>
        <v>4.5407218343084411E-3</v>
      </c>
      <c r="BQ89" s="514">
        <f t="shared" si="127"/>
        <v>1.932260741221425E-3</v>
      </c>
      <c r="BR89" s="381">
        <f t="shared" si="127"/>
        <v>2.0165830430638847E-3</v>
      </c>
      <c r="BS89" s="381">
        <f t="shared" si="127"/>
        <v>2.0013871267988278E-3</v>
      </c>
      <c r="BT89" s="381">
        <f t="shared" si="127"/>
        <v>1.9244861145736472E-3</v>
      </c>
      <c r="BU89" s="466">
        <f t="shared" si="127"/>
        <v>1.9698027023792005E-3</v>
      </c>
      <c r="BV89" s="514">
        <f t="shared" si="127"/>
        <v>1.9447888727630984E-3</v>
      </c>
      <c r="BW89" s="381">
        <f t="shared" si="127"/>
        <v>2.0030844321120675E-3</v>
      </c>
      <c r="BX89" s="381">
        <f t="shared" si="127"/>
        <v>2.0063531608749238E-3</v>
      </c>
      <c r="BY89" s="381">
        <f t="shared" si="127"/>
        <v>1.9468002162319094E-3</v>
      </c>
      <c r="BZ89" s="466">
        <f t="shared" si="127"/>
        <v>1.9763322650460137E-3</v>
      </c>
    </row>
    <row r="90" spans="1:78" s="102" customFormat="1" ht="14.1" customHeight="1" x14ac:dyDescent="0.2">
      <c r="A90"/>
      <c r="B90"/>
      <c r="C90" s="364" t="str">
        <f>C24</f>
        <v>Interest Income</v>
      </c>
      <c r="D90" s="453">
        <f t="shared" ref="D90:J90" si="128">IFERROR(D24/D8,"NA")</f>
        <v>0</v>
      </c>
      <c r="E90" s="453">
        <f t="shared" si="128"/>
        <v>0</v>
      </c>
      <c r="F90" s="453">
        <f t="shared" si="128"/>
        <v>0</v>
      </c>
      <c r="G90" s="453">
        <f t="shared" si="128"/>
        <v>0</v>
      </c>
      <c r="H90" s="453">
        <f t="shared" si="128"/>
        <v>-4.8062134727776063E-6</v>
      </c>
      <c r="I90" s="453">
        <f t="shared" si="128"/>
        <v>-7.772047633698023E-5</v>
      </c>
      <c r="J90" s="516">
        <f t="shared" si="128"/>
        <v>-2.1544835503723323E-3</v>
      </c>
      <c r="K90" s="381">
        <f>IFERROR(K24/K8,"NA")</f>
        <v>-2.967063034863239E-4</v>
      </c>
      <c r="L90" s="381">
        <f>IFERROR(L24/L8,"NA")</f>
        <v>-5.3437643613667207E-5</v>
      </c>
      <c r="M90" s="381">
        <f>IFERROR(M24/M8,"NA")</f>
        <v>-5.3437643613667207E-5</v>
      </c>
      <c r="N90" s="381">
        <f>IFERROR(N24/N8,"NA")</f>
        <v>-5.3437643613667207E-5</v>
      </c>
      <c r="O90" s="466">
        <f>IFERROR(O24/O8,"NA")</f>
        <v>-5.3437643613667207E-5</v>
      </c>
      <c r="Q90" s="100"/>
      <c r="R90" s="471" t="str">
        <f t="shared" si="122"/>
        <v>Interest Income</v>
      </c>
      <c r="S90" s="381">
        <f t="shared" ref="S90:BA90" si="129">IFERROR(S24/S8,"NA")</f>
        <v>0</v>
      </c>
      <c r="T90" s="381">
        <f t="shared" si="129"/>
        <v>0</v>
      </c>
      <c r="U90" s="381">
        <f t="shared" si="129"/>
        <v>0</v>
      </c>
      <c r="V90" s="381">
        <f t="shared" si="129"/>
        <v>0</v>
      </c>
      <c r="W90" s="381">
        <f t="shared" si="129"/>
        <v>0</v>
      </c>
      <c r="X90" s="514">
        <f t="shared" si="129"/>
        <v>0</v>
      </c>
      <c r="Y90" s="381">
        <f t="shared" si="129"/>
        <v>0</v>
      </c>
      <c r="Z90" s="381">
        <f t="shared" si="129"/>
        <v>0</v>
      </c>
      <c r="AA90" s="381">
        <f t="shared" si="129"/>
        <v>0</v>
      </c>
      <c r="AB90" s="466">
        <f t="shared" si="129"/>
        <v>0</v>
      </c>
      <c r="AC90" s="514">
        <f t="shared" si="129"/>
        <v>0</v>
      </c>
      <c r="AD90" s="381">
        <f t="shared" si="129"/>
        <v>0</v>
      </c>
      <c r="AE90" s="381">
        <f t="shared" si="129"/>
        <v>0</v>
      </c>
      <c r="AF90" s="381">
        <f t="shared" si="129"/>
        <v>0</v>
      </c>
      <c r="AG90" s="466">
        <f t="shared" si="129"/>
        <v>0</v>
      </c>
      <c r="AH90" s="514">
        <f t="shared" si="129"/>
        <v>0</v>
      </c>
      <c r="AI90" s="381">
        <f t="shared" si="129"/>
        <v>0</v>
      </c>
      <c r="AJ90" s="381">
        <f t="shared" si="129"/>
        <v>0</v>
      </c>
      <c r="AK90" s="381">
        <f t="shared" si="129"/>
        <v>0</v>
      </c>
      <c r="AL90" s="466">
        <f t="shared" si="129"/>
        <v>0</v>
      </c>
      <c r="AM90" s="514">
        <f t="shared" si="129"/>
        <v>0</v>
      </c>
      <c r="AN90" s="381">
        <f t="shared" si="129"/>
        <v>0</v>
      </c>
      <c r="AO90" s="381">
        <f t="shared" si="129"/>
        <v>0</v>
      </c>
      <c r="AP90" s="381">
        <f t="shared" si="129"/>
        <v>-1.7825860786509382E-5</v>
      </c>
      <c r="AQ90" s="466">
        <f t="shared" si="129"/>
        <v>-4.8062134727776063E-6</v>
      </c>
      <c r="AR90" s="514">
        <f t="shared" si="129"/>
        <v>0</v>
      </c>
      <c r="AS90" s="381">
        <f t="shared" si="129"/>
        <v>0</v>
      </c>
      <c r="AT90" s="381">
        <f t="shared" si="129"/>
        <v>0</v>
      </c>
      <c r="AU90" s="381">
        <f t="shared" si="129"/>
        <v>-3.309309071166922E-4</v>
      </c>
      <c r="AV90" s="466">
        <f t="shared" si="129"/>
        <v>-7.772047633698023E-5</v>
      </c>
      <c r="AW90" s="514">
        <f t="shared" si="129"/>
        <v>-2.1194940464926162E-4</v>
      </c>
      <c r="AX90" s="381">
        <f t="shared" si="129"/>
        <v>-7.0110074256214173E-4</v>
      </c>
      <c r="AY90" s="381">
        <f t="shared" si="129"/>
        <v>-3.1258708059405736E-3</v>
      </c>
      <c r="AZ90" s="381">
        <f t="shared" si="129"/>
        <v>-4.2043209449204666E-3</v>
      </c>
      <c r="BA90" s="466">
        <f t="shared" si="129"/>
        <v>-2.1544835503723323E-3</v>
      </c>
      <c r="BB90" s="514">
        <f t="shared" ref="BB90:BZ90" si="130">IFERROR(BB24/BB8,"NA")</f>
        <v>-1.0002981020834024E-3</v>
      </c>
      <c r="BC90" s="381">
        <f t="shared" si="130"/>
        <v>-1.3361773666130576E-4</v>
      </c>
      <c r="BD90" s="381">
        <f t="shared" si="130"/>
        <v>-5.3437643613667214E-5</v>
      </c>
      <c r="BE90" s="381">
        <f t="shared" si="130"/>
        <v>-5.3437643613667207E-5</v>
      </c>
      <c r="BF90" s="466">
        <f t="shared" si="130"/>
        <v>-2.967063034863239E-4</v>
      </c>
      <c r="BG90" s="514">
        <f t="shared" si="130"/>
        <v>-5.3437643613667207E-5</v>
      </c>
      <c r="BH90" s="381">
        <f t="shared" si="130"/>
        <v>-5.3437643613667207E-5</v>
      </c>
      <c r="BI90" s="381">
        <f t="shared" si="130"/>
        <v>-5.3437643613667207E-5</v>
      </c>
      <c r="BJ90" s="381">
        <f t="shared" si="130"/>
        <v>-5.3437643613667207E-5</v>
      </c>
      <c r="BK90" s="466">
        <f t="shared" si="130"/>
        <v>-5.3437643613667207E-5</v>
      </c>
      <c r="BL90" s="514">
        <f t="shared" si="130"/>
        <v>-5.3437643613667207E-5</v>
      </c>
      <c r="BM90" s="381">
        <f t="shared" si="130"/>
        <v>-5.3437643613667207E-5</v>
      </c>
      <c r="BN90" s="381">
        <f t="shared" si="130"/>
        <v>-5.3437643613667207E-5</v>
      </c>
      <c r="BO90" s="381">
        <f t="shared" si="130"/>
        <v>-5.3437643613667207E-5</v>
      </c>
      <c r="BP90" s="466">
        <f t="shared" si="130"/>
        <v>-5.3437643613667207E-5</v>
      </c>
      <c r="BQ90" s="514">
        <f t="shared" si="130"/>
        <v>-5.3437643613667207E-5</v>
      </c>
      <c r="BR90" s="381">
        <f t="shared" si="130"/>
        <v>-5.3437643613667207E-5</v>
      </c>
      <c r="BS90" s="381">
        <f t="shared" si="130"/>
        <v>-5.3437643613667207E-5</v>
      </c>
      <c r="BT90" s="381">
        <f t="shared" si="130"/>
        <v>-5.3437643613667207E-5</v>
      </c>
      <c r="BU90" s="466">
        <f t="shared" si="130"/>
        <v>-5.3437643613667207E-5</v>
      </c>
      <c r="BV90" s="514">
        <f t="shared" si="130"/>
        <v>-5.3437643613667207E-5</v>
      </c>
      <c r="BW90" s="381">
        <f t="shared" si="130"/>
        <v>-5.3437643613667207E-5</v>
      </c>
      <c r="BX90" s="381">
        <f t="shared" si="130"/>
        <v>-5.3437643613667207E-5</v>
      </c>
      <c r="BY90" s="381">
        <f t="shared" si="130"/>
        <v>-5.3437643613667214E-5</v>
      </c>
      <c r="BZ90" s="466">
        <f t="shared" si="130"/>
        <v>-5.3437643613667207E-5</v>
      </c>
    </row>
    <row r="91" spans="1:78" s="102" customFormat="1" ht="14.1" customHeight="1" x14ac:dyDescent="0.2">
      <c r="A91"/>
      <c r="B91"/>
      <c r="C91" s="364" t="str">
        <f>C25</f>
        <v>Other, net (Income)</v>
      </c>
      <c r="D91" s="453">
        <f t="shared" ref="D91:J91" si="131">IFERROR(D25/D8,"NA")</f>
        <v>-6.5494271742852402E-5</v>
      </c>
      <c r="E91" s="453">
        <f t="shared" si="131"/>
        <v>-4.4744109045021646E-5</v>
      </c>
      <c r="F91" s="453">
        <f t="shared" si="131"/>
        <v>-4.2199878549421154E-4</v>
      </c>
      <c r="G91" s="453">
        <f t="shared" si="131"/>
        <v>-6.2226797470980031E-4</v>
      </c>
      <c r="H91" s="453">
        <f t="shared" si="131"/>
        <v>-3.6396143843852235E-4</v>
      </c>
      <c r="I91" s="453">
        <f t="shared" si="131"/>
        <v>1.6475308347931292E-5</v>
      </c>
      <c r="J91" s="516">
        <f t="shared" si="131"/>
        <v>-7.1422795532639482E-4</v>
      </c>
      <c r="K91" s="381">
        <f>IFERROR(K25/K8,"NA")</f>
        <v>-7.2680161690500625E-4</v>
      </c>
      <c r="L91" s="381">
        <f>IFERROR(L25/L8,"NA")</f>
        <v>-7.2737730004961121E-4</v>
      </c>
      <c r="M91" s="381">
        <f>IFERROR(M25/M8,"NA")</f>
        <v>-7.2855243593305152E-4</v>
      </c>
      <c r="N91" s="381">
        <f>IFERROR(N25/N8,"NA")</f>
        <v>-7.278407104477552E-4</v>
      </c>
      <c r="O91" s="466">
        <f>IFERROR(O25/O8,"NA")</f>
        <v>-7.2663688540647255E-4</v>
      </c>
      <c r="Q91" s="100"/>
      <c r="R91" s="471" t="str">
        <f t="shared" si="122"/>
        <v>Other, net (Income)</v>
      </c>
      <c r="S91" s="381">
        <f t="shared" ref="S91:BA91" si="132">IFERROR(S25/S8,"NA")</f>
        <v>3.0332105605249316E-4</v>
      </c>
      <c r="T91" s="381">
        <f t="shared" si="132"/>
        <v>2.512843421934331E-4</v>
      </c>
      <c r="U91" s="381">
        <f t="shared" si="132"/>
        <v>-3.7421942398775074E-4</v>
      </c>
      <c r="V91" s="381">
        <f t="shared" si="132"/>
        <v>-3.9904550457831056E-4</v>
      </c>
      <c r="W91" s="381">
        <f t="shared" si="132"/>
        <v>-6.5494271742852402E-5</v>
      </c>
      <c r="X91" s="514">
        <f t="shared" si="132"/>
        <v>-2.6221662147885082E-4</v>
      </c>
      <c r="Y91" s="381">
        <f t="shared" si="132"/>
        <v>-3.3120924027131164E-4</v>
      </c>
      <c r="Z91" s="381">
        <f t="shared" si="132"/>
        <v>-3.2662690747764137E-4</v>
      </c>
      <c r="AA91" s="381">
        <f t="shared" si="132"/>
        <v>7.6213890596189349E-4</v>
      </c>
      <c r="AB91" s="466">
        <f t="shared" si="132"/>
        <v>-4.4744109045021646E-5</v>
      </c>
      <c r="AC91" s="514">
        <f t="shared" si="132"/>
        <v>-8.1347543986127081E-4</v>
      </c>
      <c r="AD91" s="381">
        <f t="shared" si="132"/>
        <v>-3.0159738902831788E-4</v>
      </c>
      <c r="AE91" s="381">
        <f t="shared" si="132"/>
        <v>-4.2653836392679744E-5</v>
      </c>
      <c r="AF91" s="381">
        <f t="shared" si="132"/>
        <v>-5.8682134675499089E-4</v>
      </c>
      <c r="AG91" s="466">
        <f t="shared" si="132"/>
        <v>-4.2199878549421154E-4</v>
      </c>
      <c r="AH91" s="514">
        <f t="shared" si="132"/>
        <v>1.2253694029516393E-3</v>
      </c>
      <c r="AI91" s="381">
        <f t="shared" si="132"/>
        <v>-1.7961608556518081E-3</v>
      </c>
      <c r="AJ91" s="381">
        <f t="shared" si="132"/>
        <v>-8.1225824410956964E-4</v>
      </c>
      <c r="AK91" s="381">
        <f t="shared" si="132"/>
        <v>-1.1312074747839372E-3</v>
      </c>
      <c r="AL91" s="466">
        <f t="shared" si="132"/>
        <v>-6.2226797470980031E-4</v>
      </c>
      <c r="AM91" s="514">
        <f t="shared" si="132"/>
        <v>-2.7061978127311114E-4</v>
      </c>
      <c r="AN91" s="381">
        <f t="shared" si="132"/>
        <v>-7.5262587667787443E-4</v>
      </c>
      <c r="AO91" s="381">
        <f t="shared" si="132"/>
        <v>2.2719306217300429E-5</v>
      </c>
      <c r="AP91" s="381">
        <f t="shared" si="132"/>
        <v>-4.6347238044924403E-4</v>
      </c>
      <c r="AQ91" s="466">
        <f t="shared" si="132"/>
        <v>-3.6396143843852235E-4</v>
      </c>
      <c r="AR91" s="514">
        <f t="shared" si="132"/>
        <v>3.5540579780283594E-4</v>
      </c>
      <c r="AS91" s="381">
        <f t="shared" si="132"/>
        <v>1.0314477556287002E-3</v>
      </c>
      <c r="AT91" s="381">
        <f t="shared" si="132"/>
        <v>9.3206736653960395E-5</v>
      </c>
      <c r="AU91" s="381">
        <f t="shared" si="132"/>
        <v>-1.5646779295010425E-3</v>
      </c>
      <c r="AV91" s="466">
        <f t="shared" si="132"/>
        <v>1.6475308347931292E-5</v>
      </c>
      <c r="AW91" s="514">
        <f t="shared" si="132"/>
        <v>-7.6150393241841848E-4</v>
      </c>
      <c r="AX91" s="381">
        <f t="shared" si="132"/>
        <v>-1.4252355957628754E-3</v>
      </c>
      <c r="AY91" s="381">
        <f t="shared" si="132"/>
        <v>2.0254301136304998E-4</v>
      </c>
      <c r="AZ91" s="381">
        <f t="shared" si="132"/>
        <v>-9.6121587151126557E-4</v>
      </c>
      <c r="BA91" s="466">
        <f t="shared" si="132"/>
        <v>-7.1422795532639482E-4</v>
      </c>
      <c r="BB91" s="514">
        <f t="shared" ref="BB91:BZ91" si="133">IFERROR(BB25/BB8,"NA")</f>
        <v>-1.0440197409824121E-3</v>
      </c>
      <c r="BC91" s="381">
        <f t="shared" si="133"/>
        <v>-3.9599438319623342E-4</v>
      </c>
      <c r="BD91" s="381">
        <f t="shared" si="133"/>
        <v>-5.4625146805082042E-4</v>
      </c>
      <c r="BE91" s="381">
        <f t="shared" si="133"/>
        <v>-9.6121587151126557E-4</v>
      </c>
      <c r="BF91" s="466">
        <f t="shared" si="133"/>
        <v>-7.2680161690500625E-4</v>
      </c>
      <c r="BG91" s="514">
        <f t="shared" si="133"/>
        <v>-1.0440197409824121E-3</v>
      </c>
      <c r="BH91" s="381">
        <f t="shared" si="133"/>
        <v>-3.9599438319623342E-4</v>
      </c>
      <c r="BI91" s="381">
        <f t="shared" si="133"/>
        <v>-5.4625146805082042E-4</v>
      </c>
      <c r="BJ91" s="381">
        <f t="shared" si="133"/>
        <v>-9.6121587151126557E-4</v>
      </c>
      <c r="BK91" s="466">
        <f t="shared" si="133"/>
        <v>-7.2737730004961121E-4</v>
      </c>
      <c r="BL91" s="514">
        <f t="shared" si="133"/>
        <v>-1.0440197409824121E-3</v>
      </c>
      <c r="BM91" s="381">
        <f t="shared" si="133"/>
        <v>-3.9599438319623342E-4</v>
      </c>
      <c r="BN91" s="381">
        <f t="shared" si="133"/>
        <v>-5.4625146805082042E-4</v>
      </c>
      <c r="BO91" s="381">
        <f t="shared" si="133"/>
        <v>-9.6121587151126557E-4</v>
      </c>
      <c r="BP91" s="466">
        <f t="shared" si="133"/>
        <v>-7.2855243593305152E-4</v>
      </c>
      <c r="BQ91" s="514">
        <f t="shared" si="133"/>
        <v>-1.0440197409824121E-3</v>
      </c>
      <c r="BR91" s="381">
        <f t="shared" si="133"/>
        <v>-3.9599438319623342E-4</v>
      </c>
      <c r="BS91" s="381">
        <f t="shared" si="133"/>
        <v>-5.4625146805082042E-4</v>
      </c>
      <c r="BT91" s="381">
        <f t="shared" si="133"/>
        <v>-9.6121587151126557E-4</v>
      </c>
      <c r="BU91" s="466">
        <f t="shared" si="133"/>
        <v>-7.278407104477552E-4</v>
      </c>
      <c r="BV91" s="514">
        <f t="shared" si="133"/>
        <v>-1.0440197409824121E-3</v>
      </c>
      <c r="BW91" s="381">
        <f t="shared" si="133"/>
        <v>-3.9599438319623342E-4</v>
      </c>
      <c r="BX91" s="381">
        <f t="shared" si="133"/>
        <v>-5.4625146805082042E-4</v>
      </c>
      <c r="BY91" s="381">
        <f t="shared" si="133"/>
        <v>-9.6121587151126557E-4</v>
      </c>
      <c r="BZ91" s="466">
        <f t="shared" si="133"/>
        <v>-7.2663688540647255E-4</v>
      </c>
    </row>
    <row r="92" spans="1:78" s="102" customFormat="1" ht="14.1" customHeight="1" x14ac:dyDescent="0.2">
      <c r="A92"/>
      <c r="B92"/>
      <c r="C92" s="445" t="str">
        <f>C28</f>
        <v>Income Taxes</v>
      </c>
      <c r="D92" s="463">
        <f t="shared" ref="D92:J92" si="134">IFERROR(D28/D8,"NA")</f>
        <v>-9.8099028762663708E-4</v>
      </c>
      <c r="E92" s="463">
        <f t="shared" si="134"/>
        <v>1.8654665571040646E-2</v>
      </c>
      <c r="F92" s="463">
        <f t="shared" si="134"/>
        <v>1.8431944300637756E-2</v>
      </c>
      <c r="G92" s="463">
        <f t="shared" si="134"/>
        <v>2.0817991556032103E-2</v>
      </c>
      <c r="H92" s="463">
        <f t="shared" si="134"/>
        <v>3.4752418836162292E-2</v>
      </c>
      <c r="I92" s="463">
        <f t="shared" si="134"/>
        <v>3.9621683941266243E-2</v>
      </c>
      <c r="J92" s="519">
        <f t="shared" si="134"/>
        <v>3.8650907378377355E-2</v>
      </c>
      <c r="K92" s="345">
        <f>IFERROR(K28/K8,"NA")</f>
        <v>3.6829975496008041E-2</v>
      </c>
      <c r="L92" s="345">
        <f>IFERROR(L28/L8,"NA")</f>
        <v>4.4864900197505782E-2</v>
      </c>
      <c r="M92" s="345">
        <f>IFERROR(M28/M8,"NA")</f>
        <v>4.9237243777106365E-2</v>
      </c>
      <c r="N92" s="345">
        <f>IFERROR(N28/N8,"NA")</f>
        <v>5.1420744948776652E-2</v>
      </c>
      <c r="O92" s="346">
        <f>IFERROR(O28/O8,"NA")</f>
        <v>5.4213791330651184E-2</v>
      </c>
      <c r="P92" s="514"/>
      <c r="Q92" s="454"/>
      <c r="R92" s="473" t="str">
        <f t="shared" si="122"/>
        <v>Income Taxes</v>
      </c>
      <c r="S92" s="345">
        <f t="shared" ref="S92:BA92" si="135">IFERROR(S28/S8,"NA")</f>
        <v>1.5856262960784923E-2</v>
      </c>
      <c r="T92" s="345">
        <f t="shared" si="135"/>
        <v>2.9280209962028143E-2</v>
      </c>
      <c r="U92" s="345">
        <f t="shared" si="135"/>
        <v>2.5746867697722116E-2</v>
      </c>
      <c r="V92" s="345">
        <f t="shared" si="135"/>
        <v>-6.963477962778962E-2</v>
      </c>
      <c r="W92" s="345">
        <f t="shared" si="135"/>
        <v>-9.8099028762663708E-4</v>
      </c>
      <c r="X92" s="529">
        <f t="shared" si="135"/>
        <v>1.3571619505861688E-2</v>
      </c>
      <c r="Y92" s="345">
        <f t="shared" si="135"/>
        <v>2.3259285521024787E-2</v>
      </c>
      <c r="Z92" s="345">
        <f t="shared" si="135"/>
        <v>2.1691316423928828E-2</v>
      </c>
      <c r="AA92" s="345">
        <f t="shared" si="135"/>
        <v>1.5532882606023368E-2</v>
      </c>
      <c r="AB92" s="346">
        <f t="shared" si="135"/>
        <v>1.8654665571040646E-2</v>
      </c>
      <c r="AC92" s="529">
        <f t="shared" si="135"/>
        <v>1.2964460378387858E-2</v>
      </c>
      <c r="AD92" s="345">
        <f t="shared" si="135"/>
        <v>2.656211290513685E-2</v>
      </c>
      <c r="AE92" s="345">
        <f t="shared" si="135"/>
        <v>2.2484969854401127E-2</v>
      </c>
      <c r="AF92" s="345">
        <f t="shared" si="135"/>
        <v>1.0691433536839975E-2</v>
      </c>
      <c r="AG92" s="346">
        <f t="shared" si="135"/>
        <v>1.8431944300637756E-2</v>
      </c>
      <c r="AH92" s="529">
        <f t="shared" si="135"/>
        <v>1.9525264563302537E-2</v>
      </c>
      <c r="AI92" s="345">
        <f t="shared" si="135"/>
        <v>1.5268563119149325E-2</v>
      </c>
      <c r="AJ92" s="345">
        <f t="shared" si="135"/>
        <v>2.6785825574293584E-2</v>
      </c>
      <c r="AK92" s="345">
        <f t="shared" si="135"/>
        <v>2.0869623616422032E-2</v>
      </c>
      <c r="AL92" s="346">
        <f t="shared" si="135"/>
        <v>2.0817991556032103E-2</v>
      </c>
      <c r="AM92" s="529">
        <f t="shared" si="135"/>
        <v>2.2108190070113245E-2</v>
      </c>
      <c r="AN92" s="345">
        <f t="shared" si="135"/>
        <v>3.5088118487817094E-2</v>
      </c>
      <c r="AO92" s="345">
        <f t="shared" si="135"/>
        <v>4.1571461954898935E-2</v>
      </c>
      <c r="AP92" s="345">
        <f t="shared" si="135"/>
        <v>3.7550986013181402E-2</v>
      </c>
      <c r="AQ92" s="346">
        <f t="shared" si="135"/>
        <v>3.4752418836162292E-2</v>
      </c>
      <c r="AR92" s="529">
        <f t="shared" si="135"/>
        <v>3.4932609011276192E-2</v>
      </c>
      <c r="AS92" s="345">
        <f t="shared" si="135"/>
        <v>4.7362095837457784E-2</v>
      </c>
      <c r="AT92" s="345">
        <f t="shared" si="135"/>
        <v>4.0867041960850427E-2</v>
      </c>
      <c r="AU92" s="345">
        <f t="shared" si="135"/>
        <v>3.4163659821327831E-2</v>
      </c>
      <c r="AV92" s="346">
        <f t="shared" si="135"/>
        <v>3.9621683941266243E-2</v>
      </c>
      <c r="AW92" s="529">
        <f t="shared" si="135"/>
        <v>3.482177325955476E-2</v>
      </c>
      <c r="AX92" s="345">
        <f t="shared" si="135"/>
        <v>4.3124174011188822E-2</v>
      </c>
      <c r="AY92" s="345">
        <f t="shared" si="135"/>
        <v>4.1326514815311736E-2</v>
      </c>
      <c r="AZ92" s="345">
        <f t="shared" si="135"/>
        <v>3.5120325056048729E-2</v>
      </c>
      <c r="BA92" s="346">
        <f t="shared" si="135"/>
        <v>3.8650907378377355E-2</v>
      </c>
      <c r="BB92" s="529">
        <f t="shared" ref="BB92:BZ92" si="136">IFERROR(BB28/BB8,"NA")</f>
        <v>3.7385975953098609E-2</v>
      </c>
      <c r="BC92" s="345">
        <f t="shared" si="136"/>
        <v>4.0204362254689978E-2</v>
      </c>
      <c r="BD92" s="345">
        <f t="shared" si="136"/>
        <v>3.554315802223719E-2</v>
      </c>
      <c r="BE92" s="345">
        <f t="shared" si="136"/>
        <v>3.4150615822650637E-2</v>
      </c>
      <c r="BF92" s="346">
        <f t="shared" si="136"/>
        <v>3.6829975496008041E-2</v>
      </c>
      <c r="BG92" s="529">
        <f t="shared" si="136"/>
        <v>4.6643114972628893E-2</v>
      </c>
      <c r="BH92" s="345">
        <f t="shared" si="136"/>
        <v>5.3155901416913655E-2</v>
      </c>
      <c r="BI92" s="345">
        <f t="shared" si="136"/>
        <v>4.2463408044600616E-2</v>
      </c>
      <c r="BJ92" s="345">
        <f t="shared" si="136"/>
        <v>3.7125363378468314E-2</v>
      </c>
      <c r="BK92" s="346">
        <f t="shared" si="136"/>
        <v>4.4864900197505782E-2</v>
      </c>
      <c r="BL92" s="529">
        <f t="shared" si="136"/>
        <v>4.6238664300335866E-2</v>
      </c>
      <c r="BM92" s="345">
        <f t="shared" si="136"/>
        <v>5.2428363614298722E-2</v>
      </c>
      <c r="BN92" s="345">
        <f t="shared" si="136"/>
        <v>5.0513179591714412E-2</v>
      </c>
      <c r="BO92" s="345">
        <f t="shared" si="136"/>
        <v>4.7456411174490579E-2</v>
      </c>
      <c r="BP92" s="346">
        <f t="shared" si="136"/>
        <v>4.9237243777106365E-2</v>
      </c>
      <c r="BQ92" s="529">
        <f t="shared" si="136"/>
        <v>4.8484170484454005E-2</v>
      </c>
      <c r="BR92" s="345">
        <f t="shared" si="136"/>
        <v>5.465460661283348E-2</v>
      </c>
      <c r="BS92" s="345">
        <f t="shared" si="136"/>
        <v>5.2292074573326019E-2</v>
      </c>
      <c r="BT92" s="345">
        <f t="shared" si="136"/>
        <v>4.9929877639256617E-2</v>
      </c>
      <c r="BU92" s="346">
        <f t="shared" si="136"/>
        <v>5.1420744948776652E-2</v>
      </c>
      <c r="BV92" s="529">
        <f t="shared" si="136"/>
        <v>4.990993872098777E-2</v>
      </c>
      <c r="BW92" s="345">
        <f t="shared" si="136"/>
        <v>5.7736613553053123E-2</v>
      </c>
      <c r="BX92" s="345">
        <f t="shared" si="136"/>
        <v>5.4837974638435545E-2</v>
      </c>
      <c r="BY92" s="345">
        <f t="shared" si="136"/>
        <v>5.3886193850368434E-2</v>
      </c>
      <c r="BZ92" s="346">
        <f t="shared" si="136"/>
        <v>5.4213791330651184E-2</v>
      </c>
    </row>
    <row r="93" spans="1:78" ht="2.1" customHeight="1" x14ac:dyDescent="0.2">
      <c r="C93" s="107"/>
      <c r="D93" s="107"/>
      <c r="E93" s="107"/>
      <c r="F93" s="107"/>
      <c r="G93" s="107"/>
      <c r="H93" s="107"/>
      <c r="I93" s="107"/>
      <c r="J93" s="107"/>
      <c r="K93" s="107"/>
      <c r="L93" s="107"/>
      <c r="M93" s="107"/>
      <c r="N93" s="107"/>
      <c r="O93" s="107"/>
      <c r="R93" s="107"/>
      <c r="S93" s="107"/>
      <c r="T93" s="107"/>
      <c r="U93" s="107"/>
      <c r="V93" s="107"/>
      <c r="W93" s="107"/>
      <c r="X93" s="107"/>
      <c r="Y93" s="107"/>
      <c r="Z93" s="107"/>
      <c r="AA93" s="107"/>
      <c r="AB93" s="107"/>
      <c r="AC93" s="107"/>
      <c r="AD93" s="107"/>
      <c r="AE93" s="107"/>
      <c r="AF93" s="107"/>
      <c r="AG93" s="107"/>
      <c r="AH93" s="107"/>
      <c r="AI93" s="107"/>
      <c r="AJ93" s="107"/>
      <c r="AK93" s="107"/>
      <c r="AL93" s="107"/>
      <c r="AM93" s="107"/>
      <c r="AN93" s="107"/>
      <c r="AO93" s="107"/>
      <c r="AP93" s="107"/>
      <c r="AQ93" s="107"/>
      <c r="AR93" s="107"/>
      <c r="AS93" s="107"/>
      <c r="AT93" s="107"/>
      <c r="AU93" s="107"/>
      <c r="AV93" s="107"/>
      <c r="AW93" s="107"/>
      <c r="AX93" s="107"/>
      <c r="AY93" s="107"/>
      <c r="AZ93" s="107"/>
      <c r="BA93" s="107"/>
      <c r="BB93" s="107"/>
      <c r="BC93" s="107"/>
      <c r="BD93" s="107"/>
      <c r="BE93" s="107"/>
      <c r="BF93" s="107"/>
      <c r="BG93" s="107"/>
      <c r="BH93" s="107"/>
      <c r="BI93" s="107"/>
      <c r="BJ93" s="107"/>
      <c r="BK93" s="107"/>
      <c r="BL93" s="107"/>
      <c r="BM93" s="107"/>
      <c r="BN93" s="107"/>
      <c r="BO93" s="107"/>
      <c r="BP93" s="107"/>
      <c r="BQ93" s="107"/>
      <c r="BR93" s="107"/>
      <c r="BS93" s="107"/>
      <c r="BT93" s="107"/>
      <c r="BU93" s="107"/>
      <c r="BV93" s="107"/>
      <c r="BW93" s="107"/>
      <c r="BX93" s="107"/>
      <c r="BY93" s="107"/>
      <c r="BZ93" s="107"/>
    </row>
    <row r="95" spans="1:78" ht="14.1" customHeight="1" x14ac:dyDescent="0.2">
      <c r="C95" s="99"/>
      <c r="R95" s="99"/>
    </row>
    <row r="96" spans="1:78" ht="14.1" customHeight="1" x14ac:dyDescent="0.2">
      <c r="C96" s="99"/>
      <c r="R96" s="99"/>
    </row>
    <row r="97" spans="1:78" ht="8.1" customHeight="1" x14ac:dyDescent="0.2">
      <c r="C97" s="99"/>
      <c r="R97" s="99"/>
    </row>
    <row r="98" spans="1:78" ht="18.75" x14ac:dyDescent="0.25">
      <c r="C98" s="136" t="str">
        <f>C3</f>
        <v>SAIA, Inc.</v>
      </c>
      <c r="D98" s="148"/>
      <c r="E98" s="148"/>
      <c r="F98" s="148"/>
      <c r="G98" s="148"/>
      <c r="H98" s="148"/>
      <c r="I98" s="148"/>
      <c r="J98" s="148"/>
      <c r="K98" s="148"/>
      <c r="L98" s="148"/>
      <c r="M98" s="148"/>
      <c r="N98" s="1150" t="str">
        <f>N54</f>
        <v>Model Case:</v>
      </c>
      <c r="O98" s="64" t="str">
        <f>O54</f>
        <v>Base</v>
      </c>
      <c r="R98" s="1376" t="str">
        <f>C98</f>
        <v>SAIA, Inc.</v>
      </c>
      <c r="S98" s="1374"/>
      <c r="T98" s="1374"/>
      <c r="U98" s="1374"/>
      <c r="V98" s="1374"/>
      <c r="W98" s="1374"/>
      <c r="X98" s="1374"/>
      <c r="Y98" s="1374"/>
      <c r="Z98" s="1374"/>
      <c r="AA98" s="1374"/>
      <c r="AB98" s="1374"/>
      <c r="AC98" s="1374"/>
      <c r="AD98" s="1374"/>
      <c r="AE98" s="1374"/>
      <c r="AF98" s="1374"/>
      <c r="AG98" s="1374"/>
      <c r="AH98" s="1374"/>
      <c r="AI98" s="1374"/>
      <c r="AJ98" s="1374"/>
      <c r="AK98" s="1374"/>
      <c r="AL98" s="1374"/>
      <c r="AM98" s="1374"/>
      <c r="AN98" s="1374"/>
      <c r="AO98" s="1374"/>
      <c r="AP98" s="1374"/>
      <c r="AQ98" s="1374"/>
      <c r="AR98" s="1374"/>
      <c r="AS98" s="1374"/>
      <c r="AT98" s="1374"/>
      <c r="AU98" s="1374"/>
      <c r="AV98" s="1374"/>
      <c r="AW98" s="1374"/>
      <c r="AX98" s="1374"/>
      <c r="AY98" s="1374"/>
      <c r="AZ98" s="1374"/>
      <c r="BA98" s="47"/>
      <c r="BB98" s="47"/>
      <c r="BC98" s="47"/>
      <c r="BD98" s="47"/>
      <c r="BE98" s="47"/>
      <c r="BF98" s="47"/>
      <c r="BG98" s="47"/>
      <c r="BH98" s="47"/>
      <c r="BI98" s="47"/>
      <c r="BJ98" s="47"/>
      <c r="BK98" s="47"/>
      <c r="BL98" s="47"/>
      <c r="BM98" s="47"/>
      <c r="BN98" s="47"/>
      <c r="BO98" s="47"/>
      <c r="BP98" s="47"/>
      <c r="BQ98" s="47"/>
      <c r="BR98" s="47"/>
      <c r="BS98" s="47"/>
      <c r="BT98" s="47"/>
      <c r="BU98" s="47"/>
      <c r="BV98" s="47"/>
      <c r="BW98" s="1144"/>
      <c r="BX98" s="67" t="str">
        <f t="shared" ref="BX98:BY100" si="137">BX54</f>
        <v>Model Case:</v>
      </c>
      <c r="BY98" s="48" t="str">
        <f t="shared" si="137"/>
        <v>Base</v>
      </c>
      <c r="BZ98" s="47"/>
    </row>
    <row r="99" spans="1:78" ht="14.1" customHeight="1" x14ac:dyDescent="0.2">
      <c r="C99" s="133" t="str">
        <f>C4&amp;" % Changes"</f>
        <v>Income Statement % Changes</v>
      </c>
      <c r="D99" s="148"/>
      <c r="E99" s="148"/>
      <c r="F99" s="148"/>
      <c r="G99" s="148"/>
      <c r="H99" s="148"/>
      <c r="I99" s="148"/>
      <c r="J99" s="148"/>
      <c r="K99" s="148"/>
      <c r="L99" s="148"/>
      <c r="M99" s="1149"/>
      <c r="N99" s="1150" t="str">
        <f>N4</f>
        <v>DCF Share Value as of 12/31/2024:</v>
      </c>
      <c r="O99" s="65">
        <f>O4</f>
        <v>520.1066763818468</v>
      </c>
      <c r="R99" s="1387" t="str">
        <f>C99</f>
        <v>Income Statement % Changes</v>
      </c>
      <c r="S99" s="1375"/>
      <c r="T99" s="1375"/>
      <c r="U99" s="1375"/>
      <c r="V99" s="1375"/>
      <c r="W99" s="1375"/>
      <c r="X99" s="1375"/>
      <c r="Y99" s="1375"/>
      <c r="Z99" s="1375"/>
      <c r="AA99" s="1375"/>
      <c r="AB99" s="1375"/>
      <c r="AC99" s="1375"/>
      <c r="AD99" s="1375"/>
      <c r="AE99" s="1375"/>
      <c r="AF99" s="1375"/>
      <c r="AG99" s="1375"/>
      <c r="AH99" s="1375"/>
      <c r="AI99" s="1375"/>
      <c r="AJ99" s="1375"/>
      <c r="AK99" s="1375"/>
      <c r="AL99" s="1375"/>
      <c r="AM99" s="1375"/>
      <c r="AN99" s="1375"/>
      <c r="AO99" s="1375"/>
      <c r="AP99" s="1375"/>
      <c r="AQ99" s="1375"/>
      <c r="AR99" s="1375"/>
      <c r="AS99" s="1375"/>
      <c r="AT99" s="1375"/>
      <c r="AU99" s="1375"/>
      <c r="AV99" s="1375"/>
      <c r="AW99" s="1375"/>
      <c r="AX99" s="1375"/>
      <c r="AY99" s="1375"/>
      <c r="AZ99" s="1375"/>
      <c r="BA99" s="1375"/>
      <c r="BB99" s="48"/>
      <c r="BC99" s="48"/>
      <c r="BD99" s="48"/>
      <c r="BE99" s="48"/>
      <c r="BF99" s="48"/>
      <c r="BG99" s="48"/>
      <c r="BH99" s="48"/>
      <c r="BI99" s="48"/>
      <c r="BJ99" s="48"/>
      <c r="BK99" s="48"/>
      <c r="BL99" s="48"/>
      <c r="BM99" s="48"/>
      <c r="BN99" s="48"/>
      <c r="BO99" s="48"/>
      <c r="BP99" s="48"/>
      <c r="BQ99" s="48"/>
      <c r="BR99" s="48"/>
      <c r="BS99" s="48"/>
      <c r="BT99" s="48"/>
      <c r="BU99" s="48"/>
      <c r="BV99" s="48"/>
      <c r="BW99" s="48"/>
      <c r="BX99" s="67" t="str">
        <f t="shared" si="137"/>
        <v>DCF Share Value as of 12/31/2024:</v>
      </c>
      <c r="BY99" s="65">
        <f t="shared" si="137"/>
        <v>520.1066763818468</v>
      </c>
      <c r="BZ99" s="48"/>
    </row>
    <row r="100" spans="1:78" ht="14.1" customHeight="1" x14ac:dyDescent="0.2">
      <c r="C100" s="147" t="str">
        <f>C5</f>
        <v>($ in millions, fiscal year ending December,31)</v>
      </c>
      <c r="D100" s="148"/>
      <c r="E100" s="148"/>
      <c r="F100" s="148"/>
      <c r="G100" s="148"/>
      <c r="H100" s="148"/>
      <c r="I100" s="148"/>
      <c r="J100" s="148"/>
      <c r="K100" s="148"/>
      <c r="L100" s="148"/>
      <c r="M100" s="1149"/>
      <c r="N100" s="1150" t="str">
        <f>N5</f>
        <v>Market Share Price as of 12/31/2024:</v>
      </c>
      <c r="O100" s="65">
        <f>O5</f>
        <v>455.73</v>
      </c>
      <c r="R100" s="154" t="str">
        <f>C103&amp;" (Quarter X to Quarter X+1)"</f>
        <v>% Change (Quarter X to Quarter X+1)</v>
      </c>
      <c r="S100" s="152"/>
      <c r="T100" s="152"/>
      <c r="U100" s="152"/>
      <c r="V100" s="152"/>
      <c r="W100" s="152"/>
      <c r="X100" s="152"/>
      <c r="Y100" s="152"/>
      <c r="Z100" s="152"/>
      <c r="AA100" s="152"/>
      <c r="AB100" s="152"/>
      <c r="AC100" s="152"/>
      <c r="AD100" s="152"/>
      <c r="AE100" s="152"/>
      <c r="AF100" s="152"/>
      <c r="AG100" s="152"/>
      <c r="AH100" s="152"/>
      <c r="AI100" s="152"/>
      <c r="AJ100" s="152"/>
      <c r="AK100" s="152"/>
      <c r="AL100" s="152"/>
      <c r="AM100" s="152"/>
      <c r="AN100" s="152"/>
      <c r="AO100" s="152"/>
      <c r="AP100" s="152"/>
      <c r="AQ100" s="152"/>
      <c r="AR100" s="152"/>
      <c r="AS100" s="152"/>
      <c r="AT100" s="152"/>
      <c r="AU100" s="152"/>
      <c r="AV100" s="152"/>
      <c r="AW100" s="152"/>
      <c r="AX100" s="152"/>
      <c r="AY100" s="152"/>
      <c r="AZ100" s="152"/>
      <c r="BA100" s="152"/>
      <c r="BB100" s="153"/>
      <c r="BC100" s="153"/>
      <c r="BD100" s="153"/>
      <c r="BE100" s="153"/>
      <c r="BF100" s="153"/>
      <c r="BG100" s="153"/>
      <c r="BH100" s="153"/>
      <c r="BI100" s="153"/>
      <c r="BJ100" s="153"/>
      <c r="BK100" s="153"/>
      <c r="BL100" s="153"/>
      <c r="BM100" s="153"/>
      <c r="BN100" s="153"/>
      <c r="BO100" s="153"/>
      <c r="BP100" s="153"/>
      <c r="BQ100" s="153"/>
      <c r="BR100" s="153"/>
      <c r="BS100" s="153"/>
      <c r="BT100" s="153"/>
      <c r="BU100" s="153"/>
      <c r="BV100" s="153"/>
      <c r="BW100" s="153"/>
      <c r="BX100" s="1151" t="str">
        <f t="shared" si="137"/>
        <v>Market Share Price as of 12/31/2024:</v>
      </c>
      <c r="BY100" s="322">
        <f t="shared" si="137"/>
        <v>455.73</v>
      </c>
      <c r="BZ100" s="153"/>
    </row>
    <row r="101" spans="1:78" ht="14.1" customHeight="1" x14ac:dyDescent="0.2">
      <c r="C101" s="170"/>
      <c r="D101" s="97">
        <f t="shared" ref="D101:O101" si="138">D7</f>
        <v>43100</v>
      </c>
      <c r="E101" s="98">
        <f t="shared" si="138"/>
        <v>43465</v>
      </c>
      <c r="F101" s="98">
        <f t="shared" si="138"/>
        <v>43830</v>
      </c>
      <c r="G101" s="98">
        <f t="shared" si="138"/>
        <v>44196</v>
      </c>
      <c r="H101" s="98">
        <f t="shared" si="138"/>
        <v>44561</v>
      </c>
      <c r="I101" s="98">
        <f t="shared" si="138"/>
        <v>44926</v>
      </c>
      <c r="J101" s="98">
        <f t="shared" si="138"/>
        <v>45291</v>
      </c>
      <c r="K101" s="137">
        <f t="shared" si="138"/>
        <v>45657</v>
      </c>
      <c r="L101" s="138">
        <f t="shared" si="138"/>
        <v>46022</v>
      </c>
      <c r="M101" s="138">
        <f t="shared" si="138"/>
        <v>46387</v>
      </c>
      <c r="N101" s="138">
        <f t="shared" si="138"/>
        <v>46752</v>
      </c>
      <c r="O101" s="139">
        <f t="shared" si="138"/>
        <v>47118</v>
      </c>
      <c r="R101" s="155"/>
      <c r="S101" s="1367">
        <f>S5</f>
        <v>43100</v>
      </c>
      <c r="T101" s="1368"/>
      <c r="U101" s="1368"/>
      <c r="V101" s="1368"/>
      <c r="W101" s="1368"/>
      <c r="X101" s="1368">
        <f>X5</f>
        <v>43465</v>
      </c>
      <c r="Y101" s="1368"/>
      <c r="Z101" s="1368"/>
      <c r="AA101" s="1368"/>
      <c r="AB101" s="1368"/>
      <c r="AC101" s="1368">
        <f>AC5</f>
        <v>43830</v>
      </c>
      <c r="AD101" s="1368"/>
      <c r="AE101" s="1368"/>
      <c r="AF101" s="1368"/>
      <c r="AG101" s="1368"/>
      <c r="AH101" s="1368">
        <f>AH5</f>
        <v>44196</v>
      </c>
      <c r="AI101" s="1368"/>
      <c r="AJ101" s="1368"/>
      <c r="AK101" s="1368"/>
      <c r="AL101" s="1368"/>
      <c r="AM101" s="1368">
        <f>AM5</f>
        <v>44561</v>
      </c>
      <c r="AN101" s="1368"/>
      <c r="AO101" s="1368"/>
      <c r="AP101" s="1368"/>
      <c r="AQ101" s="1368"/>
      <c r="AR101" s="1368">
        <f>AR5</f>
        <v>44926</v>
      </c>
      <c r="AS101" s="1368"/>
      <c r="AT101" s="1368"/>
      <c r="AU101" s="1368"/>
      <c r="AV101" s="1368"/>
      <c r="AW101" s="1368">
        <f>AW5</f>
        <v>45291</v>
      </c>
      <c r="AX101" s="1368"/>
      <c r="AY101" s="1368"/>
      <c r="AZ101" s="1368"/>
      <c r="BA101" s="1368"/>
      <c r="BB101" s="1369">
        <f>BB5</f>
        <v>45657</v>
      </c>
      <c r="BC101" s="1369"/>
      <c r="BD101" s="1369"/>
      <c r="BE101" s="1369"/>
      <c r="BF101" s="1369"/>
      <c r="BG101" s="1365">
        <f>BG5</f>
        <v>46022</v>
      </c>
      <c r="BH101" s="1365"/>
      <c r="BI101" s="1365"/>
      <c r="BJ101" s="1365"/>
      <c r="BK101" s="1365"/>
      <c r="BL101" s="1365">
        <f>BL5</f>
        <v>46387</v>
      </c>
      <c r="BM101" s="1365"/>
      <c r="BN101" s="1365"/>
      <c r="BO101" s="1365"/>
      <c r="BP101" s="1365"/>
      <c r="BQ101" s="1365">
        <f>BQ5</f>
        <v>46752</v>
      </c>
      <c r="BR101" s="1365"/>
      <c r="BS101" s="1365"/>
      <c r="BT101" s="1365"/>
      <c r="BU101" s="1365"/>
      <c r="BV101" s="1365">
        <f>BV5</f>
        <v>47118</v>
      </c>
      <c r="BW101" s="1365"/>
      <c r="BX101" s="1365"/>
      <c r="BY101" s="1365"/>
      <c r="BZ101" s="1366"/>
    </row>
    <row r="102" spans="1:78" ht="14.1" customHeight="1" x14ac:dyDescent="0.2">
      <c r="R102" s="236"/>
      <c r="S102" s="96" t="str">
        <f t="shared" ref="S102:AX102" si="139">S58</f>
        <v>2017 Q1</v>
      </c>
      <c r="T102" s="140" t="str">
        <f t="shared" si="139"/>
        <v>2017 Q2</v>
      </c>
      <c r="U102" s="140" t="str">
        <f t="shared" si="139"/>
        <v>2017 Q3</v>
      </c>
      <c r="V102" s="140" t="str">
        <f t="shared" si="139"/>
        <v>2017 Q4</v>
      </c>
      <c r="W102" s="140" t="str">
        <f t="shared" si="139"/>
        <v>2017 FY</v>
      </c>
      <c r="X102" s="140" t="str">
        <f t="shared" si="139"/>
        <v>2018 Q1</v>
      </c>
      <c r="Y102" s="140" t="str">
        <f t="shared" si="139"/>
        <v>2018 Q2</v>
      </c>
      <c r="Z102" s="140" t="str">
        <f t="shared" si="139"/>
        <v>2018 Q3</v>
      </c>
      <c r="AA102" s="140" t="str">
        <f t="shared" si="139"/>
        <v>2018 Q4</v>
      </c>
      <c r="AB102" s="140" t="str">
        <f t="shared" si="139"/>
        <v>2018 FY</v>
      </c>
      <c r="AC102" s="140" t="str">
        <f t="shared" si="139"/>
        <v>2019 Q1</v>
      </c>
      <c r="AD102" s="140" t="str">
        <f t="shared" si="139"/>
        <v>2019 Q2</v>
      </c>
      <c r="AE102" s="140" t="str">
        <f t="shared" si="139"/>
        <v>2019 Q3</v>
      </c>
      <c r="AF102" s="140" t="str">
        <f t="shared" si="139"/>
        <v>2019 Q4</v>
      </c>
      <c r="AG102" s="140" t="str">
        <f t="shared" si="139"/>
        <v>2019 FY</v>
      </c>
      <c r="AH102" s="140" t="str">
        <f t="shared" si="139"/>
        <v>2020 Q1</v>
      </c>
      <c r="AI102" s="140" t="str">
        <f t="shared" si="139"/>
        <v>2020 Q2</v>
      </c>
      <c r="AJ102" s="140" t="str">
        <f t="shared" si="139"/>
        <v>2020 Q3</v>
      </c>
      <c r="AK102" s="140" t="str">
        <f t="shared" si="139"/>
        <v>2020 Q4</v>
      </c>
      <c r="AL102" s="140" t="str">
        <f t="shared" si="139"/>
        <v>2020 FY</v>
      </c>
      <c r="AM102" s="140" t="str">
        <f t="shared" si="139"/>
        <v>2021 Q1</v>
      </c>
      <c r="AN102" s="140" t="str">
        <f t="shared" si="139"/>
        <v>2021 Q2</v>
      </c>
      <c r="AO102" s="140" t="str">
        <f t="shared" si="139"/>
        <v>2021 Q3</v>
      </c>
      <c r="AP102" s="140" t="str">
        <f t="shared" si="139"/>
        <v>2021 Q4</v>
      </c>
      <c r="AQ102" s="140" t="str">
        <f t="shared" si="139"/>
        <v>2021 FY</v>
      </c>
      <c r="AR102" s="140" t="str">
        <f t="shared" si="139"/>
        <v>2022 Q1</v>
      </c>
      <c r="AS102" s="140" t="str">
        <f t="shared" si="139"/>
        <v>2022 Q2</v>
      </c>
      <c r="AT102" s="140" t="str">
        <f t="shared" si="139"/>
        <v>2022 Q3</v>
      </c>
      <c r="AU102" s="140" t="str">
        <f t="shared" si="139"/>
        <v>2022 Q4</v>
      </c>
      <c r="AV102" s="140" t="str">
        <f t="shared" si="139"/>
        <v>2022 FY</v>
      </c>
      <c r="AW102" s="140" t="str">
        <f t="shared" si="139"/>
        <v>2023 Q1</v>
      </c>
      <c r="AX102" s="140" t="str">
        <f t="shared" si="139"/>
        <v>2023 Q2</v>
      </c>
      <c r="AY102" s="140" t="str">
        <f t="shared" ref="AY102:BZ102" si="140">AY58</f>
        <v>2023 Q3</v>
      </c>
      <c r="AZ102" s="140" t="str">
        <f t="shared" si="140"/>
        <v>2023 Q4</v>
      </c>
      <c r="BA102" s="140" t="str">
        <f t="shared" si="140"/>
        <v>2023 FY</v>
      </c>
      <c r="BB102" s="140" t="str">
        <f t="shared" si="140"/>
        <v>2024 Q1</v>
      </c>
      <c r="BC102" s="140" t="str">
        <f t="shared" si="140"/>
        <v>2024 Q2</v>
      </c>
      <c r="BD102" s="140" t="str">
        <f t="shared" si="140"/>
        <v>2024 Q3</v>
      </c>
      <c r="BE102" s="141" t="str">
        <f t="shared" si="140"/>
        <v>2024 Q4</v>
      </c>
      <c r="BF102" s="141" t="str">
        <f t="shared" si="140"/>
        <v>2024 FY</v>
      </c>
      <c r="BG102" s="141" t="str">
        <f t="shared" si="140"/>
        <v>2025 Q1</v>
      </c>
      <c r="BH102" s="141" t="str">
        <f t="shared" si="140"/>
        <v>2025 Q2</v>
      </c>
      <c r="BI102" s="141" t="str">
        <f t="shared" si="140"/>
        <v>2025 Q3</v>
      </c>
      <c r="BJ102" s="141" t="str">
        <f t="shared" si="140"/>
        <v>2025 Q4</v>
      </c>
      <c r="BK102" s="141" t="str">
        <f t="shared" si="140"/>
        <v>2025 FY</v>
      </c>
      <c r="BL102" s="141" t="str">
        <f t="shared" si="140"/>
        <v>2026 Q1</v>
      </c>
      <c r="BM102" s="141" t="str">
        <f t="shared" si="140"/>
        <v>2026 Q2</v>
      </c>
      <c r="BN102" s="141" t="str">
        <f t="shared" si="140"/>
        <v>2026 Q3</v>
      </c>
      <c r="BO102" s="141" t="str">
        <f t="shared" si="140"/>
        <v>2026 Q4</v>
      </c>
      <c r="BP102" s="141" t="str">
        <f t="shared" si="140"/>
        <v>2026 FY</v>
      </c>
      <c r="BQ102" s="141" t="str">
        <f t="shared" si="140"/>
        <v>2027 Q1</v>
      </c>
      <c r="BR102" s="141" t="str">
        <f t="shared" si="140"/>
        <v>2027 Q2</v>
      </c>
      <c r="BS102" s="141" t="str">
        <f t="shared" si="140"/>
        <v>2027 Q3</v>
      </c>
      <c r="BT102" s="141" t="str">
        <f t="shared" si="140"/>
        <v>2027 Q4</v>
      </c>
      <c r="BU102" s="141" t="str">
        <f t="shared" si="140"/>
        <v>2027 FY</v>
      </c>
      <c r="BV102" s="141" t="str">
        <f t="shared" si="140"/>
        <v>2028 Q1</v>
      </c>
      <c r="BW102" s="141" t="str">
        <f t="shared" si="140"/>
        <v>2028 Q2</v>
      </c>
      <c r="BX102" s="141" t="str">
        <f t="shared" si="140"/>
        <v>2028 Q3</v>
      </c>
      <c r="BY102" s="141" t="str">
        <f t="shared" si="140"/>
        <v>2028 Q4</v>
      </c>
      <c r="BZ102" s="142" t="str">
        <f t="shared" si="140"/>
        <v>2028 FY</v>
      </c>
    </row>
    <row r="103" spans="1:78" ht="14.1" customHeight="1" x14ac:dyDescent="0.2">
      <c r="C103" s="298" t="s">
        <v>68</v>
      </c>
      <c r="D103" s="107"/>
      <c r="E103" s="107"/>
      <c r="F103" s="107"/>
      <c r="G103" s="107"/>
      <c r="H103" s="107"/>
      <c r="I103" s="107"/>
      <c r="J103" s="504"/>
      <c r="K103" s="107"/>
      <c r="L103" s="107"/>
      <c r="M103" s="107"/>
      <c r="N103" s="107"/>
      <c r="O103" s="465"/>
      <c r="R103" s="298" t="str">
        <f>C103&amp;" (Quarter X to Quarter X+1)"</f>
        <v>% Change (Quarter X to Quarter X+1)</v>
      </c>
      <c r="S103" s="107"/>
      <c r="T103" s="107"/>
      <c r="U103" s="107"/>
      <c r="V103" s="107"/>
      <c r="W103" s="107"/>
      <c r="X103" s="440"/>
      <c r="Y103" s="107"/>
      <c r="Z103" s="107"/>
      <c r="AA103" s="107"/>
      <c r="AB103" s="465"/>
      <c r="AC103" s="440"/>
      <c r="AD103" s="107"/>
      <c r="AE103" s="107"/>
      <c r="AF103" s="107"/>
      <c r="AG103" s="465"/>
      <c r="AH103" s="440"/>
      <c r="AI103" s="107"/>
      <c r="AJ103" s="107"/>
      <c r="AK103" s="107"/>
      <c r="AL103" s="465"/>
      <c r="AM103" s="440"/>
      <c r="AN103" s="107"/>
      <c r="AO103" s="107"/>
      <c r="AP103" s="107"/>
      <c r="AQ103" s="465"/>
      <c r="AR103" s="440"/>
      <c r="AS103" s="107"/>
      <c r="AT103" s="107"/>
      <c r="AU103" s="107"/>
      <c r="AV103" s="465"/>
      <c r="AW103" s="440"/>
      <c r="AX103" s="107"/>
      <c r="AY103" s="107"/>
      <c r="AZ103" s="107"/>
      <c r="BA103" s="465"/>
      <c r="BB103" s="440"/>
      <c r="BC103" s="107"/>
      <c r="BD103" s="107"/>
      <c r="BE103" s="107"/>
      <c r="BF103" s="465"/>
      <c r="BG103" s="440"/>
      <c r="BH103" s="107"/>
      <c r="BI103" s="107"/>
      <c r="BJ103" s="107"/>
      <c r="BK103" s="465"/>
      <c r="BL103" s="440"/>
      <c r="BM103" s="107"/>
      <c r="BN103" s="107"/>
      <c r="BO103" s="107"/>
      <c r="BP103" s="465"/>
      <c r="BQ103" s="440"/>
      <c r="BR103" s="107"/>
      <c r="BS103" s="107"/>
      <c r="BT103" s="107"/>
      <c r="BU103" s="465"/>
      <c r="BV103" s="440"/>
      <c r="BW103" s="107"/>
      <c r="BX103" s="107"/>
      <c r="BY103" s="107"/>
      <c r="BZ103" s="465"/>
    </row>
    <row r="104" spans="1:78" s="102" customFormat="1" ht="14.1" customHeight="1" x14ac:dyDescent="0.2">
      <c r="A104"/>
      <c r="B104"/>
      <c r="C104" s="364" t="str">
        <f>C8</f>
        <v>Revenue</v>
      </c>
      <c r="D104" s="381"/>
      <c r="E104" s="381">
        <f t="shared" ref="E104:J104" si="141">IFERROR(E8/D8-1,"NA")</f>
        <v>0.17736560682222513</v>
      </c>
      <c r="F104" s="381">
        <f t="shared" si="141"/>
        <v>8.0349536142658717E-2</v>
      </c>
      <c r="G104" s="381">
        <f t="shared" si="141"/>
        <v>1.9941961174992473E-2</v>
      </c>
      <c r="H104" s="381">
        <f t="shared" si="141"/>
        <v>0.25589700422417905</v>
      </c>
      <c r="I104" s="381">
        <f t="shared" si="141"/>
        <v>0.21992927001482032</v>
      </c>
      <c r="J104" s="524">
        <f t="shared" si="141"/>
        <v>3.2010807802276275E-2</v>
      </c>
      <c r="K104" s="381">
        <f>IFERROR(K8/J8-1,"NA")</f>
        <v>0.11371800393241971</v>
      </c>
      <c r="L104" s="381">
        <f>IFERROR(L8/K8-1,"NA")</f>
        <v>0.11011397797145661</v>
      </c>
      <c r="M104" s="381">
        <f>IFERROR(M8/L8-1,"NA")</f>
        <v>0.14839364532137833</v>
      </c>
      <c r="N104" s="381">
        <f>IFERROR(N8/M8-1,"NA")</f>
        <v>8.8691950711687229E-2</v>
      </c>
      <c r="O104" s="466">
        <f>IFERROR(O8/N8-1,"NA")</f>
        <v>7.953468556996679E-2</v>
      </c>
      <c r="R104" s="471" t="str">
        <f t="shared" si="122"/>
        <v>Revenue</v>
      </c>
      <c r="S104" s="381"/>
      <c r="T104" s="381">
        <f t="shared" ref="T104:AZ104" si="142">IFERROR(T8/S8-1,"NA")</f>
        <v>0.10854560648735667</v>
      </c>
      <c r="U104" s="381">
        <f t="shared" si="142"/>
        <v>-2.2610006700915841E-2</v>
      </c>
      <c r="V104" s="381">
        <f t="shared" si="142"/>
        <v>6.6642480474887522E-2</v>
      </c>
      <c r="W104" s="381"/>
      <c r="X104" s="514">
        <f>IFERROR(X8/V8-1,"NA")</f>
        <v>5.1993754536129533E-2</v>
      </c>
      <c r="Y104" s="381">
        <f t="shared" si="142"/>
        <v>9.1462685047288161E-2</v>
      </c>
      <c r="Z104" s="381">
        <f t="shared" si="142"/>
        <v>-7.3938964201413215E-3</v>
      </c>
      <c r="AA104" s="381">
        <f t="shared" si="142"/>
        <v>-4.4205074701219149E-2</v>
      </c>
      <c r="AB104" s="466"/>
      <c r="AC104" s="514">
        <f>IFERROR(AC8/AA8-1,"NA")</f>
        <v>9.4259373079292885E-3</v>
      </c>
      <c r="AD104" s="381">
        <f t="shared" si="142"/>
        <v>0.13057255031857062</v>
      </c>
      <c r="AE104" s="381">
        <f t="shared" si="142"/>
        <v>1.0116438134835537E-2</v>
      </c>
      <c r="AF104" s="381">
        <f t="shared" si="142"/>
        <v>-5.5078898933867748E-2</v>
      </c>
      <c r="AG104" s="466"/>
      <c r="AH104" s="514">
        <f>IFERROR(AH8/AF8-1,"NA")</f>
        <v>7.5180842540036874E-3</v>
      </c>
      <c r="AI104" s="381">
        <f t="shared" si="142"/>
        <v>-6.3356302475828685E-2</v>
      </c>
      <c r="AJ104" s="381">
        <f t="shared" si="142"/>
        <v>0.15129844970510442</v>
      </c>
      <c r="AK104" s="381">
        <f t="shared" si="142"/>
        <v>-1.0162576292030878E-2</v>
      </c>
      <c r="AL104" s="466"/>
      <c r="AM104" s="514">
        <f>IFERROR(AM8/AK8-1,"NA")</f>
        <v>1.5933445544637603E-2</v>
      </c>
      <c r="AN104" s="381">
        <f t="shared" si="142"/>
        <v>0.18025962972603349</v>
      </c>
      <c r="AO104" s="381">
        <f t="shared" si="142"/>
        <v>7.8558388890542119E-2</v>
      </c>
      <c r="AP104" s="381">
        <f t="shared" si="142"/>
        <v>1.4037285627119811E-3</v>
      </c>
      <c r="AQ104" s="466"/>
      <c r="AR104" s="514">
        <f>IFERROR(AR8/AP8-1,"NA")</f>
        <v>7.1522215073871687E-2</v>
      </c>
      <c r="AS104" s="381">
        <f t="shared" si="142"/>
        <v>0.12754984755359811</v>
      </c>
      <c r="AT104" s="381">
        <f t="shared" si="142"/>
        <v>-2.145116249124801E-2</v>
      </c>
      <c r="AU104" s="381">
        <f t="shared" si="142"/>
        <v>-0.1012046970712529</v>
      </c>
      <c r="AV104" s="466"/>
      <c r="AW104" s="514">
        <f>IFERROR(AW8/AU8-1,"NA")</f>
        <v>7.3338559093285571E-3</v>
      </c>
      <c r="AX104" s="381">
        <f t="shared" si="142"/>
        <v>5.1605138259138483E-2</v>
      </c>
      <c r="AY104" s="381">
        <f t="shared" si="142"/>
        <v>0.11592204105254367</v>
      </c>
      <c r="AZ104" s="381">
        <f t="shared" si="142"/>
        <v>-3.0977469992672257E-2</v>
      </c>
      <c r="BA104" s="466"/>
      <c r="BB104" s="514">
        <f>IFERROR(BB8/AZ8-1,"NA")</f>
        <v>4.8500130469744107E-3</v>
      </c>
      <c r="BC104" s="381">
        <f>IFERROR(BC8/BB8-1,"NA")</f>
        <v>9.0714451326554313E-2</v>
      </c>
      <c r="BD104" s="381">
        <f>IFERROR(BD8/BC8-1,"NA")</f>
        <v>2.2908153597232417E-2</v>
      </c>
      <c r="BE104" s="381">
        <f>IFERROR(BE8/BD8-1,"NA")</f>
        <v>-6.3081583577063061E-2</v>
      </c>
      <c r="BF104" s="466"/>
      <c r="BG104" s="514">
        <f>IFERROR(BG8/BE8-1,"NA")</f>
        <v>5.3754757856725899E-2</v>
      </c>
      <c r="BH104" s="381">
        <f>IFERROR(BH8/BG8-1,"NA")</f>
        <v>0.10634387149314439</v>
      </c>
      <c r="BI104" s="381">
        <f>IFERROR(BI8/BH8-1,"NA")</f>
        <v>7.9632286932151963E-4</v>
      </c>
      <c r="BJ104" s="381">
        <f>IFERROR(BJ8/BI8-1,"NA")</f>
        <v>-3.2381048612330154E-2</v>
      </c>
      <c r="BK104" s="466"/>
      <c r="BL104" s="514">
        <f>IFERROR(BL8/BJ8-1,"NA")</f>
        <v>5.7941646023670801E-2</v>
      </c>
      <c r="BM104" s="381">
        <f>IFERROR(BM8/BL8-1,"NA")</f>
        <v>0.11149604544952085</v>
      </c>
      <c r="BN104" s="381">
        <f>IFERROR(BN8/BM8-1,"NA")</f>
        <v>7.4260994558201787E-3</v>
      </c>
      <c r="BO104" s="381">
        <f>IFERROR(BO8/BN8-1,"NA")</f>
        <v>-8.5355525853654246E-3</v>
      </c>
      <c r="BP104" s="466"/>
      <c r="BQ104" s="514">
        <f>IFERROR(BQ8/BO8-1,"NA")</f>
        <v>-2.2612223479232862E-2</v>
      </c>
      <c r="BR104" s="381">
        <f>IFERROR(BR8/BQ8-1,"NA")</f>
        <v>0.11572891219168424</v>
      </c>
      <c r="BS104" s="381">
        <f>IFERROR(BS8/BR8-1,"NA")</f>
        <v>1.2377672421572505E-2</v>
      </c>
      <c r="BT104" s="381">
        <f>IFERROR(BT8/BS8-1,"NA")</f>
        <v>-1.6777689695019471E-2</v>
      </c>
      <c r="BU104" s="466"/>
      <c r="BV104" s="514">
        <f>IFERROR(BV8/BT8-1,"NA")</f>
        <v>-2.8908455837904579E-2</v>
      </c>
      <c r="BW104" s="381">
        <f>IFERROR(BW8/BV8-1,"NA")</f>
        <v>0.12324771183483718</v>
      </c>
      <c r="BX104" s="381">
        <f>IFERROR(BX8/BW8-1,"NA")</f>
        <v>9.871881259197135E-3</v>
      </c>
      <c r="BY104" s="381">
        <f>IFERROR(BY8/BX8-1,"NA")</f>
        <v>-2.80473219879942E-2</v>
      </c>
      <c r="BZ104" s="466"/>
    </row>
    <row r="105" spans="1:78" s="102" customFormat="1" ht="14.1" customHeight="1" x14ac:dyDescent="0.2">
      <c r="A105"/>
      <c r="B105"/>
      <c r="C105" s="364" t="str">
        <f t="shared" ref="C105:C110" si="143">C11</f>
        <v>Salaries, Wages and employees’ benefits</v>
      </c>
      <c r="D105" s="381"/>
      <c r="E105" s="381">
        <f t="shared" ref="E105:J110" si="144">IFERROR(E11/D11-1,"NA")</f>
        <v>0.13814994979068596</v>
      </c>
      <c r="F105" s="381">
        <f t="shared" si="144"/>
        <v>8.6154583017272302E-2</v>
      </c>
      <c r="G105" s="381">
        <f t="shared" si="144"/>
        <v>1.6192448447164498E-2</v>
      </c>
      <c r="H105" s="381">
        <f t="shared" si="144"/>
        <v>0.10427402778066153</v>
      </c>
      <c r="I105" s="381">
        <f t="shared" si="144"/>
        <v>9.9497698135663892E-2</v>
      </c>
      <c r="J105" s="524">
        <f t="shared" si="144"/>
        <v>0.11264352877501316</v>
      </c>
      <c r="K105" s="381">
        <f t="shared" ref="K105:K110" si="145">IFERROR(K11/J11-1,"NA")</f>
        <v>0.15212742360345932</v>
      </c>
      <c r="L105" s="381">
        <f t="shared" ref="L105:L110" si="146">IFERROR(L11/K11-1,"NA")</f>
        <v>0.10745535391229555</v>
      </c>
      <c r="M105" s="381">
        <f t="shared" ref="M105:M110" si="147">IFERROR(M11/L11-1,"NA")</f>
        <v>0.12114987559129742</v>
      </c>
      <c r="N105" s="381">
        <f t="shared" ref="N105:N110" si="148">IFERROR(N11/M11-1,"NA")</f>
        <v>7.643359139416428E-2</v>
      </c>
      <c r="O105" s="466">
        <f t="shared" ref="O105:O110" si="149">IFERROR(O11/N11-1,"NA")</f>
        <v>6.9461431898344417E-2</v>
      </c>
      <c r="R105" s="471" t="str">
        <f t="shared" si="122"/>
        <v>Salaries, Wages and employees’ benefits</v>
      </c>
      <c r="S105" s="381"/>
      <c r="T105" s="381">
        <f t="shared" ref="T105:AZ105" si="150">IFERROR(T11/S11-1,"NA")</f>
        <v>8.5598359341746866E-2</v>
      </c>
      <c r="U105" s="381">
        <f t="shared" si="150"/>
        <v>-7.4749984724118423E-3</v>
      </c>
      <c r="V105" s="381">
        <f t="shared" si="150"/>
        <v>-1.7494356659144561E-3</v>
      </c>
      <c r="W105" s="381"/>
      <c r="X105" s="514">
        <f t="shared" ref="X105:X110" si="151">IFERROR(X11/V11-1,"NA")</f>
        <v>8.502973085482024E-2</v>
      </c>
      <c r="Y105" s="381">
        <f t="shared" si="150"/>
        <v>4.3964684261381892E-2</v>
      </c>
      <c r="Z105" s="381">
        <f t="shared" si="150"/>
        <v>1.9187317949602045E-2</v>
      </c>
      <c r="AA105" s="381">
        <f t="shared" si="150"/>
        <v>-3.5960558238920859E-2</v>
      </c>
      <c r="AB105" s="466"/>
      <c r="AC105" s="514">
        <f t="shared" ref="AC105:AC110" si="152">IFERROR(AC11/AA11-1,"NA")</f>
        <v>1.7524254584243337E-2</v>
      </c>
      <c r="AD105" s="381">
        <f t="shared" si="150"/>
        <v>7.8678659599186629E-2</v>
      </c>
      <c r="AE105" s="381">
        <f t="shared" si="150"/>
        <v>5.2476134781163752E-2</v>
      </c>
      <c r="AF105" s="381">
        <f t="shared" si="150"/>
        <v>-4.1788920779335159E-2</v>
      </c>
      <c r="AG105" s="466"/>
      <c r="AH105" s="514">
        <f t="shared" ref="AH105:AH110" si="153">IFERROR(AH11/AF11-1,"NA")</f>
        <v>-4.4345620504946393E-3</v>
      </c>
      <c r="AI105" s="381">
        <f t="shared" si="150"/>
        <v>-6.0206582999853486E-2</v>
      </c>
      <c r="AJ105" s="381">
        <f t="shared" si="150"/>
        <v>0.12402074220718151</v>
      </c>
      <c r="AK105" s="381">
        <f t="shared" si="150"/>
        <v>-1.5256334988813736E-2</v>
      </c>
      <c r="AL105" s="466"/>
      <c r="AM105" s="514">
        <f t="shared" ref="AM105:AM110" si="154">IFERROR(AM11/AK11-1,"NA")</f>
        <v>-1.5343651055807372E-2</v>
      </c>
      <c r="AN105" s="381">
        <f t="shared" si="150"/>
        <v>9.9612579110363697E-2</v>
      </c>
      <c r="AO105" s="381">
        <f t="shared" si="150"/>
        <v>3.0872143638433602E-2</v>
      </c>
      <c r="AP105" s="381">
        <f t="shared" si="150"/>
        <v>-1.3310043163806129E-2</v>
      </c>
      <c r="AQ105" s="466"/>
      <c r="AR105" s="514">
        <f t="shared" ref="AR105:AR110" si="155">IFERROR(AR11/AP11-1,"NA")</f>
        <v>5.8768233624486355E-2</v>
      </c>
      <c r="AS105" s="381">
        <f t="shared" si="150"/>
        <v>1.9308167192352732E-2</v>
      </c>
      <c r="AT105" s="381">
        <f t="shared" si="150"/>
        <v>7.4393666201211239E-3</v>
      </c>
      <c r="AU105" s="381">
        <f t="shared" si="150"/>
        <v>-3.1859026331637286E-2</v>
      </c>
      <c r="AV105" s="466"/>
      <c r="AW105" s="514">
        <f t="shared" ref="AW105:AW110" si="156">IFERROR(AW11/AU11-1,"NA")</f>
        <v>3.8846050935273491E-2</v>
      </c>
      <c r="AX105" s="381">
        <f t="shared" si="150"/>
        <v>4.3257201728682304E-2</v>
      </c>
      <c r="AY105" s="381">
        <f t="shared" si="150"/>
        <v>0.10489983583850626</v>
      </c>
      <c r="AZ105" s="381">
        <f t="shared" si="150"/>
        <v>3.5576964930859045E-3</v>
      </c>
      <c r="BA105" s="466"/>
      <c r="BB105" s="514">
        <f t="shared" ref="BB105:BB110" si="157">IFERROR(BB11/AZ11-1,"NA")</f>
        <v>-1.1907550219615648E-2</v>
      </c>
      <c r="BC105" s="381">
        <f t="shared" ref="BC105:BC110" si="158">IFERROR(BC11/BB11-1,"NA")</f>
        <v>8.9335202348169274E-2</v>
      </c>
      <c r="BD105" s="381">
        <f t="shared" ref="BD105:BD110" si="159">IFERROR(BD11/BC11-1,"NA")</f>
        <v>6.9562647754137119E-2</v>
      </c>
      <c r="BE105" s="381">
        <f t="shared" ref="BE105:BE110" si="160">IFERROR(BE11/BD11-1,"NA")</f>
        <v>-2.7580227293550252E-2</v>
      </c>
      <c r="BF105" s="466"/>
      <c r="BG105" s="514">
        <f t="shared" ref="BG105:BG110" si="161">IFERROR(BG11/BE11-1,"NA")</f>
        <v>-1.2172022388233228E-2</v>
      </c>
      <c r="BH105" s="381">
        <f t="shared" ref="BH105:BH110" si="162">IFERROR(BH11/BG11-1,"NA")</f>
        <v>8.1090370078626739E-2</v>
      </c>
      <c r="BI105" s="381">
        <f t="shared" ref="BI105:BI110" si="163">IFERROR(BI11/BH11-1,"NA")</f>
        <v>5.066915408683581E-2</v>
      </c>
      <c r="BJ105" s="381">
        <f t="shared" ref="BJ105:BJ110" si="164">IFERROR(BJ11/BI11-1,"NA")</f>
        <v>-1.0030875757645608E-2</v>
      </c>
      <c r="BK105" s="466"/>
      <c r="BL105" s="514">
        <f t="shared" ref="BL105:BL110" si="165">IFERROR(BL11/BJ11-1,"NA")</f>
        <v>9.7338659645975767E-3</v>
      </c>
      <c r="BM105" s="381">
        <f t="shared" ref="BM105:BM110" si="166">IFERROR(BM11/BL11-1,"NA")</f>
        <v>8.0138735139529738E-2</v>
      </c>
      <c r="BN105" s="381">
        <f t="shared" ref="BN105:BN110" si="167">IFERROR(BN11/BM11-1,"NA")</f>
        <v>2.7673609270698174E-2</v>
      </c>
      <c r="BO105" s="381">
        <f t="shared" ref="BO105:BO110" si="168">IFERROR(BO11/BN11-1,"NA")</f>
        <v>-1.2008282698901862E-2</v>
      </c>
      <c r="BP105" s="466"/>
      <c r="BQ105" s="514">
        <f t="shared" ref="BQ105:BQ110" si="169">IFERROR(BQ11/BO11-1,"NA")</f>
        <v>-3.4636326178081878E-2</v>
      </c>
      <c r="BR105" s="381">
        <f t="shared" ref="BR105:BR110" si="170">IFERROR(BR11/BQ11-1,"NA")</f>
        <v>9.5131603536899645E-2</v>
      </c>
      <c r="BS105" s="381">
        <f t="shared" ref="BS105:BS110" si="171">IFERROR(BS11/BR11-1,"NA")</f>
        <v>5.2294671062259823E-2</v>
      </c>
      <c r="BT105" s="381">
        <f t="shared" ref="BT105:BT110" si="172">IFERROR(BT11/BS11-1,"NA")</f>
        <v>-3.5854817581904896E-2</v>
      </c>
      <c r="BU105" s="466"/>
      <c r="BV105" s="514">
        <f t="shared" ref="BV105:BV110" si="173">IFERROR(BV11/BT11-1,"NA")</f>
        <v>-2.5885938804051545E-2</v>
      </c>
      <c r="BW105" s="381">
        <f t="shared" ref="BW105:BW110" si="174">IFERROR(BW11/BV11-1,"NA")</f>
        <v>8.9390954563219216E-2</v>
      </c>
      <c r="BX105" s="381">
        <f t="shared" ref="BX105:BX110" si="175">IFERROR(BX11/BW11-1,"NA")</f>
        <v>5.3488377044843549E-2</v>
      </c>
      <c r="BY105" s="381">
        <f t="shared" ref="BY105:BY110" si="176">IFERROR(BY11/BX11-1,"NA")</f>
        <v>-6.7862250966799098E-2</v>
      </c>
      <c r="BZ105" s="466"/>
    </row>
    <row r="106" spans="1:78" s="102" customFormat="1" ht="14.1" customHeight="1" x14ac:dyDescent="0.2">
      <c r="A106"/>
      <c r="B106"/>
      <c r="C106" s="364" t="str">
        <f t="shared" si="143"/>
        <v>Purchased transportation</v>
      </c>
      <c r="D106" s="381"/>
      <c r="E106" s="381">
        <f t="shared" si="144"/>
        <v>0.1504336038327978</v>
      </c>
      <c r="F106" s="381">
        <f t="shared" si="144"/>
        <v>4.9037964876033069E-2</v>
      </c>
      <c r="G106" s="381">
        <f t="shared" si="144"/>
        <v>8.7621172488075105E-2</v>
      </c>
      <c r="H106" s="381">
        <f t="shared" si="144"/>
        <v>0.76637027919840994</v>
      </c>
      <c r="I106" s="381">
        <f t="shared" si="144"/>
        <v>0.26505145969324428</v>
      </c>
      <c r="J106" s="524">
        <f t="shared" si="144"/>
        <v>-0.24440955251095309</v>
      </c>
      <c r="K106" s="381">
        <f t="shared" si="145"/>
        <v>-1.1493287202539171E-2</v>
      </c>
      <c r="L106" s="381">
        <f t="shared" si="146"/>
        <v>-9.3596603166449799E-2</v>
      </c>
      <c r="M106" s="381">
        <f t="shared" si="147"/>
        <v>4.8206319499004557E-2</v>
      </c>
      <c r="N106" s="381">
        <f t="shared" si="148"/>
        <v>-3.0624359734412354E-2</v>
      </c>
      <c r="O106" s="466">
        <f t="shared" si="149"/>
        <v>8.1567749517997612E-2</v>
      </c>
      <c r="R106" s="471" t="str">
        <f t="shared" si="122"/>
        <v>Purchased transportation</v>
      </c>
      <c r="S106" s="381"/>
      <c r="T106" s="381">
        <f t="shared" ref="T106:AZ106" si="177">IFERROR(T12/S12-1,"NA")</f>
        <v>7.4111431316042253E-2</v>
      </c>
      <c r="U106" s="381">
        <f t="shared" si="177"/>
        <v>3.1793587622412023E-2</v>
      </c>
      <c r="V106" s="381">
        <f t="shared" si="177"/>
        <v>0.79617751581866991</v>
      </c>
      <c r="W106" s="381"/>
      <c r="X106" s="514">
        <f t="shared" si="151"/>
        <v>-0.27817589576547219</v>
      </c>
      <c r="Y106" s="381">
        <f t="shared" si="177"/>
        <v>0.14029281989570785</v>
      </c>
      <c r="Z106" s="381">
        <f t="shared" si="177"/>
        <v>-8.4923636150441184E-2</v>
      </c>
      <c r="AA106" s="381">
        <f t="shared" si="177"/>
        <v>-8.1913121476166362E-2</v>
      </c>
      <c r="AB106" s="466"/>
      <c r="AC106" s="514">
        <f t="shared" si="152"/>
        <v>-8.4092257231582757E-3</v>
      </c>
      <c r="AD106" s="381">
        <f t="shared" si="177"/>
        <v>0.20184390175241052</v>
      </c>
      <c r="AE106" s="381">
        <f t="shared" si="177"/>
        <v>4.94524799437841E-2</v>
      </c>
      <c r="AF106" s="381">
        <f t="shared" si="177"/>
        <v>-0.11935384872918053</v>
      </c>
      <c r="AG106" s="466"/>
      <c r="AH106" s="514">
        <f t="shared" si="153"/>
        <v>-4.7711072390305143E-2</v>
      </c>
      <c r="AI106" s="381">
        <f t="shared" si="177"/>
        <v>-0.12152766226421374</v>
      </c>
      <c r="AJ106" s="381">
        <f t="shared" si="177"/>
        <v>0.5168143603726425</v>
      </c>
      <c r="AK106" s="381">
        <f t="shared" si="177"/>
        <v>0.11979127655856003</v>
      </c>
      <c r="AL106" s="466"/>
      <c r="AM106" s="514">
        <f t="shared" si="154"/>
        <v>4.0132884439589844E-3</v>
      </c>
      <c r="AN106" s="381">
        <f t="shared" si="177"/>
        <v>0.387510825875508</v>
      </c>
      <c r="AO106" s="381">
        <f t="shared" si="177"/>
        <v>0.15543925353307397</v>
      </c>
      <c r="AP106" s="381">
        <f t="shared" si="177"/>
        <v>-3.0307647555856909E-2</v>
      </c>
      <c r="AQ106" s="466"/>
      <c r="AR106" s="514">
        <f t="shared" si="155"/>
        <v>0.11774873223341165</v>
      </c>
      <c r="AS106" s="381">
        <f t="shared" si="177"/>
        <v>0.17343574276658824</v>
      </c>
      <c r="AT106" s="381">
        <f t="shared" si="177"/>
        <v>-6.9342946448992082E-2</v>
      </c>
      <c r="AU106" s="381">
        <f t="shared" si="177"/>
        <v>-0.29343959181762846</v>
      </c>
      <c r="AV106" s="466"/>
      <c r="AW106" s="514">
        <f t="shared" si="156"/>
        <v>-0.22607946734683759</v>
      </c>
      <c r="AX106" s="381">
        <f t="shared" si="177"/>
        <v>6.5144349091531772E-2</v>
      </c>
      <c r="AY106" s="381">
        <f t="shared" si="177"/>
        <v>0.54198227883707362</v>
      </c>
      <c r="AZ106" s="381">
        <f t="shared" si="177"/>
        <v>-0.14726500403929821</v>
      </c>
      <c r="BA106" s="466"/>
      <c r="BB106" s="514">
        <f t="shared" si="157"/>
        <v>-0.19768045962960723</v>
      </c>
      <c r="BC106" s="381">
        <f t="shared" si="158"/>
        <v>0.16264498066924404</v>
      </c>
      <c r="BD106" s="381">
        <f t="shared" si="159"/>
        <v>7.4319786394089871E-2</v>
      </c>
      <c r="BE106" s="381">
        <f t="shared" si="160"/>
        <v>-0.13383309550804612</v>
      </c>
      <c r="BF106" s="466"/>
      <c r="BG106" s="514">
        <f t="shared" si="161"/>
        <v>-0.3048145694695209</v>
      </c>
      <c r="BH106" s="381">
        <f t="shared" si="162"/>
        <v>0.1901930912273615</v>
      </c>
      <c r="BI106" s="381">
        <f t="shared" si="163"/>
        <v>0.34157628408118423</v>
      </c>
      <c r="BJ106" s="381">
        <f t="shared" si="164"/>
        <v>1.9884500586711651E-2</v>
      </c>
      <c r="BK106" s="466"/>
      <c r="BL106" s="514">
        <f t="shared" si="165"/>
        <v>-0.35234043276667226</v>
      </c>
      <c r="BM106" s="381">
        <f t="shared" si="166"/>
        <v>0.31015710334660729</v>
      </c>
      <c r="BN106" s="381">
        <f t="shared" si="167"/>
        <v>0.12537809958404478</v>
      </c>
      <c r="BO106" s="381">
        <f t="shared" si="168"/>
        <v>8.3455994081971685E-2</v>
      </c>
      <c r="BP106" s="466"/>
      <c r="BQ106" s="514">
        <f t="shared" si="169"/>
        <v>-0.33765073635149256</v>
      </c>
      <c r="BR106" s="381">
        <f t="shared" si="170"/>
        <v>0.21668814090508492</v>
      </c>
      <c r="BS106" s="381">
        <f t="shared" si="171"/>
        <v>4.8995588232565224E-2</v>
      </c>
      <c r="BT106" s="381">
        <f t="shared" si="172"/>
        <v>0.12656683603732866</v>
      </c>
      <c r="BU106" s="466"/>
      <c r="BV106" s="514">
        <f t="shared" si="173"/>
        <v>-0.25340811389688334</v>
      </c>
      <c r="BW106" s="381">
        <f t="shared" si="174"/>
        <v>0.23059772625261843</v>
      </c>
      <c r="BX106" s="381">
        <f t="shared" si="175"/>
        <v>5.2845152802141415E-2</v>
      </c>
      <c r="BY106" s="381">
        <f t="shared" si="176"/>
        <v>0.1127866374790516</v>
      </c>
      <c r="BZ106" s="466"/>
    </row>
    <row r="107" spans="1:78" s="102" customFormat="1" ht="14.1" customHeight="1" x14ac:dyDescent="0.2">
      <c r="A107"/>
      <c r="B107"/>
      <c r="C107" s="364" t="str">
        <f t="shared" si="143"/>
        <v>Fuel, operating expenses and supplies</v>
      </c>
      <c r="D107" s="381"/>
      <c r="E107" s="381">
        <f t="shared" si="144"/>
        <v>0.21227945839083895</v>
      </c>
      <c r="F107" s="381">
        <f t="shared" si="144"/>
        <v>4.6326153846153684E-2</v>
      </c>
      <c r="G107" s="381">
        <f t="shared" si="144"/>
        <v>-0.12004493377561343</v>
      </c>
      <c r="H107" s="381">
        <f t="shared" si="144"/>
        <v>0.27627208138112658</v>
      </c>
      <c r="I107" s="381">
        <f t="shared" si="144"/>
        <v>0.46229418911558939</v>
      </c>
      <c r="J107" s="524">
        <f t="shared" si="144"/>
        <v>9.3686879539300882E-3</v>
      </c>
      <c r="K107" s="381">
        <f t="shared" si="145"/>
        <v>9.6265532813366139E-2</v>
      </c>
      <c r="L107" s="381">
        <f t="shared" si="146"/>
        <v>1.7550143785153516E-2</v>
      </c>
      <c r="M107" s="381">
        <f t="shared" si="147"/>
        <v>0.1472096127659499</v>
      </c>
      <c r="N107" s="381">
        <f t="shared" si="148"/>
        <v>8.5498923260954429E-2</v>
      </c>
      <c r="O107" s="466">
        <f t="shared" si="149"/>
        <v>3.4919785707537621E-2</v>
      </c>
      <c r="R107" s="471" t="str">
        <f t="shared" si="122"/>
        <v>Fuel, operating expenses and supplies</v>
      </c>
      <c r="S107" s="381"/>
      <c r="T107" s="381">
        <f t="shared" ref="T107:AZ107" si="178">IFERROR(T13/S13-1,"NA")</f>
        <v>3.284888263791208E-2</v>
      </c>
      <c r="U107" s="381">
        <f t="shared" si="178"/>
        <v>8.8815590389155208E-3</v>
      </c>
      <c r="V107" s="381">
        <f t="shared" si="178"/>
        <v>6.9737098636751815E-2</v>
      </c>
      <c r="W107" s="381"/>
      <c r="X107" s="514">
        <f t="shared" si="151"/>
        <v>0.1046558903110939</v>
      </c>
      <c r="Y107" s="381">
        <f t="shared" si="178"/>
        <v>7.5526055283397397E-2</v>
      </c>
      <c r="Z107" s="381">
        <f t="shared" si="178"/>
        <v>-3.6603929435364946E-2</v>
      </c>
      <c r="AA107" s="381">
        <f t="shared" si="178"/>
        <v>-2.2353416704432583E-2</v>
      </c>
      <c r="AB107" s="466"/>
      <c r="AC107" s="514">
        <f t="shared" si="152"/>
        <v>4.6668671227041436E-2</v>
      </c>
      <c r="AD107" s="381">
        <f t="shared" si="178"/>
        <v>2.1366242533785051E-2</v>
      </c>
      <c r="AE107" s="381">
        <f t="shared" si="178"/>
        <v>-1.2528126757922364E-2</v>
      </c>
      <c r="AF107" s="381">
        <f t="shared" si="178"/>
        <v>3.165240508432321E-2</v>
      </c>
      <c r="AG107" s="466"/>
      <c r="AH107" s="514">
        <f t="shared" si="153"/>
        <v>-4.6326760693003122E-2</v>
      </c>
      <c r="AI107" s="381">
        <f t="shared" si="178"/>
        <v>-0.20503263006791395</v>
      </c>
      <c r="AJ107" s="381">
        <f t="shared" si="178"/>
        <v>0.12448787593699717</v>
      </c>
      <c r="AK107" s="381">
        <f t="shared" si="178"/>
        <v>2.9970582678865432E-2</v>
      </c>
      <c r="AL107" s="466"/>
      <c r="AM107" s="514">
        <f t="shared" si="154"/>
        <v>0.11233246426559407</v>
      </c>
      <c r="AN107" s="381">
        <f t="shared" si="178"/>
        <v>6.7879059139468456E-2</v>
      </c>
      <c r="AO107" s="381">
        <f t="shared" si="178"/>
        <v>9.0112944498367709E-2</v>
      </c>
      <c r="AP107" s="381">
        <f t="shared" si="178"/>
        <v>8.7732966388085032E-2</v>
      </c>
      <c r="AQ107" s="466"/>
      <c r="AR107" s="514">
        <f t="shared" si="155"/>
        <v>0.14200269754895123</v>
      </c>
      <c r="AS107" s="381">
        <f t="shared" si="178"/>
        <v>0.18537765433204911</v>
      </c>
      <c r="AT107" s="381">
        <f t="shared" si="178"/>
        <v>-4.7412904555754753E-4</v>
      </c>
      <c r="AU107" s="381">
        <f t="shared" si="178"/>
        <v>-5.2728910154611341E-3</v>
      </c>
      <c r="AV107" s="466"/>
      <c r="AW107" s="514">
        <f t="shared" si="156"/>
        <v>-2.1210278242359881E-2</v>
      </c>
      <c r="AX107" s="381">
        <f t="shared" si="178"/>
        <v>-5.7440423654015804E-2</v>
      </c>
      <c r="AY107" s="381">
        <f t="shared" si="178"/>
        <v>8.0845007116638001E-2</v>
      </c>
      <c r="AZ107" s="381">
        <f t="shared" si="178"/>
        <v>6.2377843389471721E-5</v>
      </c>
      <c r="BA107" s="466"/>
      <c r="BB107" s="514">
        <f t="shared" si="157"/>
        <v>8.3400905115357471E-2</v>
      </c>
      <c r="BC107" s="381">
        <f t="shared" si="158"/>
        <v>2.9118822964977031E-2</v>
      </c>
      <c r="BD107" s="381">
        <f t="shared" si="159"/>
        <v>-1.3326951646288832E-2</v>
      </c>
      <c r="BE107" s="381">
        <f t="shared" si="160"/>
        <v>-0.1053106432783304</v>
      </c>
      <c r="BF107" s="466"/>
      <c r="BG107" s="514">
        <f t="shared" si="161"/>
        <v>8.3025723352746272E-2</v>
      </c>
      <c r="BH107" s="381">
        <f t="shared" si="162"/>
        <v>2.8600788631463647E-2</v>
      </c>
      <c r="BI107" s="381">
        <f t="shared" si="163"/>
        <v>1.5924639377811189E-2</v>
      </c>
      <c r="BJ107" s="381">
        <f t="shared" si="164"/>
        <v>-2.9055897576633627E-2</v>
      </c>
      <c r="BK107" s="466"/>
      <c r="BL107" s="514">
        <f t="shared" si="165"/>
        <v>0.14610344985897683</v>
      </c>
      <c r="BM107" s="381">
        <f t="shared" si="166"/>
        <v>3.8294251096944398E-2</v>
      </c>
      <c r="BN107" s="381">
        <f t="shared" si="167"/>
        <v>-4.3144076997405412E-2</v>
      </c>
      <c r="BO107" s="381">
        <f t="shared" si="168"/>
        <v>7.9496044975384539E-3</v>
      </c>
      <c r="BP107" s="466"/>
      <c r="BQ107" s="514">
        <f t="shared" si="169"/>
        <v>7.9008701883323651E-2</v>
      </c>
      <c r="BR107" s="381">
        <f t="shared" si="170"/>
        <v>4.1346984712238743E-2</v>
      </c>
      <c r="BS107" s="381">
        <f t="shared" si="171"/>
        <v>-4.5587262337259404E-2</v>
      </c>
      <c r="BT107" s="381">
        <f t="shared" si="172"/>
        <v>2.283499508575848E-2</v>
      </c>
      <c r="BU107" s="466"/>
      <c r="BV107" s="514">
        <f t="shared" si="173"/>
        <v>1.9926783666200931E-2</v>
      </c>
      <c r="BW107" s="381">
        <f t="shared" si="174"/>
        <v>3.9174135164755874E-2</v>
      </c>
      <c r="BX107" s="381">
        <f t="shared" si="175"/>
        <v>-5.080453754340819E-2</v>
      </c>
      <c r="BY107" s="381">
        <f t="shared" si="176"/>
        <v>3.2853510368454408E-2</v>
      </c>
      <c r="BZ107" s="466"/>
    </row>
    <row r="108" spans="1:78" s="102" customFormat="1" ht="14.1" customHeight="1" x14ac:dyDescent="0.2">
      <c r="A108"/>
      <c r="B108"/>
      <c r="C108" s="364" t="str">
        <f t="shared" si="143"/>
        <v>Operating taxes and licenses</v>
      </c>
      <c r="D108" s="381"/>
      <c r="E108" s="381">
        <f t="shared" si="144"/>
        <v>0.15598892222478655</v>
      </c>
      <c r="F108" s="381">
        <f t="shared" si="144"/>
        <v>8.6006907704286428E-2</v>
      </c>
      <c r="G108" s="381">
        <f t="shared" si="144"/>
        <v>3.4873246686398129E-2</v>
      </c>
      <c r="H108" s="381">
        <f t="shared" si="144"/>
        <v>4.9756634810104172E-2</v>
      </c>
      <c r="I108" s="381">
        <f t="shared" si="144"/>
        <v>8.0023690667569092E-2</v>
      </c>
      <c r="J108" s="524">
        <f t="shared" si="144"/>
        <v>8.9590122837803987E-2</v>
      </c>
      <c r="K108" s="381">
        <f t="shared" si="145"/>
        <v>0.12759859656499106</v>
      </c>
      <c r="L108" s="381">
        <f t="shared" si="146"/>
        <v>7.5916179235838044E-2</v>
      </c>
      <c r="M108" s="381">
        <f t="shared" si="147"/>
        <v>7.7569257279150428E-2</v>
      </c>
      <c r="N108" s="381">
        <f t="shared" si="148"/>
        <v>-1.9760345374750798E-3</v>
      </c>
      <c r="O108" s="466">
        <f t="shared" si="149"/>
        <v>2.9295470394477663E-2</v>
      </c>
      <c r="R108" s="471" t="str">
        <f t="shared" si="122"/>
        <v>Operating taxes and licenses</v>
      </c>
      <c r="S108" s="381"/>
      <c r="T108" s="381">
        <f t="shared" ref="T108:AZ108" si="179">IFERROR(T14/S14-1,"NA")</f>
        <v>2.7688527688527698E-2</v>
      </c>
      <c r="U108" s="381">
        <f t="shared" si="179"/>
        <v>-2.2436781609195378E-2</v>
      </c>
      <c r="V108" s="381">
        <f t="shared" si="179"/>
        <v>5.7473426770764391E-2</v>
      </c>
      <c r="W108" s="381"/>
      <c r="X108" s="514">
        <f t="shared" si="151"/>
        <v>8.0768546521971407E-2</v>
      </c>
      <c r="Y108" s="381">
        <f t="shared" si="179"/>
        <v>5.3004115226337412E-2</v>
      </c>
      <c r="Z108" s="381">
        <f t="shared" si="179"/>
        <v>-3.3453181178677571E-2</v>
      </c>
      <c r="AA108" s="381">
        <f t="shared" si="179"/>
        <v>3.3398026847808238E-2</v>
      </c>
      <c r="AB108" s="466"/>
      <c r="AC108" s="514">
        <f t="shared" si="152"/>
        <v>3.3101181626105536E-2</v>
      </c>
      <c r="AD108" s="381">
        <f t="shared" si="179"/>
        <v>2.4768974397818555E-2</v>
      </c>
      <c r="AE108" s="381">
        <f t="shared" si="179"/>
        <v>7.7611057727844379E-3</v>
      </c>
      <c r="AF108" s="381">
        <f t="shared" si="179"/>
        <v>2.9191726565937826E-2</v>
      </c>
      <c r="AG108" s="466"/>
      <c r="AH108" s="514">
        <f t="shared" si="153"/>
        <v>2.5940706955530635E-2</v>
      </c>
      <c r="AI108" s="381">
        <f t="shared" si="179"/>
        <v>-4.5359822172825859E-2</v>
      </c>
      <c r="AJ108" s="381">
        <f t="shared" si="179"/>
        <v>2.3139052608600608E-2</v>
      </c>
      <c r="AK108" s="381">
        <f t="shared" si="179"/>
        <v>2.3469170044800869E-3</v>
      </c>
      <c r="AL108" s="466"/>
      <c r="AM108" s="514">
        <f t="shared" si="154"/>
        <v>1.7312331488577026E-2</v>
      </c>
      <c r="AN108" s="381">
        <f t="shared" si="179"/>
        <v>1.541358627423639E-2</v>
      </c>
      <c r="AO108" s="381">
        <f t="shared" si="179"/>
        <v>8.9291846967509692E-4</v>
      </c>
      <c r="AP108" s="381">
        <f t="shared" si="179"/>
        <v>7.2330496843261427E-2</v>
      </c>
      <c r="AQ108" s="466"/>
      <c r="AR108" s="514">
        <f t="shared" si="155"/>
        <v>6.0604121336234273E-2</v>
      </c>
      <c r="AS108" s="381">
        <f t="shared" si="179"/>
        <v>-3.5841428830024835E-2</v>
      </c>
      <c r="AT108" s="381">
        <f t="shared" si="179"/>
        <v>1.7648163214218693E-2</v>
      </c>
      <c r="AU108" s="381">
        <f t="shared" si="179"/>
        <v>-7.6871041141381435E-2</v>
      </c>
      <c r="AV108" s="466"/>
      <c r="AW108" s="514">
        <f t="shared" si="156"/>
        <v>0.13683298914129671</v>
      </c>
      <c r="AX108" s="381">
        <f t="shared" si="179"/>
        <v>2.2970993261060668E-2</v>
      </c>
      <c r="AY108" s="381">
        <f t="shared" si="179"/>
        <v>-2.5147505298733996E-2</v>
      </c>
      <c r="AZ108" s="381">
        <f t="shared" si="179"/>
        <v>5.7821130567633938E-2</v>
      </c>
      <c r="BA108" s="466"/>
      <c r="BB108" s="514">
        <f t="shared" si="157"/>
        <v>9.7989112320853389E-2</v>
      </c>
      <c r="BC108" s="381">
        <f t="shared" si="158"/>
        <v>-3.6932105635938406E-3</v>
      </c>
      <c r="BD108" s="381">
        <f t="shared" si="159"/>
        <v>1.2644086731325777E-2</v>
      </c>
      <c r="BE108" s="381">
        <f t="shared" si="160"/>
        <v>-4.6511804115805577E-2</v>
      </c>
      <c r="BF108" s="466"/>
      <c r="BG108" s="514">
        <f t="shared" si="161"/>
        <v>0.12371357995509791</v>
      </c>
      <c r="BH108" s="381">
        <f t="shared" si="162"/>
        <v>3.0277122875586038E-3</v>
      </c>
      <c r="BI108" s="381">
        <f t="shared" si="163"/>
        <v>-1.2089466695519691E-2</v>
      </c>
      <c r="BJ108" s="381">
        <f t="shared" si="164"/>
        <v>-3.6588087531406965E-2</v>
      </c>
      <c r="BK108" s="466"/>
      <c r="BL108" s="514">
        <f t="shared" si="165"/>
        <v>0.12261930123909215</v>
      </c>
      <c r="BM108" s="381">
        <f t="shared" si="166"/>
        <v>1.7186582446298004E-3</v>
      </c>
      <c r="BN108" s="381">
        <f t="shared" si="167"/>
        <v>-6.3742580709722496E-3</v>
      </c>
      <c r="BO108" s="381">
        <f t="shared" si="168"/>
        <v>-2.2305892132790772E-2</v>
      </c>
      <c r="BP108" s="466"/>
      <c r="BQ108" s="514">
        <f t="shared" si="169"/>
        <v>2.7863201599304777E-2</v>
      </c>
      <c r="BR108" s="381">
        <f t="shared" si="170"/>
        <v>1.1674613862877603E-3</v>
      </c>
      <c r="BS108" s="381">
        <f t="shared" si="171"/>
        <v>-7.7691469301005567E-3</v>
      </c>
      <c r="BT108" s="381">
        <f t="shared" si="172"/>
        <v>-2.6759642083902691E-2</v>
      </c>
      <c r="BU108" s="466"/>
      <c r="BV108" s="514">
        <f t="shared" si="173"/>
        <v>6.5710720259940958E-2</v>
      </c>
      <c r="BW108" s="381">
        <f t="shared" si="174"/>
        <v>-2.7239941653317556E-3</v>
      </c>
      <c r="BX108" s="381">
        <f t="shared" si="175"/>
        <v>4.5567660946748134E-3</v>
      </c>
      <c r="BY108" s="381">
        <f t="shared" si="176"/>
        <v>-4.3475142273899148E-2</v>
      </c>
      <c r="BZ108" s="466"/>
    </row>
    <row r="109" spans="1:78" s="102" customFormat="1" ht="14.1" customHeight="1" x14ac:dyDescent="0.2">
      <c r="A109"/>
      <c r="B109"/>
      <c r="C109" s="364" t="str">
        <f t="shared" si="143"/>
        <v>Claims and insurance</v>
      </c>
      <c r="D109" s="381"/>
      <c r="E109" s="381">
        <f t="shared" si="144"/>
        <v>3.3986330122167674E-2</v>
      </c>
      <c r="F109" s="381">
        <f t="shared" si="144"/>
        <v>0.12096291476903076</v>
      </c>
      <c r="G109" s="381">
        <f t="shared" si="144"/>
        <v>0.15527128363475962</v>
      </c>
      <c r="H109" s="381">
        <f t="shared" si="144"/>
        <v>0.23279274934185401</v>
      </c>
      <c r="I109" s="381">
        <f t="shared" si="144"/>
        <v>-7.733311598337278E-2</v>
      </c>
      <c r="J109" s="524">
        <f t="shared" si="144"/>
        <v>0.20110952103319724</v>
      </c>
      <c r="K109" s="381">
        <f t="shared" si="145"/>
        <v>0.11442301594728344</v>
      </c>
      <c r="L109" s="381">
        <f t="shared" si="146"/>
        <v>4.8187388715511759E-2</v>
      </c>
      <c r="M109" s="381">
        <f t="shared" si="147"/>
        <v>9.6297594008293075E-2</v>
      </c>
      <c r="N109" s="381">
        <f t="shared" si="148"/>
        <v>4.2815010101711071E-2</v>
      </c>
      <c r="O109" s="466">
        <f t="shared" si="149"/>
        <v>6.2280061322306457E-2</v>
      </c>
      <c r="R109" s="471" t="str">
        <f t="shared" si="122"/>
        <v>Claims and insurance</v>
      </c>
      <c r="S109" s="381"/>
      <c r="T109" s="381">
        <f t="shared" ref="T109:AZ109" si="180">IFERROR(T15/S15-1,"NA")</f>
        <v>0.1521715106641619</v>
      </c>
      <c r="U109" s="381">
        <f t="shared" si="180"/>
        <v>-0.18137348935353925</v>
      </c>
      <c r="V109" s="381">
        <f t="shared" si="180"/>
        <v>7.2290568248388754E-2</v>
      </c>
      <c r="W109" s="381"/>
      <c r="X109" s="514">
        <f t="shared" si="151"/>
        <v>0.11352709790209836</v>
      </c>
      <c r="Y109" s="381">
        <f t="shared" si="180"/>
        <v>-2.7573349033460981E-2</v>
      </c>
      <c r="Z109" s="381">
        <f t="shared" si="180"/>
        <v>7.5681130171543209E-3</v>
      </c>
      <c r="AA109" s="381">
        <f t="shared" si="180"/>
        <v>-0.16484727090635964</v>
      </c>
      <c r="AB109" s="466"/>
      <c r="AC109" s="514">
        <f t="shared" si="152"/>
        <v>0.14282288044130009</v>
      </c>
      <c r="AD109" s="381">
        <f t="shared" si="180"/>
        <v>0.380482686253935</v>
      </c>
      <c r="AE109" s="381">
        <f t="shared" si="180"/>
        <v>-0.40331407722712076</v>
      </c>
      <c r="AF109" s="381">
        <f t="shared" si="180"/>
        <v>0.59707006369426741</v>
      </c>
      <c r="AG109" s="466"/>
      <c r="AH109" s="514">
        <f t="shared" si="153"/>
        <v>-0.16878040998644017</v>
      </c>
      <c r="AI109" s="381">
        <f t="shared" si="180"/>
        <v>0.75539775453411395</v>
      </c>
      <c r="AJ109" s="381">
        <f t="shared" si="180"/>
        <v>-0.34740064505548562</v>
      </c>
      <c r="AK109" s="381">
        <f t="shared" si="180"/>
        <v>-0.23697436756575629</v>
      </c>
      <c r="AL109" s="466"/>
      <c r="AM109" s="514">
        <f t="shared" si="154"/>
        <v>0.26029201888242381</v>
      </c>
      <c r="AN109" s="381">
        <f t="shared" si="180"/>
        <v>0.50940766550522643</v>
      </c>
      <c r="AO109" s="381">
        <f t="shared" si="180"/>
        <v>-0.10445521698984295</v>
      </c>
      <c r="AP109" s="381">
        <f t="shared" si="180"/>
        <v>9.6726382265755806E-2</v>
      </c>
      <c r="AQ109" s="466"/>
      <c r="AR109" s="514">
        <f t="shared" si="155"/>
        <v>-0.3691756272401433</v>
      </c>
      <c r="AS109" s="381">
        <f t="shared" si="180"/>
        <v>0.32414307004470921</v>
      </c>
      <c r="AT109" s="381">
        <f t="shared" si="180"/>
        <v>0.12464828362408564</v>
      </c>
      <c r="AU109" s="381">
        <f t="shared" si="180"/>
        <v>-2.0452839629722219E-2</v>
      </c>
      <c r="AV109" s="466"/>
      <c r="AW109" s="514">
        <f t="shared" si="156"/>
        <v>-0.10229231849818032</v>
      </c>
      <c r="AX109" s="381">
        <f t="shared" si="180"/>
        <v>0.20606017497688311</v>
      </c>
      <c r="AY109" s="381">
        <f t="shared" si="180"/>
        <v>6.2986553432413439E-2</v>
      </c>
      <c r="AZ109" s="381">
        <f t="shared" si="180"/>
        <v>5.1098535286284497E-2</v>
      </c>
      <c r="BA109" s="466"/>
      <c r="BB109" s="514">
        <f t="shared" si="157"/>
        <v>-7.8226444972287812E-2</v>
      </c>
      <c r="BC109" s="381">
        <f t="shared" si="158"/>
        <v>7.8165263700395116E-2</v>
      </c>
      <c r="BD109" s="381">
        <f t="shared" si="159"/>
        <v>2.3688124070533334E-2</v>
      </c>
      <c r="BE109" s="381">
        <f t="shared" si="160"/>
        <v>4.7936822463428008E-2</v>
      </c>
      <c r="BF109" s="466"/>
      <c r="BG109" s="514">
        <f t="shared" si="161"/>
        <v>-9.0313275443998142E-2</v>
      </c>
      <c r="BH109" s="381">
        <f t="shared" si="162"/>
        <v>8.1313467160720077E-2</v>
      </c>
      <c r="BI109" s="381">
        <f t="shared" si="163"/>
        <v>7.9632286932129759E-4</v>
      </c>
      <c r="BJ109" s="381">
        <f t="shared" si="164"/>
        <v>7.065245084098648E-2</v>
      </c>
      <c r="BK109" s="466"/>
      <c r="BL109" s="514">
        <f t="shared" si="165"/>
        <v>-7.0427842405979213E-2</v>
      </c>
      <c r="BM109" s="381">
        <f t="shared" si="166"/>
        <v>9.0324692202863321E-2</v>
      </c>
      <c r="BN109" s="381">
        <f t="shared" si="167"/>
        <v>1.2316517414343364E-2</v>
      </c>
      <c r="BO109" s="381">
        <f t="shared" si="168"/>
        <v>9.2047797152351229E-2</v>
      </c>
      <c r="BP109" s="466"/>
      <c r="BQ109" s="514">
        <f t="shared" si="169"/>
        <v>-0.14692908979108477</v>
      </c>
      <c r="BR109" s="381">
        <f t="shared" si="170"/>
        <v>0.10451555629026021</v>
      </c>
      <c r="BS109" s="381">
        <f t="shared" si="171"/>
        <v>1.7516645378026885E-2</v>
      </c>
      <c r="BT109" s="381">
        <f t="shared" si="172"/>
        <v>9.7435002916165026E-2</v>
      </c>
      <c r="BU109" s="466"/>
      <c r="BV109" s="514">
        <f t="shared" si="173"/>
        <v>-0.14754859924232311</v>
      </c>
      <c r="BW109" s="381">
        <f t="shared" si="174"/>
        <v>0.11166783851695228</v>
      </c>
      <c r="BX109" s="381">
        <f t="shared" si="175"/>
        <v>3.0910878785430196E-2</v>
      </c>
      <c r="BY109" s="381">
        <f t="shared" si="176"/>
        <v>9.0967291646128823E-2</v>
      </c>
      <c r="BZ109" s="466"/>
    </row>
    <row r="110" spans="1:78" s="102" customFormat="1" ht="14.1" customHeight="1" x14ac:dyDescent="0.2">
      <c r="A110"/>
      <c r="B110"/>
      <c r="C110" s="364" t="str">
        <f t="shared" si="143"/>
        <v xml:space="preserve">Depreciation and Amortization </v>
      </c>
      <c r="D110" s="381"/>
      <c r="E110" s="381">
        <f t="shared" si="144"/>
        <v>0.17279740993318171</v>
      </c>
      <c r="F110" s="381">
        <f t="shared" si="144"/>
        <v>0.16624083482619212</v>
      </c>
      <c r="G110" s="381">
        <f t="shared" si="144"/>
        <v>0.13027238007302633</v>
      </c>
      <c r="H110" s="381">
        <f t="shared" si="144"/>
        <v>5.2318889012661796E-2</v>
      </c>
      <c r="I110" s="381">
        <f t="shared" si="144"/>
        <v>0.10940719830628098</v>
      </c>
      <c r="J110" s="524">
        <f t="shared" si="144"/>
        <v>0.13766912845174706</v>
      </c>
      <c r="K110" s="381">
        <f t="shared" si="145"/>
        <v>0.186806518296323</v>
      </c>
      <c r="L110" s="381">
        <f t="shared" si="146"/>
        <v>0.1584718184246634</v>
      </c>
      <c r="M110" s="381">
        <f t="shared" si="147"/>
        <v>0.14255854949168634</v>
      </c>
      <c r="N110" s="381">
        <f t="shared" si="148"/>
        <v>0.11588959056486381</v>
      </c>
      <c r="O110" s="466">
        <f t="shared" si="149"/>
        <v>9.2856126294684094E-2</v>
      </c>
      <c r="R110" s="471" t="str">
        <f t="shared" si="122"/>
        <v xml:space="preserve">Depreciation and Amortization </v>
      </c>
      <c r="S110" s="381"/>
      <c r="T110" s="381">
        <f t="shared" ref="T110:AZ110" si="181">IFERROR(T16/S16-1,"NA")</f>
        <v>0.1042963110469457</v>
      </c>
      <c r="U110" s="381">
        <f t="shared" si="181"/>
        <v>7.0327292399243735E-3</v>
      </c>
      <c r="V110" s="381">
        <f t="shared" si="181"/>
        <v>7.0283821291075022E-3</v>
      </c>
      <c r="W110" s="381"/>
      <c r="X110" s="514">
        <f t="shared" si="151"/>
        <v>2.3783062902867247E-2</v>
      </c>
      <c r="Y110" s="381">
        <f t="shared" si="181"/>
        <v>9.60052105948761E-2</v>
      </c>
      <c r="Z110" s="381">
        <f t="shared" si="181"/>
        <v>5.7565072699179876E-2</v>
      </c>
      <c r="AA110" s="381">
        <f t="shared" si="181"/>
        <v>1.8506031317899296E-2</v>
      </c>
      <c r="AB110" s="466"/>
      <c r="AC110" s="514">
        <f t="shared" si="152"/>
        <v>-1.4933058702368829E-2</v>
      </c>
      <c r="AD110" s="381">
        <f t="shared" si="181"/>
        <v>8.8156224329773769E-2</v>
      </c>
      <c r="AE110" s="381">
        <f t="shared" si="181"/>
        <v>7.5146690457399634E-2</v>
      </c>
      <c r="AF110" s="381">
        <f t="shared" si="181"/>
        <v>1.7361886828583639E-2</v>
      </c>
      <c r="AG110" s="466"/>
      <c r="AH110" s="514">
        <f t="shared" si="153"/>
        <v>2.2367224017316278E-2</v>
      </c>
      <c r="AI110" s="381">
        <f t="shared" si="181"/>
        <v>3.2954894139306523E-2</v>
      </c>
      <c r="AJ110" s="381">
        <f t="shared" si="181"/>
        <v>1.6634980988593062E-2</v>
      </c>
      <c r="AK110" s="381">
        <f t="shared" si="181"/>
        <v>-1.3733052828425185E-3</v>
      </c>
      <c r="AL110" s="466"/>
      <c r="AM110" s="514">
        <f t="shared" si="154"/>
        <v>3.4965034965035224E-2</v>
      </c>
      <c r="AN110" s="381">
        <f t="shared" si="181"/>
        <v>-2.0157186475178168E-2</v>
      </c>
      <c r="AO110" s="381">
        <f t="shared" si="181"/>
        <v>3.1247295074872339E-2</v>
      </c>
      <c r="AP110" s="381">
        <f t="shared" si="181"/>
        <v>5.1759834368527713E-3</v>
      </c>
      <c r="AQ110" s="466"/>
      <c r="AR110" s="514">
        <f t="shared" si="155"/>
        <v>0.11203273304200212</v>
      </c>
      <c r="AS110" s="381">
        <f t="shared" si="181"/>
        <v>-7.529034841810156E-2</v>
      </c>
      <c r="AT110" s="381">
        <f t="shared" si="181"/>
        <v>0.10118016457340828</v>
      </c>
      <c r="AU110" s="381">
        <f t="shared" si="181"/>
        <v>-2.5982006784327272E-2</v>
      </c>
      <c r="AV110" s="466"/>
      <c r="AW110" s="514">
        <f t="shared" si="156"/>
        <v>8.2145110410094757E-2</v>
      </c>
      <c r="AX110" s="381">
        <f t="shared" si="181"/>
        <v>4.1464552238805963E-2</v>
      </c>
      <c r="AY110" s="381">
        <f t="shared" si="181"/>
        <v>2.1496708316539159E-2</v>
      </c>
      <c r="AZ110" s="381">
        <f t="shared" si="181"/>
        <v>1.5564031741854834E-3</v>
      </c>
      <c r="BA110" s="466"/>
      <c r="BB110" s="514">
        <f t="shared" si="157"/>
        <v>6.9163255925934086E-2</v>
      </c>
      <c r="BC110" s="381">
        <f t="shared" si="158"/>
        <v>7.5477491862679047E-2</v>
      </c>
      <c r="BD110" s="381">
        <f t="shared" si="159"/>
        <v>4.0353281559311727E-2</v>
      </c>
      <c r="BE110" s="381">
        <f t="shared" si="160"/>
        <v>2.8494799559168005E-2</v>
      </c>
      <c r="BF110" s="466"/>
      <c r="BG110" s="514">
        <f t="shared" si="161"/>
        <v>3.157853611509065E-2</v>
      </c>
      <c r="BH110" s="381">
        <f t="shared" si="162"/>
        <v>3.9649454022723463E-2</v>
      </c>
      <c r="BI110" s="381">
        <f t="shared" si="163"/>
        <v>3.8565279550771825E-2</v>
      </c>
      <c r="BJ110" s="381">
        <f t="shared" si="164"/>
        <v>3.8153338037983708E-2</v>
      </c>
      <c r="BK110" s="466"/>
      <c r="BL110" s="514">
        <f t="shared" si="165"/>
        <v>2.9066065620336978E-2</v>
      </c>
      <c r="BM110" s="381">
        <f t="shared" si="166"/>
        <v>3.3025181119701097E-2</v>
      </c>
      <c r="BN110" s="381">
        <f t="shared" si="167"/>
        <v>3.2604408930962503E-2</v>
      </c>
      <c r="BO110" s="381">
        <f t="shared" si="168"/>
        <v>3.1496304338313408E-2</v>
      </c>
      <c r="BP110" s="466"/>
      <c r="BQ110" s="514">
        <f t="shared" si="169"/>
        <v>2.5141412941955155E-2</v>
      </c>
      <c r="BR110" s="381">
        <f t="shared" si="170"/>
        <v>2.6181916353009704E-2</v>
      </c>
      <c r="BS110" s="381">
        <f t="shared" si="171"/>
        <v>2.5635507679878655E-2</v>
      </c>
      <c r="BT110" s="381">
        <f t="shared" si="172"/>
        <v>2.2713627481265153E-2</v>
      </c>
      <c r="BU110" s="466"/>
      <c r="BV110" s="514">
        <f t="shared" si="173"/>
        <v>2.1036803925776448E-2</v>
      </c>
      <c r="BW110" s="381">
        <f t="shared" si="174"/>
        <v>2.2170311484412064E-2</v>
      </c>
      <c r="BX110" s="381">
        <f t="shared" si="175"/>
        <v>2.151929222604676E-2</v>
      </c>
      <c r="BY110" s="381">
        <f t="shared" si="176"/>
        <v>2.0292309938136022E-2</v>
      </c>
      <c r="BZ110" s="466"/>
    </row>
    <row r="111" spans="1:78" s="102" customFormat="1" ht="14.1" customHeight="1" x14ac:dyDescent="0.2">
      <c r="A111"/>
      <c r="B111"/>
      <c r="C111" s="364" t="str">
        <f>C18</f>
        <v>Other Operating Expenses</v>
      </c>
      <c r="D111" s="381"/>
      <c r="E111" s="381">
        <f t="shared" ref="E111:J112" si="182">IFERROR(E18/D18-1,"NA")</f>
        <v>-3.0710382513661201</v>
      </c>
      <c r="F111" s="381">
        <f t="shared" si="182"/>
        <v>-2.0633245382585752</v>
      </c>
      <c r="G111" s="381">
        <f t="shared" si="182"/>
        <v>5.2729528535980146</v>
      </c>
      <c r="H111" s="381">
        <f t="shared" si="182"/>
        <v>0.54034810126582289</v>
      </c>
      <c r="I111" s="381">
        <f t="shared" si="182"/>
        <v>-1.0128402670775551</v>
      </c>
      <c r="J111" s="524">
        <f t="shared" si="182"/>
        <v>17.2</v>
      </c>
      <c r="K111" s="381">
        <f t="shared" ref="K111:O112" si="183">IFERROR(K18/J18-1,"NA")</f>
        <v>0.71368596172920085</v>
      </c>
      <c r="L111" s="381">
        <f t="shared" si="183"/>
        <v>0.10753280739713489</v>
      </c>
      <c r="M111" s="381">
        <f t="shared" si="183"/>
        <v>0.14738826955676654</v>
      </c>
      <c r="N111" s="381">
        <f t="shared" si="183"/>
        <v>8.9954620098664062E-2</v>
      </c>
      <c r="O111" s="466">
        <f t="shared" si="183"/>
        <v>8.0794939422932144E-2</v>
      </c>
      <c r="R111" s="471" t="str">
        <f t="shared" si="122"/>
        <v>Other Operating Expenses</v>
      </c>
      <c r="S111" s="381"/>
      <c r="T111" s="381">
        <f t="shared" ref="T111:AZ111" si="184">IFERROR(T18/S18-1,"NA")</f>
        <v>-0.12121212121212122</v>
      </c>
      <c r="U111" s="381">
        <f t="shared" si="184"/>
        <v>-7.1810344827586201</v>
      </c>
      <c r="V111" s="381">
        <f t="shared" si="184"/>
        <v>-1.398884239888424</v>
      </c>
      <c r="W111" s="381"/>
      <c r="X111" s="514">
        <f>IFERROR(X18/V18-1,"NA")</f>
        <v>-0.92657342657342656</v>
      </c>
      <c r="Y111" s="381">
        <f t="shared" si="184"/>
        <v>-3</v>
      </c>
      <c r="Z111" s="381">
        <f t="shared" si="184"/>
        <v>-8.7619047619047628</v>
      </c>
      <c r="AA111" s="381">
        <f t="shared" si="184"/>
        <v>-0.77300613496932513</v>
      </c>
      <c r="AB111" s="466"/>
      <c r="AC111" s="514">
        <f>IFERROR(AC18/AA18-1,"NA")</f>
        <v>0.70270270270270241</v>
      </c>
      <c r="AD111" s="381">
        <f t="shared" si="184"/>
        <v>-0.76190476190476186</v>
      </c>
      <c r="AE111" s="381">
        <f t="shared" si="184"/>
        <v>14.033333333333335</v>
      </c>
      <c r="AF111" s="381">
        <f t="shared" si="184"/>
        <v>-3.2394678492239466</v>
      </c>
      <c r="AG111" s="466"/>
      <c r="AH111" s="514">
        <f>IFERROR(AH18/AF18-1,"NA")</f>
        <v>0.37623762376237613</v>
      </c>
      <c r="AI111" s="381">
        <f t="shared" si="184"/>
        <v>-1.106474820143885</v>
      </c>
      <c r="AJ111" s="381">
        <f t="shared" si="184"/>
        <v>-3.1351351351351351</v>
      </c>
      <c r="AK111" s="381">
        <f t="shared" si="184"/>
        <v>2.0696202531645569</v>
      </c>
      <c r="AL111" s="466"/>
      <c r="AM111" s="514">
        <f>IFERROR(AM18/AK18-1,"NA")</f>
        <v>-0.79484536082474222</v>
      </c>
      <c r="AN111" s="381">
        <f t="shared" si="184"/>
        <v>-0.6532663316582914</v>
      </c>
      <c r="AO111" s="381">
        <f t="shared" si="184"/>
        <v>54.75362318840579</v>
      </c>
      <c r="AP111" s="381">
        <f t="shared" si="184"/>
        <v>-1.0574473615804523</v>
      </c>
      <c r="AQ111" s="466"/>
      <c r="AR111" s="514">
        <f>IFERROR(AR18/AP18-1,"NA")</f>
        <v>-0.89140271493212675</v>
      </c>
      <c r="AS111" s="381">
        <f t="shared" si="184"/>
        <v>-0.125</v>
      </c>
      <c r="AT111" s="381">
        <f t="shared" si="184"/>
        <v>4.4761904761904763</v>
      </c>
      <c r="AU111" s="381">
        <f t="shared" si="184"/>
        <v>-1.9565217391304346</v>
      </c>
      <c r="AV111" s="466"/>
      <c r="AW111" s="514">
        <f>IFERROR(AW18/AU18-1,"NA")</f>
        <v>-1.7272727272727273</v>
      </c>
      <c r="AX111" s="381">
        <f t="shared" si="184"/>
        <v>0.83749999999999991</v>
      </c>
      <c r="AY111" s="381">
        <f t="shared" si="184"/>
        <v>1.8299319727891157</v>
      </c>
      <c r="AZ111" s="381">
        <f t="shared" si="184"/>
        <v>-0.35817307692307687</v>
      </c>
      <c r="BA111" s="466"/>
      <c r="BB111" s="514">
        <f>IFERROR(BB18/AZ18-1,"NA")</f>
        <v>-0.10112359550561811</v>
      </c>
      <c r="BC111" s="381">
        <f t="shared" ref="BC111:BE112" si="185">IFERROR(BC18/BB18-1,"NA")</f>
        <v>0.79166666666666674</v>
      </c>
      <c r="BD111" s="381">
        <f t="shared" si="185"/>
        <v>0.41627906976744189</v>
      </c>
      <c r="BE111" s="381">
        <f t="shared" si="185"/>
        <v>-0.53948403091367325</v>
      </c>
      <c r="BF111" s="466"/>
      <c r="BG111" s="514">
        <f>IFERROR(BG18/BE18-1,"NA")</f>
        <v>-5.737644856175883E-2</v>
      </c>
      <c r="BH111" s="381">
        <f t="shared" ref="BH111:BJ112" si="186">IFERROR(BH18/BG18-1,"NA")</f>
        <v>0.81734039923502988</v>
      </c>
      <c r="BI111" s="381">
        <f t="shared" si="186"/>
        <v>0.38566388408918639</v>
      </c>
      <c r="BJ111" s="381">
        <f t="shared" si="186"/>
        <v>-0.52439404403442036</v>
      </c>
      <c r="BK111" s="466"/>
      <c r="BL111" s="514">
        <f>IFERROR(BL18/BJ18-1,"NA")</f>
        <v>-5.3631118479996909E-2</v>
      </c>
      <c r="BM111" s="381">
        <f t="shared" ref="BM111:BO112" si="187">IFERROR(BM18/BL18-1,"NA")</f>
        <v>0.82580363938673118</v>
      </c>
      <c r="BN111" s="381">
        <f t="shared" si="187"/>
        <v>0.3948432163524711</v>
      </c>
      <c r="BO111" s="381">
        <f t="shared" si="187"/>
        <v>-0.5126734592762221</v>
      </c>
      <c r="BP111" s="466"/>
      <c r="BQ111" s="514">
        <f>IFERROR(BQ18/BO18-1,"NA")</f>
        <v>-0.12568960646002825</v>
      </c>
      <c r="BR111" s="381">
        <f t="shared" ref="BR111:BT112" si="188">IFERROR(BR18/BQ18-1,"NA")</f>
        <v>0.83275677568849393</v>
      </c>
      <c r="BS111" s="381">
        <f t="shared" si="188"/>
        <v>0.40169897278491318</v>
      </c>
      <c r="BT111" s="381">
        <f t="shared" si="188"/>
        <v>-0.51672465059860651</v>
      </c>
      <c r="BU111" s="466"/>
      <c r="BV111" s="514">
        <f>IFERROR(BV18/BT18-1,"NA")</f>
        <v>-0.13132182483186561</v>
      </c>
      <c r="BW111" s="381">
        <f t="shared" ref="BW111:BY112" si="189">IFERROR(BW18/BV18-1,"NA")</f>
        <v>0.84510756344747029</v>
      </c>
      <c r="BX111" s="381">
        <f t="shared" si="189"/>
        <v>0.39822955124985127</v>
      </c>
      <c r="BY111" s="381">
        <f t="shared" si="189"/>
        <v>-0.52226392226375329</v>
      </c>
      <c r="BZ111" s="466"/>
    </row>
    <row r="112" spans="1:78" s="102" customFormat="1" ht="14.1" customHeight="1" x14ac:dyDescent="0.2">
      <c r="A112"/>
      <c r="B112"/>
      <c r="C112" s="364" t="str">
        <f>C19</f>
        <v>Operating Income</v>
      </c>
      <c r="D112" s="381"/>
      <c r="E112" s="381">
        <f t="shared" si="182"/>
        <v>0.49062401013620605</v>
      </c>
      <c r="F112" s="381">
        <f t="shared" si="182"/>
        <v>8.0813446949572931E-2</v>
      </c>
      <c r="G112" s="381">
        <f t="shared" si="182"/>
        <v>0.21830700719594298</v>
      </c>
      <c r="H112" s="381">
        <f t="shared" si="182"/>
        <v>0.83003308188655023</v>
      </c>
      <c r="I112" s="381">
        <f t="shared" si="182"/>
        <v>0.39876194644504515</v>
      </c>
      <c r="J112" s="524">
        <f t="shared" si="182"/>
        <v>-1.8683500983352475E-2</v>
      </c>
      <c r="K112" s="381">
        <f t="shared" si="183"/>
        <v>5.9116736474953635E-2</v>
      </c>
      <c r="L112" s="381">
        <f t="shared" si="183"/>
        <v>0.3246362785891117</v>
      </c>
      <c r="M112" s="381">
        <f t="shared" si="183"/>
        <v>0.2686381307106025</v>
      </c>
      <c r="N112" s="381">
        <f t="shared" si="183"/>
        <v>0.15680812117855325</v>
      </c>
      <c r="O112" s="466">
        <f t="shared" si="183"/>
        <v>0.13846193450066147</v>
      </c>
      <c r="R112" s="471" t="str">
        <f t="shared" si="122"/>
        <v>Operating Income</v>
      </c>
      <c r="S112" s="381"/>
      <c r="T112" s="381">
        <f t="shared" ref="T112:AZ112" si="190">IFERROR(T19/S19-1,"NA")</f>
        <v>0.69555542876704202</v>
      </c>
      <c r="U112" s="381">
        <f t="shared" si="190"/>
        <v>-0.17215155797833093</v>
      </c>
      <c r="V112" s="381">
        <f t="shared" si="190"/>
        <v>-7.0685310137381663E-2</v>
      </c>
      <c r="W112" s="381"/>
      <c r="X112" s="514">
        <f>IFERROR(X19/V19-1,"NA")</f>
        <v>0.20627214276341377</v>
      </c>
      <c r="Y112" s="381">
        <f t="shared" si="190"/>
        <v>0.5071249864026941</v>
      </c>
      <c r="Z112" s="381">
        <f t="shared" si="190"/>
        <v>-6.9000360880549838E-2</v>
      </c>
      <c r="AA112" s="381">
        <f t="shared" si="190"/>
        <v>-0.13853787115280691</v>
      </c>
      <c r="AB112" s="466"/>
      <c r="AC112" s="514">
        <f>IFERROR(AC19/AA19-1,"NA")</f>
        <v>-0.14113870890327962</v>
      </c>
      <c r="AD112" s="381">
        <f t="shared" si="190"/>
        <v>0.78708393000593224</v>
      </c>
      <c r="AE112" s="381">
        <f t="shared" si="190"/>
        <v>-0.1134933354180514</v>
      </c>
      <c r="AF112" s="381">
        <f t="shared" si="190"/>
        <v>-0.39526885513349275</v>
      </c>
      <c r="AG112" s="466"/>
      <c r="AH112" s="514">
        <f>IFERROR(AH19/AF19-1,"NA")</f>
        <v>0.45968312067080408</v>
      </c>
      <c r="AI112" s="381">
        <f t="shared" si="190"/>
        <v>-7.2465369358379439E-2</v>
      </c>
      <c r="AJ112" s="381">
        <f t="shared" si="190"/>
        <v>0.52598523020807009</v>
      </c>
      <c r="AK112" s="381">
        <f t="shared" si="190"/>
        <v>-8.1579129883750268E-2</v>
      </c>
      <c r="AL112" s="466"/>
      <c r="AM112" s="514">
        <f>IFERROR(AM19/AK19-1,"NA")</f>
        <v>-3.7980654749934173E-2</v>
      </c>
      <c r="AN112" s="381">
        <f t="shared" si="190"/>
        <v>0.6816789059200441</v>
      </c>
      <c r="AO112" s="381">
        <f t="shared" si="190"/>
        <v>0.27469594060078806</v>
      </c>
      <c r="AP112" s="381">
        <f t="shared" si="190"/>
        <v>-8.150282455293778E-2</v>
      </c>
      <c r="AQ112" s="466"/>
      <c r="AR112" s="514">
        <f>IFERROR(AR19/AP19-1,"NA")</f>
        <v>6.1870499547070468E-2</v>
      </c>
      <c r="AS112" s="381">
        <f t="shared" si="190"/>
        <v>0.40749343938168825</v>
      </c>
      <c r="AT112" s="381">
        <f t="shared" si="190"/>
        <v>-0.11956463086914548</v>
      </c>
      <c r="AU112" s="381">
        <f t="shared" si="190"/>
        <v>-0.27467204250407851</v>
      </c>
      <c r="AV112" s="466"/>
      <c r="AW112" s="514">
        <f>IFERROR(AW19/AU19-1,"NA")</f>
        <v>7.0380187431227537E-2</v>
      </c>
      <c r="AX112" s="381">
        <f t="shared" si="190"/>
        <v>0.20991857126525093</v>
      </c>
      <c r="AY112" s="381">
        <f t="shared" si="190"/>
        <v>6.6571512561102608E-2</v>
      </c>
      <c r="AZ112" s="381">
        <f t="shared" si="190"/>
        <v>-0.11971228266958645</v>
      </c>
      <c r="BA112" s="466"/>
      <c r="BB112" s="514">
        <f>IFERROR(BB19/AZ19-1,"NA")</f>
        <v>4.5000365363938144E-2</v>
      </c>
      <c r="BC112" s="381">
        <f t="shared" si="185"/>
        <v>0.16489115833429957</v>
      </c>
      <c r="BD112" s="381">
        <f t="shared" si="185"/>
        <v>-8.9303178753576185E-2</v>
      </c>
      <c r="BE112" s="381">
        <f t="shared" si="185"/>
        <v>-0.14149458201560117</v>
      </c>
      <c r="BF112" s="466"/>
      <c r="BG112" s="514">
        <f>IFERROR(BG19/BE19-1,"NA")</f>
        <v>0.4623416034454022</v>
      </c>
      <c r="BH112" s="381">
        <f t="shared" si="186"/>
        <v>0.2619417804336579</v>
      </c>
      <c r="BI112" s="381">
        <f t="shared" si="186"/>
        <v>-0.20435657137687346</v>
      </c>
      <c r="BJ112" s="381">
        <f t="shared" si="186"/>
        <v>-0.15527741198082567</v>
      </c>
      <c r="BK112" s="466"/>
      <c r="BL112" s="514">
        <f>IFERROR(BL19/BJ19-1,"NA")</f>
        <v>0.32837734185046386</v>
      </c>
      <c r="BM112" s="381">
        <f t="shared" si="187"/>
        <v>0.26005597608638165</v>
      </c>
      <c r="BN112" s="381">
        <f t="shared" si="187"/>
        <v>-2.9274727701215864E-2</v>
      </c>
      <c r="BO112" s="381">
        <f t="shared" si="187"/>
        <v>-6.0335053652190607E-2</v>
      </c>
      <c r="BP112" s="466"/>
      <c r="BQ112" s="514">
        <f>IFERROR(BQ19/BO19-1,"NA")</f>
        <v>1.0730754799038067E-2</v>
      </c>
      <c r="BR112" s="381">
        <f t="shared" si="188"/>
        <v>0.25423152714040409</v>
      </c>
      <c r="BS112" s="381">
        <f t="shared" si="188"/>
        <v>-3.0943967747153578E-2</v>
      </c>
      <c r="BT112" s="381">
        <f t="shared" si="188"/>
        <v>-5.9234968854698811E-2</v>
      </c>
      <c r="BU112" s="466"/>
      <c r="BV112" s="514">
        <f>IFERROR(BV19/BT19-1,"NA")</f>
        <v>-2.9003201409950496E-2</v>
      </c>
      <c r="BW112" s="381">
        <f t="shared" si="189"/>
        <v>0.29626239265748056</v>
      </c>
      <c r="BX112" s="381">
        <f t="shared" si="189"/>
        <v>-4.0535034299925998E-2</v>
      </c>
      <c r="BY112" s="381">
        <f t="shared" si="189"/>
        <v>-4.2978809984589805E-2</v>
      </c>
      <c r="BZ112" s="466"/>
    </row>
    <row r="113" spans="1:78" s="102" customFormat="1" ht="14.1" customHeight="1" x14ac:dyDescent="0.2">
      <c r="A113"/>
      <c r="B113"/>
      <c r="C113" s="364" t="str">
        <f>C23</f>
        <v>Interest Expense</v>
      </c>
      <c r="D113" s="381"/>
      <c r="E113" s="381">
        <f t="shared" ref="E113:J116" si="191">IFERROR(E23/D23-1,"NA")</f>
        <v>7.265887942981597E-2</v>
      </c>
      <c r="F113" s="381">
        <f t="shared" si="191"/>
        <v>0.23440383905500184</v>
      </c>
      <c r="G113" s="381">
        <f t="shared" si="191"/>
        <v>0.60774416866028713</v>
      </c>
      <c r="H113" s="381">
        <f t="shared" si="191"/>
        <v>-0.23107709926340547</v>
      </c>
      <c r="I113" s="381">
        <f t="shared" si="191"/>
        <v>-3.5125663483478009E-2</v>
      </c>
      <c r="J113" s="524">
        <f t="shared" si="191"/>
        <v>0.12853301517179738</v>
      </c>
      <c r="K113" s="381">
        <f t="shared" ref="K113:O116" si="192">IFERROR(K23/J23-1,"NA")</f>
        <v>0.73071059776375802</v>
      </c>
      <c r="L113" s="381">
        <f t="shared" si="192"/>
        <v>0.23418896908916498</v>
      </c>
      <c r="M113" s="381">
        <f t="shared" si="192"/>
        <v>-3.3993886914587268E-2</v>
      </c>
      <c r="N113" s="381">
        <f t="shared" si="192"/>
        <v>-0.52771642377054429</v>
      </c>
      <c r="O113" s="466">
        <f t="shared" si="192"/>
        <v>8.311316039483807E-2</v>
      </c>
      <c r="R113" s="471" t="str">
        <f t="shared" si="122"/>
        <v>Interest Expense</v>
      </c>
      <c r="S113" s="381"/>
      <c r="T113" s="381">
        <f t="shared" ref="T113:AZ113" si="193">IFERROR(T23/S23-1,"NA")</f>
        <v>0.68825466520307343</v>
      </c>
      <c r="U113" s="381">
        <f t="shared" si="193"/>
        <v>-0.14629388816644995</v>
      </c>
      <c r="V113" s="381">
        <f t="shared" si="193"/>
        <v>-1.8278750952017808E-2</v>
      </c>
      <c r="W113" s="381"/>
      <c r="X113" s="514">
        <f>IFERROR(X23/V23-1,"NA")</f>
        <v>-4.8875096974399179E-2</v>
      </c>
      <c r="Y113" s="381">
        <f t="shared" si="193"/>
        <v>0.18597063621533438</v>
      </c>
      <c r="Z113" s="381">
        <f t="shared" si="193"/>
        <v>-3.0261348005502064E-2</v>
      </c>
      <c r="AA113" s="381">
        <f t="shared" si="193"/>
        <v>-5.8156028368794077E-2</v>
      </c>
      <c r="AB113" s="466"/>
      <c r="AC113" s="514">
        <f>IFERROR(AC23/AA23-1,"NA")</f>
        <v>4.1415662650602147E-2</v>
      </c>
      <c r="AD113" s="381">
        <f t="shared" si="193"/>
        <v>0.37599421547360801</v>
      </c>
      <c r="AE113" s="381">
        <f t="shared" si="193"/>
        <v>-1.8392012611665787E-2</v>
      </c>
      <c r="AF113" s="381">
        <f t="shared" si="193"/>
        <v>-0.17880085653104938</v>
      </c>
      <c r="AG113" s="466"/>
      <c r="AH113" s="514">
        <f>IFERROR(AH23/AF23-1,"NA")</f>
        <v>0.73735853976531973</v>
      </c>
      <c r="AI113" s="381">
        <f t="shared" si="193"/>
        <v>0.14466627618843209</v>
      </c>
      <c r="AJ113" s="381">
        <f t="shared" si="193"/>
        <v>-0.1380487676557125</v>
      </c>
      <c r="AK113" s="381">
        <f t="shared" si="193"/>
        <v>-8.4507169465752319E-2</v>
      </c>
      <c r="AL113" s="466"/>
      <c r="AM113" s="514">
        <f>IFERROR(AM23/AK23-1,"NA")</f>
        <v>-8.217847230696107E-2</v>
      </c>
      <c r="AN113" s="381">
        <f t="shared" si="193"/>
        <v>-4.359854309446487E-2</v>
      </c>
      <c r="AO113" s="381">
        <f t="shared" si="193"/>
        <v>-5.7479423466653357E-2</v>
      </c>
      <c r="AP113" s="381">
        <f t="shared" si="193"/>
        <v>-1.9119489276667956E-2</v>
      </c>
      <c r="AQ113" s="466"/>
      <c r="AR113" s="514">
        <f>IFERROR(AR23/AP23-1,"NA")</f>
        <v>-1.2488450838321841E-2</v>
      </c>
      <c r="AS113" s="381">
        <f t="shared" si="193"/>
        <v>4.7139952545280916E-2</v>
      </c>
      <c r="AT113" s="381">
        <f t="shared" si="193"/>
        <v>-3.2803748137050781E-2</v>
      </c>
      <c r="AU113" s="381">
        <f t="shared" si="193"/>
        <v>6.1609537015226312E-2</v>
      </c>
      <c r="AV113" s="466"/>
      <c r="AW113" s="514">
        <f>IFERROR(AW23/AU23-1,"NA")</f>
        <v>9.0847842326381878E-2</v>
      </c>
      <c r="AX113" s="381">
        <f t="shared" si="193"/>
        <v>-8.8161871992394891E-2</v>
      </c>
      <c r="AY113" s="381">
        <f t="shared" si="193"/>
        <v>-3.4693870132450844E-2</v>
      </c>
      <c r="AZ113" s="381">
        <f t="shared" si="193"/>
        <v>0.34829598674256013</v>
      </c>
      <c r="BA113" s="466"/>
      <c r="BB113" s="514">
        <f>IFERROR(BB23/AZ23-1,"NA")</f>
        <v>-0.18372478019808069</v>
      </c>
      <c r="BC113" s="381">
        <f t="shared" ref="BC113:BE116" si="194">IFERROR(BC23/BB23-1,"NA")</f>
        <v>0.86849784655854245</v>
      </c>
      <c r="BD113" s="381">
        <f t="shared" si="194"/>
        <v>0.1389642124138053</v>
      </c>
      <c r="BE113" s="381">
        <f t="shared" si="194"/>
        <v>-7.6942460979714244E-3</v>
      </c>
      <c r="BF113" s="466"/>
      <c r="BG113" s="514">
        <f>IFERROR(BG23/BE23-1,"NA")</f>
        <v>-1.6312698015462646E-3</v>
      </c>
      <c r="BH113" s="381">
        <f t="shared" ref="BH113:BJ116" si="195">IFERROR(BH23/BG23-1,"NA")</f>
        <v>6.3512019486513527E-2</v>
      </c>
      <c r="BI113" s="381">
        <f t="shared" si="195"/>
        <v>-1.40920676814138E-3</v>
      </c>
      <c r="BJ113" s="381">
        <f t="shared" si="195"/>
        <v>-2.4823584542305932E-2</v>
      </c>
      <c r="BK113" s="466"/>
      <c r="BL113" s="514">
        <f>IFERROR(BL23/BJ23-1,"NA")</f>
        <v>-1.2460122805189822E-2</v>
      </c>
      <c r="BM113" s="381">
        <f t="shared" ref="BM113:BO116" si="196">IFERROR(BM23/BL23-1,"NA")</f>
        <v>9.2674363336389121E-2</v>
      </c>
      <c r="BN113" s="381">
        <f t="shared" si="196"/>
        <v>3.8471282397001261E-4</v>
      </c>
      <c r="BO113" s="381">
        <f t="shared" si="196"/>
        <v>-0.3188578275669004</v>
      </c>
      <c r="BP113" s="466"/>
      <c r="BQ113" s="514">
        <f>IFERROR(BQ23/BO23-1,"NA")</f>
        <v>-0.43855799721224087</v>
      </c>
      <c r="BR113" s="381">
        <f t="shared" ref="BR113:BT116" si="197">IFERROR(BR23/BQ23-1,"NA")</f>
        <v>0.16441842292961684</v>
      </c>
      <c r="BS113" s="381">
        <f t="shared" si="197"/>
        <v>4.7489231907162921E-3</v>
      </c>
      <c r="BT113" s="381">
        <f t="shared" si="197"/>
        <v>-5.455688288178262E-2</v>
      </c>
      <c r="BU113" s="466"/>
      <c r="BV113" s="514">
        <f>IFERROR(BV23/BT23-1,"NA")</f>
        <v>-1.8663727828884036E-2</v>
      </c>
      <c r="BW113" s="381">
        <f t="shared" ref="BW113:BY116" si="198">IFERROR(BW23/BV23-1,"NA")</f>
        <v>0.15691735822469388</v>
      </c>
      <c r="BX113" s="381">
        <f t="shared" si="198"/>
        <v>1.1519838385792625E-2</v>
      </c>
      <c r="BY113" s="381">
        <f t="shared" si="198"/>
        <v>-5.6897000677680665E-2</v>
      </c>
      <c r="BZ113" s="466"/>
    </row>
    <row r="114" spans="1:78" s="102" customFormat="1" ht="14.1" customHeight="1" x14ac:dyDescent="0.2">
      <c r="A114"/>
      <c r="B114"/>
      <c r="C114" s="364" t="str">
        <f>C24</f>
        <v>Interest Income</v>
      </c>
      <c r="D114" s="381"/>
      <c r="E114" s="381" t="str">
        <f t="shared" si="191"/>
        <v>NA</v>
      </c>
      <c r="F114" s="381" t="str">
        <f t="shared" si="191"/>
        <v>NA</v>
      </c>
      <c r="G114" s="381" t="str">
        <f t="shared" si="191"/>
        <v>NA</v>
      </c>
      <c r="H114" s="381" t="str">
        <f t="shared" si="191"/>
        <v>NA</v>
      </c>
      <c r="I114" s="381">
        <f t="shared" si="191"/>
        <v>18.727272727272727</v>
      </c>
      <c r="J114" s="524">
        <f t="shared" si="191"/>
        <v>27.608294930875577</v>
      </c>
      <c r="K114" s="381">
        <f t="shared" si="192"/>
        <v>-0.84662349730363529</v>
      </c>
      <c r="L114" s="381">
        <f t="shared" si="192"/>
        <v>-0.80006533589495032</v>
      </c>
      <c r="M114" s="381">
        <f t="shared" si="192"/>
        <v>0.14839364532137833</v>
      </c>
      <c r="N114" s="381">
        <f t="shared" si="192"/>
        <v>8.8691950711687229E-2</v>
      </c>
      <c r="O114" s="466">
        <f t="shared" si="192"/>
        <v>7.953468556996679E-2</v>
      </c>
      <c r="R114" s="471" t="str">
        <f t="shared" si="122"/>
        <v>Interest Income</v>
      </c>
      <c r="S114" s="381"/>
      <c r="T114" s="381" t="str">
        <f t="shared" ref="T114:AZ114" si="199">IFERROR(T24/S24-1,"NA")</f>
        <v>NA</v>
      </c>
      <c r="U114" s="381" t="str">
        <f t="shared" si="199"/>
        <v>NA</v>
      </c>
      <c r="V114" s="381" t="str">
        <f t="shared" si="199"/>
        <v>NA</v>
      </c>
      <c r="W114" s="381"/>
      <c r="X114" s="514" t="str">
        <f>IFERROR(X24/V24-1,"NA")</f>
        <v>NA</v>
      </c>
      <c r="Y114" s="381" t="str">
        <f t="shared" si="199"/>
        <v>NA</v>
      </c>
      <c r="Z114" s="381" t="str">
        <f t="shared" si="199"/>
        <v>NA</v>
      </c>
      <c r="AA114" s="381" t="str">
        <f t="shared" si="199"/>
        <v>NA</v>
      </c>
      <c r="AB114" s="466"/>
      <c r="AC114" s="514" t="str">
        <f>IFERROR(AC24/AA24-1,"NA")</f>
        <v>NA</v>
      </c>
      <c r="AD114" s="381" t="str">
        <f t="shared" si="199"/>
        <v>NA</v>
      </c>
      <c r="AE114" s="381" t="str">
        <f t="shared" si="199"/>
        <v>NA</v>
      </c>
      <c r="AF114" s="381" t="str">
        <f t="shared" si="199"/>
        <v>NA</v>
      </c>
      <c r="AG114" s="466"/>
      <c r="AH114" s="514" t="str">
        <f>IFERROR(AH24/AF24-1,"NA")</f>
        <v>NA</v>
      </c>
      <c r="AI114" s="381" t="str">
        <f t="shared" si="199"/>
        <v>NA</v>
      </c>
      <c r="AJ114" s="381" t="str">
        <f t="shared" si="199"/>
        <v>NA</v>
      </c>
      <c r="AK114" s="381" t="str">
        <f t="shared" si="199"/>
        <v>NA</v>
      </c>
      <c r="AL114" s="466"/>
      <c r="AM114" s="514" t="str">
        <f>IFERROR(AM24/AK24-1,"NA")</f>
        <v>NA</v>
      </c>
      <c r="AN114" s="381" t="str">
        <f t="shared" si="199"/>
        <v>NA</v>
      </c>
      <c r="AO114" s="381" t="str">
        <f t="shared" si="199"/>
        <v>NA</v>
      </c>
      <c r="AP114" s="381" t="str">
        <f t="shared" si="199"/>
        <v>NA</v>
      </c>
      <c r="AQ114" s="466"/>
      <c r="AR114" s="514">
        <f>IFERROR(AR24/AP24-1,"NA")</f>
        <v>-1</v>
      </c>
      <c r="AS114" s="381" t="str">
        <f t="shared" si="199"/>
        <v>NA</v>
      </c>
      <c r="AT114" s="381" t="str">
        <f t="shared" si="199"/>
        <v>NA</v>
      </c>
      <c r="AU114" s="381" t="str">
        <f t="shared" si="199"/>
        <v>NA</v>
      </c>
      <c r="AV114" s="466"/>
      <c r="AW114" s="514">
        <f>IFERROR(AW24/AU24-1,"NA")</f>
        <v>-0.35483870967741926</v>
      </c>
      <c r="AX114" s="381">
        <f t="shared" si="199"/>
        <v>2.4785714285714282</v>
      </c>
      <c r="AY114" s="381">
        <f t="shared" si="199"/>
        <v>3.9753593429158114</v>
      </c>
      <c r="AZ114" s="381">
        <f t="shared" si="199"/>
        <v>0.30334296326867527</v>
      </c>
      <c r="BA114" s="466"/>
      <c r="BB114" s="514">
        <f>IFERROR(BB24/AZ24-1,"NA")</f>
        <v>-0.76092463584547188</v>
      </c>
      <c r="BC114" s="381">
        <f t="shared" si="194"/>
        <v>-0.85430463576158944</v>
      </c>
      <c r="BD114" s="381">
        <f t="shared" si="194"/>
        <v>-0.59090909090909094</v>
      </c>
      <c r="BE114" s="381">
        <f t="shared" si="194"/>
        <v>-6.3081583577063061E-2</v>
      </c>
      <c r="BF114" s="466"/>
      <c r="BG114" s="514">
        <f>IFERROR(BG24/BE24-1,"NA")</f>
        <v>5.3754757856725899E-2</v>
      </c>
      <c r="BH114" s="381">
        <f t="shared" si="195"/>
        <v>0.10634387149314439</v>
      </c>
      <c r="BI114" s="381">
        <f t="shared" si="195"/>
        <v>7.9632286932151963E-4</v>
      </c>
      <c r="BJ114" s="381">
        <f t="shared" si="195"/>
        <v>-3.2381048612330154E-2</v>
      </c>
      <c r="BK114" s="466"/>
      <c r="BL114" s="514">
        <f>IFERROR(BL24/BJ24-1,"NA")</f>
        <v>5.7941646023670801E-2</v>
      </c>
      <c r="BM114" s="381">
        <f t="shared" si="196"/>
        <v>0.11149604544952085</v>
      </c>
      <c r="BN114" s="381">
        <f t="shared" si="196"/>
        <v>7.4260994558201787E-3</v>
      </c>
      <c r="BO114" s="381">
        <f t="shared" si="196"/>
        <v>-8.5355525853654246E-3</v>
      </c>
      <c r="BP114" s="466"/>
      <c r="BQ114" s="514">
        <f>IFERROR(BQ24/BO24-1,"NA")</f>
        <v>-2.2612223479232862E-2</v>
      </c>
      <c r="BR114" s="381">
        <f t="shared" si="197"/>
        <v>0.11572891219168424</v>
      </c>
      <c r="BS114" s="381">
        <f t="shared" si="197"/>
        <v>1.2377672421572505E-2</v>
      </c>
      <c r="BT114" s="381">
        <f t="shared" si="197"/>
        <v>-1.6777689695019471E-2</v>
      </c>
      <c r="BU114" s="466"/>
      <c r="BV114" s="514">
        <f>IFERROR(BV24/BT24-1,"NA")</f>
        <v>-2.8908455837904579E-2</v>
      </c>
      <c r="BW114" s="381">
        <f t="shared" si="198"/>
        <v>0.12324771183483718</v>
      </c>
      <c r="BX114" s="381">
        <f t="shared" si="198"/>
        <v>9.871881259197135E-3</v>
      </c>
      <c r="BY114" s="381">
        <f t="shared" si="198"/>
        <v>-2.8047321987994089E-2</v>
      </c>
      <c r="BZ114" s="466"/>
    </row>
    <row r="115" spans="1:78" s="102" customFormat="1" ht="14.1" customHeight="1" x14ac:dyDescent="0.2">
      <c r="A115"/>
      <c r="B115"/>
      <c r="C115" s="364" t="str">
        <f>C25</f>
        <v>Other, net (Income)</v>
      </c>
      <c r="D115" s="381"/>
      <c r="E115" s="381">
        <f t="shared" si="191"/>
        <v>-0.19565217391304346</v>
      </c>
      <c r="F115" s="381">
        <f t="shared" si="191"/>
        <v>9.1891891891891895</v>
      </c>
      <c r="G115" s="381">
        <f t="shared" si="191"/>
        <v>0.5039787798408486</v>
      </c>
      <c r="H115" s="381">
        <f t="shared" si="191"/>
        <v>-0.26543209876543206</v>
      </c>
      <c r="I115" s="381">
        <f t="shared" si="191"/>
        <v>-1.0552220888355341</v>
      </c>
      <c r="J115" s="524">
        <f t="shared" si="191"/>
        <v>-45.739130434782602</v>
      </c>
      <c r="K115" s="381">
        <f t="shared" si="192"/>
        <v>0.13332450794982886</v>
      </c>
      <c r="L115" s="381">
        <f t="shared" si="192"/>
        <v>0.11099327417945082</v>
      </c>
      <c r="M115" s="381">
        <f t="shared" si="192"/>
        <v>0.15024896659802511</v>
      </c>
      <c r="N115" s="381">
        <f t="shared" si="192"/>
        <v>8.7628403643910335E-2</v>
      </c>
      <c r="O115" s="466">
        <f t="shared" si="192"/>
        <v>7.7749170046078397E-2</v>
      </c>
      <c r="R115" s="471" t="str">
        <f t="shared" si="122"/>
        <v>Other, net (Income)</v>
      </c>
      <c r="S115" s="381"/>
      <c r="T115" s="381">
        <f t="shared" ref="T115:AZ115" si="200">IFERROR(T25/S25-1,"NA")</f>
        <v>-8.163265306122458E-2</v>
      </c>
      <c r="U115" s="381">
        <f t="shared" si="200"/>
        <v>-2.4555555555555557</v>
      </c>
      <c r="V115" s="381">
        <f t="shared" si="200"/>
        <v>0.13740458015267176</v>
      </c>
      <c r="W115" s="381"/>
      <c r="X115" s="514">
        <f>IFERROR(X25/V25-1,"NA")</f>
        <v>-0.3087248322147651</v>
      </c>
      <c r="Y115" s="381">
        <f t="shared" si="200"/>
        <v>0.37864077669902918</v>
      </c>
      <c r="Z115" s="381">
        <f t="shared" si="200"/>
        <v>-2.1126760563380143E-2</v>
      </c>
      <c r="AA115" s="381">
        <f t="shared" si="200"/>
        <v>-3.2302158273381294</v>
      </c>
      <c r="AB115" s="466"/>
      <c r="AC115" s="514">
        <f>IFERROR(AC25/AA25-1,"NA")</f>
        <v>-2.0774193548387094</v>
      </c>
      <c r="AD115" s="381">
        <f t="shared" si="200"/>
        <v>-0.58083832335329344</v>
      </c>
      <c r="AE115" s="381">
        <f t="shared" si="200"/>
        <v>-0.85714285714285721</v>
      </c>
      <c r="AF115" s="381">
        <f t="shared" si="200"/>
        <v>11.999999999999998</v>
      </c>
      <c r="AG115" s="466"/>
      <c r="AH115" s="514">
        <f>IFERROR(AH25/AF25-1,"NA")</f>
        <v>-3.1038461538461544</v>
      </c>
      <c r="AI115" s="381">
        <f t="shared" si="200"/>
        <v>-2.3729433272394882</v>
      </c>
      <c r="AJ115" s="381">
        <f t="shared" si="200"/>
        <v>-0.47936085219707059</v>
      </c>
      <c r="AK115" s="381">
        <f t="shared" si="200"/>
        <v>0.37851662404092057</v>
      </c>
      <c r="AL115" s="466"/>
      <c r="AM115" s="514">
        <f>IFERROR(AM25/AK25-1,"NA")</f>
        <v>-0.7569573283858998</v>
      </c>
      <c r="AN115" s="381">
        <f t="shared" si="200"/>
        <v>2.282442748091603</v>
      </c>
      <c r="AO115" s="381">
        <f t="shared" si="200"/>
        <v>-1.0325581395348837</v>
      </c>
      <c r="AP115" s="381">
        <f t="shared" si="200"/>
        <v>-21.428571428571431</v>
      </c>
      <c r="AQ115" s="466"/>
      <c r="AR115" s="514">
        <f>IFERROR(AR25/AP25-1,"NA")</f>
        <v>-1.8216783216783217</v>
      </c>
      <c r="AS115" s="381">
        <f t="shared" si="200"/>
        <v>2.2723404255319153</v>
      </c>
      <c r="AT115" s="381">
        <f t="shared" si="200"/>
        <v>-0.91157347204161243</v>
      </c>
      <c r="AU115" s="381">
        <f t="shared" si="200"/>
        <v>-16.088235294117645</v>
      </c>
      <c r="AV115" s="466"/>
      <c r="AW115" s="514">
        <f>IFERROR(AW25/AU25-1,"NA")</f>
        <v>-0.50974658869395717</v>
      </c>
      <c r="AX115" s="381">
        <f t="shared" si="200"/>
        <v>0.96819085487077539</v>
      </c>
      <c r="AY115" s="381">
        <f t="shared" si="200"/>
        <v>-1.1585858585858586</v>
      </c>
      <c r="AZ115" s="381">
        <f t="shared" si="200"/>
        <v>-5.598726114649681</v>
      </c>
      <c r="BA115" s="466"/>
      <c r="BB115" s="514">
        <f>IFERROR(BB25/AZ25-1,"NA")</f>
        <v>9.1412742382271484E-2</v>
      </c>
      <c r="BC115" s="381">
        <f t="shared" si="194"/>
        <v>-0.58629441624365475</v>
      </c>
      <c r="BD115" s="381">
        <f t="shared" si="194"/>
        <v>0.41104294478527614</v>
      </c>
      <c r="BE115" s="381">
        <f t="shared" si="194"/>
        <v>0.64865616817553851</v>
      </c>
      <c r="BF115" s="466"/>
      <c r="BG115" s="514">
        <f>IFERROR(BG25/BE25-1,"NA")</f>
        <v>0.14453038278162622</v>
      </c>
      <c r="BH115" s="381">
        <f t="shared" si="195"/>
        <v>-0.58036621167468794</v>
      </c>
      <c r="BI115" s="381">
        <f t="shared" si="195"/>
        <v>0.38054094650206571</v>
      </c>
      <c r="BJ115" s="381">
        <f t="shared" si="195"/>
        <v>0.70267861607355009</v>
      </c>
      <c r="BK115" s="466"/>
      <c r="BL115" s="514">
        <f>IFERROR(BL25/BJ25-1,"NA")</f>
        <v>0.14907795011705094</v>
      </c>
      <c r="BM115" s="381">
        <f t="shared" si="196"/>
        <v>-0.57841200346588995</v>
      </c>
      <c r="BN115" s="381">
        <f t="shared" si="196"/>
        <v>0.38968634185841666</v>
      </c>
      <c r="BO115" s="381">
        <f t="shared" si="196"/>
        <v>0.74463853853740103</v>
      </c>
      <c r="BP115" s="466"/>
      <c r="BQ115" s="514">
        <f>IFERROR(BQ25/BO25-1,"NA")</f>
        <v>6.1584773541296656E-2</v>
      </c>
      <c r="BR115" s="381">
        <f t="shared" si="197"/>
        <v>-0.57680648645417376</v>
      </c>
      <c r="BS115" s="381">
        <f t="shared" si="197"/>
        <v>0.39651675187552682</v>
      </c>
      <c r="BT115" s="381">
        <f t="shared" si="197"/>
        <v>0.73013519443978048</v>
      </c>
      <c r="BU115" s="466"/>
      <c r="BV115" s="514">
        <f>IFERROR(BV25/BT25-1,"NA")</f>
        <v>5.4746152716267593E-2</v>
      </c>
      <c r="BW115" s="381">
        <f t="shared" si="198"/>
        <v>-0.57395462234644645</v>
      </c>
      <c r="BX115" s="381">
        <f t="shared" si="198"/>
        <v>0.39306015713792397</v>
      </c>
      <c r="BY115" s="381">
        <f t="shared" si="198"/>
        <v>0.71030449363680326</v>
      </c>
      <c r="BZ115" s="466"/>
    </row>
    <row r="116" spans="1:78" s="102" customFormat="1" ht="14.1" customHeight="1" x14ac:dyDescent="0.2">
      <c r="A116"/>
      <c r="B116"/>
      <c r="C116" s="364" t="str">
        <f>C26</f>
        <v>Income Before Taxes</v>
      </c>
      <c r="D116" s="381"/>
      <c r="E116" s="381">
        <f t="shared" si="191"/>
        <v>0.51344274715602145</v>
      </c>
      <c r="F116" s="381">
        <f t="shared" si="191"/>
        <v>7.9649275212944293E-2</v>
      </c>
      <c r="G116" s="381">
        <f t="shared" si="191"/>
        <v>0.20201565611106664</v>
      </c>
      <c r="H116" s="381">
        <f t="shared" si="191"/>
        <v>0.88777385720282553</v>
      </c>
      <c r="I116" s="381">
        <f t="shared" si="191"/>
        <v>0.40650834052041374</v>
      </c>
      <c r="J116" s="524">
        <f t="shared" si="191"/>
        <v>-3.8906266023981395E-3</v>
      </c>
      <c r="K116" s="381">
        <f t="shared" si="192"/>
        <v>3.4415488638219083E-2</v>
      </c>
      <c r="L116" s="381">
        <f t="shared" si="192"/>
        <v>0.32430471915891967</v>
      </c>
      <c r="M116" s="381">
        <f t="shared" si="192"/>
        <v>0.27723412277297843</v>
      </c>
      <c r="N116" s="381">
        <f t="shared" si="192"/>
        <v>0.17212562289740907</v>
      </c>
      <c r="O116" s="466">
        <f t="shared" si="192"/>
        <v>0.13874929221112464</v>
      </c>
      <c r="R116" s="471" t="str">
        <f t="shared" si="122"/>
        <v>Income Before Taxes</v>
      </c>
      <c r="S116" s="381"/>
      <c r="T116" s="381">
        <f t="shared" ref="T116:AZ116" si="201">IFERROR(T26/S26-1,"NA")</f>
        <v>0.70056907615933794</v>
      </c>
      <c r="U116" s="381">
        <f t="shared" si="201"/>
        <v>-0.16625133499466138</v>
      </c>
      <c r="V116" s="381">
        <f t="shared" si="201"/>
        <v>-7.2459436379157416E-2</v>
      </c>
      <c r="W116" s="381"/>
      <c r="X116" s="514">
        <f>IFERROR(X26/V26-1,"NA")</f>
        <v>0.21787966671269743</v>
      </c>
      <c r="Y116" s="381">
        <f t="shared" si="201"/>
        <v>0.52150740852736255</v>
      </c>
      <c r="Z116" s="381">
        <f t="shared" si="201"/>
        <v>-7.023079025165968E-2</v>
      </c>
      <c r="AA116" s="381">
        <f t="shared" si="201"/>
        <v>-0.15304868273393279</v>
      </c>
      <c r="AB116" s="466"/>
      <c r="AC116" s="514">
        <f>IFERROR(AC26/AA26-1,"NA")</f>
        <v>-0.12985046375164755</v>
      </c>
      <c r="AD116" s="381">
        <f t="shared" si="201"/>
        <v>0.79113189761438063</v>
      </c>
      <c r="AE116" s="381">
        <f t="shared" si="201"/>
        <v>-0.11926401230694528</v>
      </c>
      <c r="AF116" s="381">
        <f t="shared" si="201"/>
        <v>-0.39886465491485135</v>
      </c>
      <c r="AG116" s="466"/>
      <c r="AH116" s="514">
        <f>IFERROR(AH26/AF26-1,"NA")</f>
        <v>0.4079752255696647</v>
      </c>
      <c r="AI116" s="381">
        <f t="shared" si="201"/>
        <v>-5.4009286664676415E-2</v>
      </c>
      <c r="AJ116" s="381">
        <f t="shared" si="201"/>
        <v>0.56246053160342457</v>
      </c>
      <c r="AK116" s="381">
        <f t="shared" si="201"/>
        <v>-7.8132750353645419E-2</v>
      </c>
      <c r="AL116" s="466"/>
      <c r="AM116" s="514">
        <f>IFERROR(AM26/AK26-1,"NA")</f>
        <v>-4.3583100836988686E-2</v>
      </c>
      <c r="AN116" s="381">
        <f t="shared" si="201"/>
        <v>0.71943825141166617</v>
      </c>
      <c r="AO116" s="381">
        <f t="shared" si="201"/>
        <v>0.27639025217823332</v>
      </c>
      <c r="AP116" s="381">
        <f t="shared" si="201"/>
        <v>-7.9740622240786929E-2</v>
      </c>
      <c r="AQ116" s="466"/>
      <c r="AR116" s="514">
        <f>IFERROR(AR26/AP26-1,"NA")</f>
        <v>5.769111730114207E-2</v>
      </c>
      <c r="AS116" s="381">
        <f t="shared" si="201"/>
        <v>0.4099998049199205</v>
      </c>
      <c r="AT116" s="381">
        <f t="shared" si="201"/>
        <v>-0.11656382301668577</v>
      </c>
      <c r="AU116" s="381">
        <f t="shared" si="201"/>
        <v>-0.26969758664432419</v>
      </c>
      <c r="AV116" s="466"/>
      <c r="AW116" s="514">
        <f>IFERROR(AW26/AU26-1,"NA")</f>
        <v>6.2553611254074326E-2</v>
      </c>
      <c r="AX116" s="381">
        <f t="shared" si="201"/>
        <v>0.22377848190679961</v>
      </c>
      <c r="AY116" s="381">
        <f t="shared" si="201"/>
        <v>7.3989478371290884E-2</v>
      </c>
      <c r="AZ116" s="381">
        <f t="shared" si="201"/>
        <v>-0.11239414343516085</v>
      </c>
      <c r="BA116" s="466"/>
      <c r="BB116" s="514">
        <f>IFERROR(BB26/AZ26-1,"NA")</f>
        <v>2.8587986990515679E-2</v>
      </c>
      <c r="BC116" s="381">
        <f t="shared" si="194"/>
        <v>0.140472446242212</v>
      </c>
      <c r="BD116" s="381">
        <f t="shared" si="194"/>
        <v>-9.540101904628584E-2</v>
      </c>
      <c r="BE116" s="381">
        <f t="shared" si="194"/>
        <v>-0.14359075292974799</v>
      </c>
      <c r="BF116" s="466"/>
      <c r="BG116" s="514">
        <f>IFERROR(BG26/BE26-1,"NA")</f>
        <v>0.48032546989771219</v>
      </c>
      <c r="BH116" s="381">
        <f t="shared" si="195"/>
        <v>0.2630926300656653</v>
      </c>
      <c r="BI116" s="381">
        <f t="shared" si="195"/>
        <v>-0.20829829572010261</v>
      </c>
      <c r="BJ116" s="381">
        <f t="shared" si="195"/>
        <v>-0.15658134716376781</v>
      </c>
      <c r="BK116" s="466"/>
      <c r="BL116" s="514">
        <f>IFERROR(BL26/BJ26-1,"NA")</f>
        <v>0.33954496844406101</v>
      </c>
      <c r="BM116" s="381">
        <f t="shared" si="196"/>
        <v>0.25982117596754706</v>
      </c>
      <c r="BN116" s="381">
        <f t="shared" si="196"/>
        <v>-2.9172412875014042E-2</v>
      </c>
      <c r="BO116" s="381">
        <f t="shared" si="196"/>
        <v>-5.1947531130016156E-2</v>
      </c>
      <c r="BP116" s="466"/>
      <c r="BQ116" s="514">
        <f>IFERROR(BQ26/BO26-1,"NA")</f>
        <v>1.8732757650870235E-2</v>
      </c>
      <c r="BR116" s="381">
        <f t="shared" si="197"/>
        <v>0.25077580688736889</v>
      </c>
      <c r="BS116" s="381">
        <f t="shared" si="197"/>
        <v>-3.050624076913E-2</v>
      </c>
      <c r="BT116" s="381">
        <f t="shared" si="197"/>
        <v>-5.7288848428939332E-2</v>
      </c>
      <c r="BU116" s="466"/>
      <c r="BV116" s="514">
        <f>IFERROR(BV26/BT26-1,"NA")</f>
        <v>-2.8713130358463679E-2</v>
      </c>
      <c r="BW116" s="381">
        <f t="shared" si="198"/>
        <v>0.29316755423997476</v>
      </c>
      <c r="BX116" s="381">
        <f t="shared" si="198"/>
        <v>-4.0243575335549453E-2</v>
      </c>
      <c r="BY116" s="381">
        <f t="shared" si="198"/>
        <v>-4.1053648445675051E-2</v>
      </c>
      <c r="BZ116" s="466"/>
    </row>
    <row r="117" spans="1:78" s="102" customFormat="1" ht="14.1" customHeight="1" x14ac:dyDescent="0.2">
      <c r="A117"/>
      <c r="B117"/>
      <c r="C117" s="364" t="str">
        <f>C29</f>
        <v>Net Income</v>
      </c>
      <c r="D117" s="381"/>
      <c r="E117" s="381">
        <f t="shared" ref="E117:J117" si="202">IFERROR(E29/D29-1,"NA")</f>
        <v>0.15200430159444411</v>
      </c>
      <c r="F117" s="381">
        <f t="shared" si="202"/>
        <v>8.3234109029251657E-2</v>
      </c>
      <c r="G117" s="381">
        <f t="shared" si="202"/>
        <v>0.21650735585082637</v>
      </c>
      <c r="H117" s="381">
        <f t="shared" si="202"/>
        <v>0.8305262396992894</v>
      </c>
      <c r="I117" s="381">
        <f t="shared" si="202"/>
        <v>0.41142417122435537</v>
      </c>
      <c r="J117" s="524">
        <f t="shared" si="202"/>
        <v>-7.1763909328446118E-3</v>
      </c>
      <c r="K117" s="381">
        <f>IFERROR(K29/J29-1,"NA")</f>
        <v>2.5994176142581482E-2</v>
      </c>
      <c r="L117" s="381">
        <f>IFERROR(L29/K29-1,"NA")</f>
        <v>0.31521685032602886</v>
      </c>
      <c r="M117" s="381">
        <f>IFERROR(M29/L29-1,"NA")</f>
        <v>0.28288267084295682</v>
      </c>
      <c r="N117" s="381">
        <f>IFERROR(N29/M29-1,"NA")</f>
        <v>0.18365291988597532</v>
      </c>
      <c r="O117" s="466">
        <f>IFERROR(O29/N29-1,"NA")</f>
        <v>0.13893102749329622</v>
      </c>
      <c r="R117" s="471" t="str">
        <f t="shared" si="122"/>
        <v>Net Income</v>
      </c>
      <c r="S117" s="381"/>
      <c r="T117" s="381">
        <f t="shared" ref="T117:AZ117" si="203">IFERROR(T29/S29-1,"NA")</f>
        <v>0.54480035103114965</v>
      </c>
      <c r="U117" s="381">
        <f t="shared" si="203"/>
        <v>-0.18155996137022301</v>
      </c>
      <c r="V117" s="381">
        <f t="shared" si="203"/>
        <v>2.3125563961963063</v>
      </c>
      <c r="W117" s="381"/>
      <c r="X117" s="514">
        <f>IFERROR(X29/V29-1,"NA")</f>
        <v>-0.55735059927918829</v>
      </c>
      <c r="Y117" s="381">
        <f t="shared" si="203"/>
        <v>0.43342011834319094</v>
      </c>
      <c r="Z117" s="381">
        <f t="shared" si="203"/>
        <v>-6.8888081635350762E-2</v>
      </c>
      <c r="AA117" s="381">
        <f t="shared" si="203"/>
        <v>-9.9840397233557976E-2</v>
      </c>
      <c r="AB117" s="466"/>
      <c r="AC117" s="514">
        <f>IFERROR(AC29/AA29-1,"NA")</f>
        <v>-0.1229708431835983</v>
      </c>
      <c r="AD117" s="381">
        <f t="shared" si="203"/>
        <v>0.66552855024933089</v>
      </c>
      <c r="AE117" s="381">
        <f t="shared" si="203"/>
        <v>-0.11072748361341189</v>
      </c>
      <c r="AF117" s="381">
        <f t="shared" si="203"/>
        <v>-0.35030939092453584</v>
      </c>
      <c r="AG117" s="466"/>
      <c r="AH117" s="514">
        <f>IFERROR(AH29/AF29-1,"NA")</f>
        <v>0.31243288668939462</v>
      </c>
      <c r="AI117" s="381">
        <f t="shared" si="203"/>
        <v>1.2201629255450319E-2</v>
      </c>
      <c r="AJ117" s="381">
        <f t="shared" si="203"/>
        <v>0.45986504533633599</v>
      </c>
      <c r="AK117" s="381">
        <f t="shared" si="203"/>
        <v>-3.1368111894845563E-2</v>
      </c>
      <c r="AL117" s="466"/>
      <c r="AM117" s="514">
        <f>IFERROR(AM29/AK29-1,"NA")</f>
        <v>-7.31931603539141E-2</v>
      </c>
      <c r="AN117" s="381">
        <f t="shared" si="203"/>
        <v>0.67531039661044479</v>
      </c>
      <c r="AO117" s="381">
        <f t="shared" si="203"/>
        <v>0.2759227838780931</v>
      </c>
      <c r="AP117" s="381">
        <f t="shared" si="203"/>
        <v>-7.4693898032916484E-2</v>
      </c>
      <c r="AQ117" s="466"/>
      <c r="AR117" s="514">
        <f>IFERROR(AR29/AP29-1,"NA")</f>
        <v>7.6818785758828945E-2</v>
      </c>
      <c r="AS117" s="381">
        <f t="shared" si="203"/>
        <v>0.3754658541498801</v>
      </c>
      <c r="AT117" s="381">
        <f t="shared" si="203"/>
        <v>-0.10393153004714195</v>
      </c>
      <c r="AU117" s="381">
        <f t="shared" si="203"/>
        <v>-0.27611322797805793</v>
      </c>
      <c r="AV117" s="466"/>
      <c r="AW117" s="514">
        <f>IFERROR(AW29/AU29-1,"NA")</f>
        <v>7.3875984307526954E-2</v>
      </c>
      <c r="AX117" s="381">
        <f t="shared" si="203"/>
        <v>0.20003416691853859</v>
      </c>
      <c r="AY117" s="381">
        <f t="shared" si="203"/>
        <v>7.5493599360483055E-2</v>
      </c>
      <c r="AZ117" s="381">
        <f t="shared" si="203"/>
        <v>-9.1484833983275005E-2</v>
      </c>
      <c r="BA117" s="466"/>
      <c r="BB117" s="514">
        <f>IFERROR(BB29/AZ29-1,"NA")</f>
        <v>1.6441027480157855E-2</v>
      </c>
      <c r="BC117" s="381">
        <f>IFERROR(BC29/BB29-1,"NA")</f>
        <v>0.13037102376095877</v>
      </c>
      <c r="BD117" s="381">
        <f>IFERROR(BD29/BC29-1,"NA")</f>
        <v>-9.53091622040807E-2</v>
      </c>
      <c r="BE117" s="381">
        <f>IFERROR(BE29/BD29-1,"NA")</f>
        <v>-0.15772614651066885</v>
      </c>
      <c r="BF117" s="466"/>
      <c r="BG117" s="514">
        <f>IFERROR(BG29/BE29-1,"NA")</f>
        <v>0.49450165295211868</v>
      </c>
      <c r="BH117" s="381">
        <f>IFERROR(BH29/BG29-1,"NA")</f>
        <v>0.2638465427896155</v>
      </c>
      <c r="BI117" s="381">
        <f>IFERROR(BI29/BH29-1,"NA")</f>
        <v>-0.21087659729446284</v>
      </c>
      <c r="BJ117" s="381">
        <f>IFERROR(BJ29/BI29-1,"NA")</f>
        <v>-0.15744130473595819</v>
      </c>
      <c r="BK117" s="466"/>
      <c r="BL117" s="514">
        <f>IFERROR(BL29/BJ29-1,"NA")</f>
        <v>0.34692903917431428</v>
      </c>
      <c r="BM117" s="381">
        <f>IFERROR(BM29/BL29-1,"NA")</f>
        <v>0.25966806368911022</v>
      </c>
      <c r="BN117" s="381">
        <f>IFERROR(BN29/BM29-1,"NA")</f>
        <v>-2.9105673213873362E-2</v>
      </c>
      <c r="BO117" s="381">
        <f>IFERROR(BO29/BN29-1,"NA")</f>
        <v>-4.6477327432397852E-2</v>
      </c>
      <c r="BP117" s="466"/>
      <c r="BQ117" s="514">
        <f>IFERROR(BQ29/BO29-1,"NA")</f>
        <v>2.5233717325156446E-2</v>
      </c>
      <c r="BR117" s="381">
        <f>IFERROR(BR29/BQ29-1,"NA")</f>
        <v>0.24859533357982277</v>
      </c>
      <c r="BS117" s="381">
        <f>IFERROR(BS29/BR29-1,"NA")</f>
        <v>-3.0228799210258672E-2</v>
      </c>
      <c r="BT117" s="381">
        <f>IFERROR(BT29/BS29-1,"NA")</f>
        <v>-5.6056261608991798E-2</v>
      </c>
      <c r="BU117" s="466"/>
      <c r="BV117" s="514">
        <f>IFERROR(BV29/BT29-1,"NA")</f>
        <v>-2.8530030818153862E-2</v>
      </c>
      <c r="BW117" s="381">
        <f>IFERROR(BW29/BV29-1,"NA")</f>
        <v>0.29121497232666282</v>
      </c>
      <c r="BX117" s="381">
        <f>IFERROR(BX29/BW29-1,"NA")</f>
        <v>-4.0058970501866908E-2</v>
      </c>
      <c r="BY117" s="381">
        <f>IFERROR(BY29/BX29-1,"NA")</f>
        <v>-3.9834890684134261E-2</v>
      </c>
      <c r="BZ117" s="466"/>
    </row>
    <row r="118" spans="1:78" ht="14.1" customHeight="1" x14ac:dyDescent="0.2">
      <c r="C118" s="364"/>
      <c r="J118" s="502"/>
      <c r="O118" s="365"/>
      <c r="R118" s="364"/>
      <c r="X118" s="364"/>
      <c r="AB118" s="365"/>
      <c r="AC118" s="364"/>
      <c r="AG118" s="365"/>
      <c r="AH118" s="364"/>
      <c r="AL118" s="365"/>
      <c r="AM118" s="364"/>
      <c r="AQ118" s="365"/>
      <c r="AR118" s="364"/>
      <c r="AV118" s="365"/>
      <c r="AW118" s="364"/>
      <c r="BA118" s="365"/>
      <c r="BB118" s="364"/>
      <c r="BF118" s="365"/>
      <c r="BG118" s="364"/>
      <c r="BK118" s="365"/>
      <c r="BL118" s="364"/>
      <c r="BP118" s="365"/>
      <c r="BQ118" s="364"/>
      <c r="BU118" s="365"/>
      <c r="BV118" s="364"/>
      <c r="BZ118" s="365"/>
    </row>
    <row r="119" spans="1:78" ht="14.1" customHeight="1" x14ac:dyDescent="0.2">
      <c r="C119" s="445"/>
      <c r="D119" s="156"/>
      <c r="E119" s="156"/>
      <c r="F119" s="156"/>
      <c r="G119" s="156"/>
      <c r="H119" s="156"/>
      <c r="I119" s="156"/>
      <c r="J119" s="508"/>
      <c r="K119" s="156"/>
      <c r="L119" s="156"/>
      <c r="M119" s="156"/>
      <c r="N119" s="156"/>
      <c r="O119" s="470"/>
      <c r="R119" s="445"/>
      <c r="S119" s="156"/>
      <c r="T119" s="156"/>
      <c r="U119" s="156"/>
      <c r="V119" s="156"/>
      <c r="W119" s="156"/>
      <c r="X119" s="445"/>
      <c r="Y119" s="156"/>
      <c r="Z119" s="156"/>
      <c r="AA119" s="156"/>
      <c r="AB119" s="470"/>
      <c r="AC119" s="445"/>
      <c r="AD119" s="156"/>
      <c r="AE119" s="156"/>
      <c r="AF119" s="156"/>
      <c r="AG119" s="470"/>
      <c r="AH119" s="445"/>
      <c r="AI119" s="156"/>
      <c r="AJ119" s="156"/>
      <c r="AK119" s="156"/>
      <c r="AL119" s="470"/>
      <c r="AM119" s="445"/>
      <c r="AN119" s="156"/>
      <c r="AO119" s="156"/>
      <c r="AP119" s="156"/>
      <c r="AQ119" s="470"/>
      <c r="AR119" s="445"/>
      <c r="AS119" s="156"/>
      <c r="AT119" s="156"/>
      <c r="AU119" s="156"/>
      <c r="AV119" s="470"/>
      <c r="AW119" s="445"/>
      <c r="AX119" s="156"/>
      <c r="AY119" s="156"/>
      <c r="AZ119" s="156"/>
      <c r="BA119" s="470"/>
      <c r="BB119" s="445"/>
      <c r="BC119" s="156"/>
      <c r="BD119" s="156"/>
      <c r="BE119" s="156"/>
      <c r="BF119" s="470"/>
      <c r="BG119" s="445"/>
      <c r="BH119" s="156"/>
      <c r="BI119" s="156"/>
      <c r="BJ119" s="156"/>
      <c r="BK119" s="470"/>
      <c r="BL119" s="445"/>
      <c r="BM119" s="156"/>
      <c r="BN119" s="156"/>
      <c r="BO119" s="156"/>
      <c r="BP119" s="470"/>
      <c r="BQ119" s="445"/>
      <c r="BR119" s="156"/>
      <c r="BS119" s="156"/>
      <c r="BT119" s="156"/>
      <c r="BU119" s="470"/>
      <c r="BV119" s="445"/>
      <c r="BW119" s="156"/>
      <c r="BX119" s="156"/>
      <c r="BY119" s="156"/>
      <c r="BZ119" s="470"/>
    </row>
    <row r="121" spans="1:78" ht="14.1" customHeight="1" x14ac:dyDescent="0.2">
      <c r="C121" s="298" t="s">
        <v>485</v>
      </c>
      <c r="D121" s="107"/>
      <c r="E121" s="107"/>
      <c r="F121" s="107"/>
      <c r="G121" s="107"/>
      <c r="H121" s="107"/>
      <c r="I121" s="107"/>
      <c r="J121" s="504"/>
      <c r="K121" s="107"/>
      <c r="L121" s="107"/>
      <c r="M121" s="107"/>
      <c r="N121" s="107"/>
      <c r="O121" s="465"/>
      <c r="R121" s="440" t="str">
        <f>C121</f>
        <v>Adjustments for Operating Lease</v>
      </c>
      <c r="S121" s="107"/>
      <c r="T121" s="107"/>
      <c r="U121" s="107"/>
      <c r="V121" s="107"/>
      <c r="W121" s="107"/>
      <c r="X121" s="440"/>
      <c r="Y121" s="107"/>
      <c r="Z121" s="107"/>
      <c r="AA121" s="107"/>
      <c r="AB121" s="465"/>
      <c r="AC121" s="440"/>
      <c r="AD121" s="107"/>
      <c r="AE121" s="107"/>
      <c r="AF121" s="107"/>
      <c r="AG121" s="465"/>
      <c r="AH121" s="440"/>
      <c r="AI121" s="107"/>
      <c r="AJ121" s="107"/>
      <c r="AK121" s="107"/>
      <c r="AL121" s="465"/>
      <c r="AM121" s="440"/>
      <c r="AN121" s="107"/>
      <c r="AO121" s="107"/>
      <c r="AP121" s="107"/>
      <c r="AQ121" s="465"/>
      <c r="AR121" s="440"/>
      <c r="AS121" s="107"/>
      <c r="AT121" s="107"/>
      <c r="AU121" s="107"/>
      <c r="AV121" s="465"/>
      <c r="AW121" s="440"/>
      <c r="AX121" s="107"/>
      <c r="AY121" s="107"/>
      <c r="AZ121" s="107"/>
      <c r="BA121" s="465"/>
      <c r="BB121" s="440"/>
      <c r="BC121" s="107"/>
      <c r="BD121" s="107"/>
      <c r="BE121" s="107"/>
      <c r="BF121" s="465"/>
      <c r="BG121" s="440"/>
      <c r="BH121" s="107"/>
      <c r="BI121" s="107"/>
      <c r="BJ121" s="107"/>
      <c r="BK121" s="465"/>
      <c r="BL121" s="440"/>
      <c r="BM121" s="107"/>
      <c r="BN121" s="107"/>
      <c r="BO121" s="107"/>
      <c r="BP121" s="465"/>
      <c r="BQ121" s="440"/>
      <c r="BR121" s="107"/>
      <c r="BS121" s="107"/>
      <c r="BT121" s="107"/>
      <c r="BU121" s="465"/>
      <c r="BV121" s="440"/>
      <c r="BW121" s="107"/>
      <c r="BX121" s="107"/>
      <c r="BY121" s="107"/>
      <c r="BZ121" s="465"/>
    </row>
    <row r="122" spans="1:78" ht="14.1" customHeight="1" x14ac:dyDescent="0.2">
      <c r="C122" s="462" t="s">
        <v>486</v>
      </c>
      <c r="G122" s="60">
        <f>'WACC &amp; Capital Structure'!F64*'WACC &amp; Capital Structure'!F58</f>
        <v>5.0524320000000005</v>
      </c>
      <c r="H122" s="60">
        <f>'WACC &amp; Capital Structure'!G64*'WACC &amp; Capital Structure'!G58</f>
        <v>5.4299100000000005</v>
      </c>
      <c r="I122" s="60">
        <f>'WACC &amp; Capital Structure'!H64*'WACC &amp; Capital Structure'!H58</f>
        <v>4.9488300000000001</v>
      </c>
      <c r="J122" s="502">
        <f>'WACC &amp; Capital Structure'!I64*'WACC &amp; Capital Structure'!I58</f>
        <v>6.2988059999999999</v>
      </c>
      <c r="K122" s="60">
        <f>BF122</f>
        <v>6.5944935000000005</v>
      </c>
      <c r="L122" s="60">
        <f>BK122</f>
        <v>7.0532088807102689</v>
      </c>
      <c r="M122" s="60">
        <f>BP122</f>
        <v>7.921279359525232</v>
      </c>
      <c r="N122" s="60">
        <f>BU122</f>
        <v>8.7734389554108798</v>
      </c>
      <c r="O122" s="365">
        <f>BZ122</f>
        <v>9.5026271945262639</v>
      </c>
      <c r="R122" s="462" t="str">
        <f>C122</f>
        <v xml:space="preserve">Implied Interest Payments </v>
      </c>
      <c r="X122" s="364"/>
      <c r="AB122" s="365"/>
      <c r="AC122" s="364"/>
      <c r="AG122" s="365"/>
      <c r="AH122" s="364">
        <f>'WACC &amp; Capital Structure'!AG64*('WACC &amp; Capital Structure'!AG58/4)</f>
        <v>1.2631080000000001</v>
      </c>
      <c r="AI122" s="60">
        <f>'WACC &amp; Capital Structure'!AH64*('WACC &amp; Capital Structure'!AH58/4)</f>
        <v>1.45665925</v>
      </c>
      <c r="AJ122" s="60">
        <f>'WACC &amp; Capital Structure'!AI64*('WACC &amp; Capital Structure'!AI58/4)</f>
        <v>1.4555194999999999</v>
      </c>
      <c r="AK122" s="60">
        <f>'WACC &amp; Capital Structure'!AJ64*('WACC &amp; Capital Structure'!AJ58/4)</f>
        <v>1.4003062500000001</v>
      </c>
      <c r="AL122" s="365">
        <f>SUM(AH122:AK122)</f>
        <v>5.5755929999999996</v>
      </c>
      <c r="AM122" s="364">
        <f>'WACC &amp; Capital Structure'!AL64*('WACC &amp; Capital Structure'!AL58/4)</f>
        <v>1.3574775000000001</v>
      </c>
      <c r="AN122" s="60">
        <f>'WACC &amp; Capital Structure'!AM64*('WACC &amp; Capital Structure'!AM58/4)</f>
        <v>1.2791474999999999</v>
      </c>
      <c r="AO122" s="60">
        <f>'WACC &amp; Capital Structure'!AN64*('WACC &amp; Capital Structure'!AN58/4)</f>
        <v>1.2146849999999998</v>
      </c>
      <c r="AP122" s="60">
        <f>'WACC &amp; Capital Structure'!AO64*('WACC &amp; Capital Structure'!AO58/4)</f>
        <v>1.2046049999999999</v>
      </c>
      <c r="AQ122" s="365">
        <f>SUM(AM122:AP122)</f>
        <v>5.0559149999999997</v>
      </c>
      <c r="AR122" s="364">
        <f>'WACC &amp; Capital Structure'!AQ64*('WACC &amp; Capital Structure'!AQ58/4)</f>
        <v>1.2372075</v>
      </c>
      <c r="AS122" s="60">
        <f>'WACC &amp; Capital Structure'!AR64*('WACC &amp; Capital Structure'!AR58/4)</f>
        <v>1.35215025</v>
      </c>
      <c r="AT122" s="60">
        <f>'WACC &amp; Capital Structure'!AS64*('WACC &amp; Capital Structure'!AS58/4)</f>
        <v>1.3728817499999999</v>
      </c>
      <c r="AU122" s="60">
        <f>'WACC &amp; Capital Structure'!AT64*('WACC &amp; Capital Structure'!AT58/4)</f>
        <v>1.4042595</v>
      </c>
      <c r="AV122" s="365">
        <f>SUM(AR122:AU122)</f>
        <v>5.3664990000000001</v>
      </c>
      <c r="AW122" s="364">
        <f>'WACC &amp; Capital Structure'!AV64*('WACC &amp; Capital Structure'!AV58/4)</f>
        <v>1.5747015</v>
      </c>
      <c r="AX122" s="60">
        <f>'WACC &amp; Capital Structure'!AW64*('WACC &amp; Capital Structure'!AW58/4)</f>
        <v>1.6052175</v>
      </c>
      <c r="AY122" s="60">
        <f>'WACC &amp; Capital Structure'!AX64*('WACC &amp; Capital Structure'!AX58/4)</f>
        <v>1.5376365000000001</v>
      </c>
      <c r="AZ122" s="60">
        <f>'WACC &amp; Capital Structure'!AY64*('WACC &amp; Capital Structure'!AY58/4)</f>
        <v>1.7503154999999999</v>
      </c>
      <c r="BA122" s="365">
        <f>SUM(AW122:AZ122)</f>
        <v>6.4678709999999997</v>
      </c>
      <c r="BB122" s="364">
        <f>'WACC &amp; Capital Structure'!BA64*('WACC &amp; Capital Structure'!BA58/4)</f>
        <v>1.6499565</v>
      </c>
      <c r="BC122" s="60">
        <f>'WACC &amp; Capital Structure'!BB64*('WACC &amp; Capital Structure'!BB58/4)</f>
        <v>1.6836659999999999</v>
      </c>
      <c r="BD122" s="60">
        <f>'WACC &amp; Capital Structure'!BC64*('WACC &amp; Capital Structure'!BC58/4)</f>
        <v>1.6678170000000001</v>
      </c>
      <c r="BE122" s="60">
        <f>'WACC &amp; Capital Structure'!BD64*('WACC &amp; Capital Structure'!BD58/4)</f>
        <v>1.593054</v>
      </c>
      <c r="BF122" s="365">
        <f>SUM(BB122:BE122)</f>
        <v>6.5944935000000005</v>
      </c>
      <c r="BG122" s="364">
        <f>('Balance Sheet'!BF30+'Balance Sheet'!BF38)*'WACC &amp; Capital Structure'!$K$58/4</f>
        <v>1.5770889748416939</v>
      </c>
      <c r="BH122" s="60">
        <f>('Balance Sheet'!BG30+'Balance Sheet'!BG38)*'WACC &amp; Capital Structure'!$K$58/4</f>
        <v>1.8706017529083019</v>
      </c>
      <c r="BI122" s="60">
        <f>('Balance Sheet'!BH30+'Balance Sheet'!BH38)*'WACC &amp; Capital Structure'!$K$58/4</f>
        <v>1.8636756615837564</v>
      </c>
      <c r="BJ122" s="60">
        <f>('Balance Sheet'!BI30+'Balance Sheet'!BI38)*'WACC &amp; Capital Structure'!$K$58/4</f>
        <v>1.7418424913765167</v>
      </c>
      <c r="BK122" s="365">
        <f>SUM(BG122:BJ122)</f>
        <v>7.0532088807102689</v>
      </c>
      <c r="BL122" s="364">
        <f>('Balance Sheet'!BK30+'Balance Sheet'!BK38)*'WACC &amp; Capital Structure'!$L$58/4</f>
        <v>1.6822067581877012</v>
      </c>
      <c r="BM122" s="60">
        <f>('Balance Sheet'!BL30+'Balance Sheet'!BL38)*'WACC &amp; Capital Structure'!$L$58/4</f>
        <v>2.1202313495238458</v>
      </c>
      <c r="BN122" s="60">
        <f>('Balance Sheet'!BM30+'Balance Sheet'!BM38)*'WACC &amp; Capital Structure'!$L$58/4</f>
        <v>2.122218205096932</v>
      </c>
      <c r="BO122" s="60">
        <f>('Balance Sheet'!BN30+'Balance Sheet'!BN38)*'WACC &amp; Capital Structure'!$L$58/4</f>
        <v>1.9966230467167536</v>
      </c>
      <c r="BP122" s="365">
        <f>SUM(BL122:BO122)</f>
        <v>7.921279359525232</v>
      </c>
      <c r="BQ122" s="364">
        <f>('Balance Sheet'!BP30+'Balance Sheet'!BP38)*'WACC &amp; Capital Structure'!$M$58/4</f>
        <v>1.9757834914052148</v>
      </c>
      <c r="BR122" s="60">
        <f>('Balance Sheet'!BQ30+'Balance Sheet'!BQ38)*'WACC &amp; Capital Structure'!$M$58/4</f>
        <v>2.3006386971124324</v>
      </c>
      <c r="BS122" s="60">
        <f>('Balance Sheet'!BR30+'Balance Sheet'!BR38)*'WACC &amp; Capital Structure'!$M$58/4</f>
        <v>2.311564253574609</v>
      </c>
      <c r="BT122" s="60">
        <f>('Balance Sheet'!BS30+'Balance Sheet'!BS38)*'WACC &amp; Capital Structure'!$M$58/4</f>
        <v>2.1854525133186238</v>
      </c>
      <c r="BU122" s="365">
        <f>SUM(BQ122:BT122)</f>
        <v>8.7734389554108798</v>
      </c>
      <c r="BV122" s="60">
        <f>('Balance Sheet'!BU30+'Balance Sheet'!BU38)*'WACC &amp; Capital Structure'!$N$58/4</f>
        <v>2.1446638224270944</v>
      </c>
      <c r="BW122" s="60">
        <f>('Balance Sheet'!BV30+'Balance Sheet'!BV38)*'WACC &amp; Capital Structure'!$N$58/4</f>
        <v>2.4811988037224282</v>
      </c>
      <c r="BX122" s="60">
        <f>('Balance Sheet'!BW30+'Balance Sheet'!BW38)*'WACC &amp; Capital Structure'!$N$58/4</f>
        <v>2.5097818129443326</v>
      </c>
      <c r="BY122" s="60">
        <f>('Balance Sheet'!BX30+'Balance Sheet'!BX38)*'WACC &amp; Capital Structure'!$N$58/4</f>
        <v>2.3669827554324083</v>
      </c>
      <c r="BZ122" s="365">
        <f>SUM(BV122:BY122)</f>
        <v>9.5026271945262639</v>
      </c>
    </row>
    <row r="123" spans="1:78" ht="14.1" customHeight="1" x14ac:dyDescent="0.2">
      <c r="C123" s="953" t="str">
        <f>"Interest Payment:"</f>
        <v>Interest Payment:</v>
      </c>
      <c r="J123" s="502"/>
      <c r="O123" s="365"/>
      <c r="R123" s="953" t="str">
        <f>C123</f>
        <v>Interest Payment:</v>
      </c>
      <c r="X123" s="364"/>
      <c r="AB123" s="365"/>
      <c r="AC123" s="364"/>
      <c r="AG123" s="365"/>
      <c r="AH123" s="364"/>
      <c r="AL123" s="365"/>
      <c r="AM123" s="364"/>
      <c r="AQ123" s="365"/>
      <c r="AR123" s="364"/>
      <c r="AV123" s="365"/>
      <c r="AW123" s="364"/>
      <c r="BA123" s="365"/>
      <c r="BB123" s="364"/>
      <c r="BF123" s="365"/>
      <c r="BG123" s="364"/>
      <c r="BK123" s="365"/>
      <c r="BL123" s="364"/>
      <c r="BP123" s="365"/>
      <c r="BQ123" s="364"/>
      <c r="BU123" s="365"/>
      <c r="BV123" s="364"/>
      <c r="BZ123" s="365"/>
    </row>
    <row r="124" spans="1:78" ht="14.1" customHeight="1" x14ac:dyDescent="0.2">
      <c r="C124" s="462" t="str">
        <f>"Short Term Debt "&amp;C123</f>
        <v>Short Term Debt Interest Payment:</v>
      </c>
      <c r="J124" s="502"/>
      <c r="K124" s="60">
        <f>'WACC &amp; Capital Structure'!J56*'WACC &amp; Capital Structure'!J62</f>
        <v>0</v>
      </c>
      <c r="L124" s="60">
        <f>'WACC &amp; Capital Structure'!K56*'WACC &amp; Capital Structure'!K62</f>
        <v>0</v>
      </c>
      <c r="M124" s="60">
        <f>'WACC &amp; Capital Structure'!L56*'WACC &amp; Capital Structure'!L62</f>
        <v>0</v>
      </c>
      <c r="N124" s="60">
        <f>'WACC &amp; Capital Structure'!M56*'WACC &amp; Capital Structure'!M62</f>
        <v>0</v>
      </c>
      <c r="O124" s="365">
        <f>'WACC &amp; Capital Structure'!N56*'WACC &amp; Capital Structure'!N62</f>
        <v>0</v>
      </c>
      <c r="R124" s="364" t="str">
        <f>C124</f>
        <v>Short Term Debt Interest Payment:</v>
      </c>
      <c r="X124" s="364"/>
      <c r="AB124" s="365"/>
      <c r="AC124" s="364"/>
      <c r="AG124" s="365"/>
      <c r="AH124" s="364"/>
      <c r="AL124" s="365"/>
      <c r="AM124" s="364"/>
      <c r="AQ124" s="365"/>
      <c r="AR124" s="364"/>
      <c r="AV124" s="365"/>
      <c r="AW124" s="364"/>
      <c r="BA124" s="365"/>
      <c r="BB124" s="364"/>
      <c r="BE124" s="60">
        <f>'WACC &amp; Capital Structure'!BD56*('WACC &amp; Capital Structure'!BD62/4)</f>
        <v>0</v>
      </c>
      <c r="BF124" s="365">
        <f>SUM(BB124:BE124)</f>
        <v>0</v>
      </c>
      <c r="BG124" s="364">
        <f>'WACC &amp; Capital Structure'!BF56*('WACC &amp; Capital Structure'!BF62/4)</f>
        <v>0</v>
      </c>
      <c r="BH124" s="60">
        <f>'WACC &amp; Capital Structure'!BG56*('WACC &amp; Capital Structure'!BG62/4)</f>
        <v>0</v>
      </c>
      <c r="BI124" s="60">
        <f>'WACC &amp; Capital Structure'!BH56*('WACC &amp; Capital Structure'!BH62/4)</f>
        <v>0</v>
      </c>
      <c r="BJ124" s="60">
        <f>'WACC &amp; Capital Structure'!BI56*('WACC &amp; Capital Structure'!BI62/4)</f>
        <v>0</v>
      </c>
      <c r="BK124" s="365">
        <f>SUM(BG124:BJ124)</f>
        <v>0</v>
      </c>
      <c r="BL124" s="364">
        <f>'WACC &amp; Capital Structure'!BK56*('WACC &amp; Capital Structure'!BK62/4)</f>
        <v>0</v>
      </c>
      <c r="BM124" s="60">
        <f>'WACC &amp; Capital Structure'!BL56*('WACC &amp; Capital Structure'!BL62/4)</f>
        <v>0</v>
      </c>
      <c r="BN124" s="60">
        <f>'WACC &amp; Capital Structure'!BM56*('WACC &amp; Capital Structure'!BM62/4)</f>
        <v>0</v>
      </c>
      <c r="BO124" s="60">
        <f>'WACC &amp; Capital Structure'!BN56*('WACC &amp; Capital Structure'!BN62/4)</f>
        <v>0</v>
      </c>
      <c r="BP124" s="365">
        <f>SUM(BL124:BO124)</f>
        <v>0</v>
      </c>
      <c r="BQ124" s="364">
        <f>'WACC &amp; Capital Structure'!BP56*('WACC &amp; Capital Structure'!BP62/4)</f>
        <v>0</v>
      </c>
      <c r="BR124" s="60">
        <f>'WACC &amp; Capital Structure'!BQ56*('WACC &amp; Capital Structure'!BQ62/4)</f>
        <v>0</v>
      </c>
      <c r="BS124" s="60">
        <f>'WACC &amp; Capital Structure'!BR56*('WACC &amp; Capital Structure'!BR62/4)</f>
        <v>0</v>
      </c>
      <c r="BT124" s="60">
        <f>'WACC &amp; Capital Structure'!BS56*('WACC &amp; Capital Structure'!BS62/4)</f>
        <v>0</v>
      </c>
      <c r="BU124" s="365">
        <f>SUM(BQ124:BT124)</f>
        <v>0</v>
      </c>
      <c r="BV124" s="364">
        <f>'WACC &amp; Capital Structure'!BU56*('WACC &amp; Capital Structure'!BU62/4)</f>
        <v>0</v>
      </c>
      <c r="BW124" s="60">
        <f>'WACC &amp; Capital Structure'!BV56*('WACC &amp; Capital Structure'!BV62/4)</f>
        <v>0</v>
      </c>
      <c r="BX124" s="60">
        <f>'WACC &amp; Capital Structure'!BW56*('WACC &amp; Capital Structure'!BW62/4)</f>
        <v>0</v>
      </c>
      <c r="BY124" s="60">
        <f>'WACC &amp; Capital Structure'!BX56*('WACC &amp; Capital Structure'!BX62/4)</f>
        <v>0</v>
      </c>
      <c r="BZ124" s="365">
        <f>SUM(BV124:BY124)</f>
        <v>0</v>
      </c>
    </row>
    <row r="125" spans="1:78" ht="14.1" customHeight="1" x14ac:dyDescent="0.2">
      <c r="C125" s="954" t="str">
        <f>"Long Term Debt "&amp;C123</f>
        <v>Long Term Debt Interest Payment:</v>
      </c>
      <c r="D125" s="156"/>
      <c r="E125" s="156"/>
      <c r="F125" s="156"/>
      <c r="G125" s="156"/>
      <c r="H125" s="156"/>
      <c r="I125" s="156"/>
      <c r="J125" s="508"/>
      <c r="K125" s="156">
        <f>('WACC &amp; Capital Structure'!J57*'WACC &amp; Capital Structure'!J63)+('WACC &amp; Capital Structure'!J65*'WACC &amp; Capital Structure'!J59)+('WACC &amp; Capital Structure'!J60*'WACC &amp; Capital Structure'!J66)</f>
        <v>0.65952</v>
      </c>
      <c r="L125" s="156">
        <f>('WACC &amp; Capital Structure'!K57*'WACC &amp; Capital Structure'!K63)+('WACC &amp; Capital Structure'!K65*'WACC &amp; Capital Structure'!K59)+('WACC &amp; Capital Structure'!K60*'WACC &amp; Capital Structure'!K66)</f>
        <v>12.177139</v>
      </c>
      <c r="M125" s="156">
        <f>('WACC &amp; Capital Structure'!L57*'WACC &amp; Capital Structure'!L63)+('WACC &amp; Capital Structure'!L65*'WACC &amp; Capital Structure'!L59)+('WACC &amp; Capital Structure'!L60*'WACC &amp; Capital Structure'!L66)</f>
        <v>0</v>
      </c>
      <c r="N125" s="156">
        <f>('WACC &amp; Capital Structure'!M57*'WACC &amp; Capital Structure'!M63)+('WACC &amp; Capital Structure'!M65*'WACC &amp; Capital Structure'!M59)+('WACC &amp; Capital Structure'!M60*'WACC &amp; Capital Structure'!M66)</f>
        <v>0</v>
      </c>
      <c r="O125" s="470">
        <f>('WACC &amp; Capital Structure'!N57*'WACC &amp; Capital Structure'!N63)+('WACC &amp; Capital Structure'!N65*'WACC &amp; Capital Structure'!N59)+('WACC &amp; Capital Structure'!N60*'WACC &amp; Capital Structure'!N66)</f>
        <v>0</v>
      </c>
      <c r="R125" s="445" t="str">
        <f>C125</f>
        <v>Long Term Debt Interest Payment:</v>
      </c>
      <c r="S125" s="156"/>
      <c r="T125" s="156"/>
      <c r="U125" s="156"/>
      <c r="V125" s="156"/>
      <c r="W125" s="156"/>
      <c r="X125" s="445"/>
      <c r="Y125" s="156"/>
      <c r="Z125" s="156"/>
      <c r="AA125" s="156"/>
      <c r="AB125" s="470"/>
      <c r="AC125" s="445"/>
      <c r="AD125" s="156"/>
      <c r="AE125" s="156"/>
      <c r="AF125" s="156"/>
      <c r="AG125" s="470"/>
      <c r="AH125" s="445"/>
      <c r="AI125" s="156"/>
      <c r="AJ125" s="156"/>
      <c r="AK125" s="156"/>
      <c r="AL125" s="470"/>
      <c r="AM125" s="445"/>
      <c r="AN125" s="156"/>
      <c r="AO125" s="156"/>
      <c r="AP125" s="156"/>
      <c r="AQ125" s="470"/>
      <c r="AR125" s="445"/>
      <c r="AS125" s="156"/>
      <c r="AT125" s="156"/>
      <c r="AU125" s="156"/>
      <c r="AV125" s="470"/>
      <c r="AW125" s="445"/>
      <c r="AX125" s="156"/>
      <c r="AY125" s="156"/>
      <c r="AZ125" s="156"/>
      <c r="BA125" s="470"/>
      <c r="BB125" s="445"/>
      <c r="BC125" s="156"/>
      <c r="BD125" s="156"/>
      <c r="BE125" s="156">
        <f>('WACC &amp; Capital Structure'!BD57*('WACC &amp; Capital Structure'!BD63/4))+('WACC &amp; Capital Structure'!BD65*('WACC &amp; Capital Structure'!BD59/4))+('WACC &amp; Capital Structure'!BD60*('WACC &amp; Capital Structure'!BD66/4))</f>
        <v>3.03587075</v>
      </c>
      <c r="BF125" s="470">
        <f>SUM(BB125:BE125)</f>
        <v>3.03587075</v>
      </c>
      <c r="BG125" s="445">
        <f>('WACC &amp; Capital Structure'!BF57*('WACC &amp; Capital Structure'!BF63/4))+('WACC &amp; Capital Structure'!BF65*('WACC &amp; Capital Structure'!BF59/4))+('WACC &amp; Capital Structure'!BF60*('WACC &amp; Capital Structure'!BF66/4))</f>
        <v>3.0442847500000001</v>
      </c>
      <c r="BH125" s="156">
        <f>('WACC &amp; Capital Structure'!BG57*('WACC &amp; Capital Structure'!BG63/4))+('WACC &amp; Capital Structure'!BG65*('WACC &amp; Capital Structure'!BG59/4))+('WACC &amp; Capital Structure'!BG60*('WACC &amp; Capital Structure'!BG66/4))</f>
        <v>3.0442847500000001</v>
      </c>
      <c r="BI125" s="156">
        <f>('WACC &amp; Capital Structure'!BH57*('WACC &amp; Capital Structure'!BH63/4))+('WACC &amp; Capital Structure'!BH65*('WACC &amp; Capital Structure'!BH59/4))+('WACC &amp; Capital Structure'!BH60*('WACC &amp; Capital Structure'!BH66/4))</f>
        <v>3.0442847500000001</v>
      </c>
      <c r="BJ125" s="156">
        <f>('WACC &amp; Capital Structure'!BI57*('WACC &amp; Capital Structure'!BI63/4))+('WACC &amp; Capital Structure'!BI65*('WACC &amp; Capital Structure'!BI59/4))+('WACC &amp; Capital Structure'!BI60*('WACC &amp; Capital Structure'!BI66/4))</f>
        <v>3.0442847500000001</v>
      </c>
      <c r="BK125" s="470">
        <f>SUM(BG125:BJ125)</f>
        <v>12.177139</v>
      </c>
      <c r="BL125" s="445">
        <f>('WACC &amp; Capital Structure'!BK57*('WACC &amp; Capital Structure'!BK63/4))+('WACC &amp; Capital Structure'!BK65*('WACC &amp; Capital Structure'!BK59/4))+('WACC &amp; Capital Structure'!BK60*('WACC &amp; Capital Structure'!BK66/4))</f>
        <v>3.0442847500000001</v>
      </c>
      <c r="BM125" s="156">
        <f>('WACC &amp; Capital Structure'!BL57*('WACC &amp; Capital Structure'!BL63/4))+('WACC &amp; Capital Structure'!BL65*('WACC &amp; Capital Structure'!BL59/4))+('WACC &amp; Capital Structure'!BL60*('WACC &amp; Capital Structure'!BL66/4))</f>
        <v>3.0442847500000001</v>
      </c>
      <c r="BN125" s="156">
        <f>('WACC &amp; Capital Structure'!BM57*('WACC &amp; Capital Structure'!BM63/4))+('WACC &amp; Capital Structure'!BM65*('WACC &amp; Capital Structure'!BM59/4))+('WACC &amp; Capital Structure'!BM60*('WACC &amp; Capital Structure'!BM66/4))</f>
        <v>3.0442847500000001</v>
      </c>
      <c r="BO125" s="156">
        <f>('WACC &amp; Capital Structure'!BN57*('WACC &amp; Capital Structure'!BN63/4))+('WACC &amp; Capital Structure'!BN65*('WACC &amp; Capital Structure'!BN59/4))+('WACC &amp; Capital Structure'!BN60*('WACC &amp; Capital Structure'!BN66/4))</f>
        <v>1.5225</v>
      </c>
      <c r="BP125" s="470">
        <f>SUM(BL125:BO125)</f>
        <v>10.655354250000002</v>
      </c>
      <c r="BQ125" s="445">
        <f>('WACC &amp; Capital Structure'!BP57*('WACC &amp; Capital Structure'!BP63/4))+('WACC &amp; Capital Structure'!BP65*('WACC &amp; Capital Structure'!BP59/4))+('WACC &amp; Capital Structure'!BP60*('WACC &amp; Capital Structure'!BP66/4))</f>
        <v>0</v>
      </c>
      <c r="BR125" s="156">
        <f>('WACC &amp; Capital Structure'!BQ57*('WACC &amp; Capital Structure'!BQ63/4))+('WACC &amp; Capital Structure'!BQ65*('WACC &amp; Capital Structure'!BQ59/4))+('WACC &amp; Capital Structure'!BQ60*('WACC &amp; Capital Structure'!BQ66/4))</f>
        <v>0</v>
      </c>
      <c r="BS125" s="156">
        <f>('WACC &amp; Capital Structure'!BR57*('WACC &amp; Capital Structure'!BR63/4))+('WACC &amp; Capital Structure'!BR65*('WACC &amp; Capital Structure'!BR59/4))+('WACC &amp; Capital Structure'!BR60*('WACC &amp; Capital Structure'!BR66/4))</f>
        <v>0</v>
      </c>
      <c r="BT125" s="156">
        <f>('WACC &amp; Capital Structure'!BS57*('WACC &amp; Capital Structure'!BS63/4))+('WACC &amp; Capital Structure'!BS65*('WACC &amp; Capital Structure'!BS59/4))+('WACC &amp; Capital Structure'!BS60*('WACC &amp; Capital Structure'!BS66/4))</f>
        <v>0</v>
      </c>
      <c r="BU125" s="470">
        <f>SUM(BQ125:BT125)</f>
        <v>0</v>
      </c>
      <c r="BV125" s="445">
        <f>('WACC &amp; Capital Structure'!BU57*('WACC &amp; Capital Structure'!BU63/4))+('WACC &amp; Capital Structure'!BU65*('WACC &amp; Capital Structure'!BU59/4))+('WACC &amp; Capital Structure'!BU60*('WACC &amp; Capital Structure'!BU66/4))</f>
        <v>0</v>
      </c>
      <c r="BW125" s="156">
        <f>('WACC &amp; Capital Structure'!BV57*('WACC &amp; Capital Structure'!BV63/4))+('WACC &amp; Capital Structure'!BV65*('WACC &amp; Capital Structure'!BV59/4))+('WACC &amp; Capital Structure'!BV60*('WACC &amp; Capital Structure'!BV66/4))</f>
        <v>0</v>
      </c>
      <c r="BX125" s="156">
        <f>('WACC &amp; Capital Structure'!BW57*('WACC &amp; Capital Structure'!BW63/4))+('WACC &amp; Capital Structure'!BW65*('WACC &amp; Capital Structure'!BW59/4))+('WACC &amp; Capital Structure'!BW60*('WACC &amp; Capital Structure'!BW66/4))</f>
        <v>0</v>
      </c>
      <c r="BY125" s="156">
        <f>('WACC &amp; Capital Structure'!BX57*('WACC &amp; Capital Structure'!BX63/4))+('WACC &amp; Capital Structure'!BX65*('WACC &amp; Capital Structure'!BX59/4))+('WACC &amp; Capital Structure'!BX60*('WACC &amp; Capital Structure'!BX66/4))</f>
        <v>0</v>
      </c>
      <c r="BZ125" s="470">
        <f>SUM(BV125:BY125)</f>
        <v>0</v>
      </c>
    </row>
    <row r="128" spans="1:78" ht="14.1" customHeight="1" x14ac:dyDescent="0.2">
      <c r="J128" s="952"/>
    </row>
  </sheetData>
  <mergeCells count="44">
    <mergeCell ref="P3:Q7"/>
    <mergeCell ref="S101:W101"/>
    <mergeCell ref="X101:AB101"/>
    <mergeCell ref="AC101:AG101"/>
    <mergeCell ref="AH101:AL101"/>
    <mergeCell ref="R3:AZ3"/>
    <mergeCell ref="R4:BA4"/>
    <mergeCell ref="R54:AZ54"/>
    <mergeCell ref="R55:BA55"/>
    <mergeCell ref="S57:W57"/>
    <mergeCell ref="X57:AB57"/>
    <mergeCell ref="AC57:AG57"/>
    <mergeCell ref="AH57:AL57"/>
    <mergeCell ref="AM57:AQ57"/>
    <mergeCell ref="AR57:AV57"/>
    <mergeCell ref="AW57:BA57"/>
    <mergeCell ref="BL101:BP101"/>
    <mergeCell ref="BQ101:BU101"/>
    <mergeCell ref="BV101:BZ101"/>
    <mergeCell ref="R99:BA99"/>
    <mergeCell ref="R98:AZ98"/>
    <mergeCell ref="AM101:AQ101"/>
    <mergeCell ref="AR101:AV101"/>
    <mergeCell ref="AW101:BA101"/>
    <mergeCell ref="BB101:BF101"/>
    <mergeCell ref="BG101:BK101"/>
    <mergeCell ref="BB57:BF57"/>
    <mergeCell ref="BG57:BK57"/>
    <mergeCell ref="BL57:BP57"/>
    <mergeCell ref="BQ57:BU57"/>
    <mergeCell ref="BV57:BZ57"/>
    <mergeCell ref="CA5:CE5"/>
    <mergeCell ref="AW5:BA5"/>
    <mergeCell ref="BB5:BF5"/>
    <mergeCell ref="BG5:BK5"/>
    <mergeCell ref="BL5:BP5"/>
    <mergeCell ref="BQ5:BU5"/>
    <mergeCell ref="BV5:BZ5"/>
    <mergeCell ref="AR5:AV5"/>
    <mergeCell ref="S5:W5"/>
    <mergeCell ref="X5:AB5"/>
    <mergeCell ref="AC5:AG5"/>
    <mergeCell ref="AH5:AL5"/>
    <mergeCell ref="AM5:AQ5"/>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2FB41-367A-4D01-93E4-202BD52428A4}">
  <dimension ref="A1:CE202"/>
  <sheetViews>
    <sheetView showGridLines="0" topLeftCell="A44" zoomScaleNormal="100" workbookViewId="0">
      <pane xSplit="3" topLeftCell="G44" activePane="topRight" state="frozen"/>
      <selection activeCell="C97" sqref="C97"/>
      <selection pane="topRight" activeCell="Q17" sqref="Q17"/>
    </sheetView>
  </sheetViews>
  <sheetFormatPr defaultColWidth="9.01171875" defaultRowHeight="14.1" customHeight="1" outlineLevelRow="2" outlineLevelCol="1" x14ac:dyDescent="0.2"/>
  <cols>
    <col min="1" max="1" width="0.671875" customWidth="1"/>
    <col min="2" max="2" width="0.8046875" customWidth="1"/>
    <col min="3" max="3" width="34.83984375" style="112" bestFit="1" customWidth="1"/>
    <col min="4" max="6" width="10.22265625" style="116" hidden="1" customWidth="1" outlineLevel="1"/>
    <col min="7" max="7" width="10.22265625" style="116" customWidth="1" collapsed="1"/>
    <col min="8" max="9" width="10.22265625" style="116" bestFit="1" customWidth="1"/>
    <col min="10" max="10" width="10.22265625" style="116" customWidth="1"/>
    <col min="11" max="15" width="10.22265625" style="116" bestFit="1" customWidth="1"/>
    <col min="16" max="16" width="2.5546875" style="116" customWidth="1"/>
    <col min="17" max="17" width="5.6484375" style="116" customWidth="1"/>
    <col min="18" max="18" width="33.08984375" style="116" customWidth="1"/>
    <col min="19" max="19" width="10.22265625" style="116" hidden="1" customWidth="1" outlineLevel="1"/>
    <col min="20" max="43" width="9.01171875" style="116" hidden="1" customWidth="1" outlineLevel="1"/>
    <col min="44" max="44" width="9.01171875" style="116" collapsed="1"/>
    <col min="45" max="47" width="9.01171875" style="116"/>
    <col min="48" max="48" width="9.01171875" style="116" customWidth="1" outlineLevel="1"/>
    <col min="49" max="52" width="9.01171875" style="116"/>
    <col min="53" max="53" width="9.01171875" style="116" customWidth="1" outlineLevel="1"/>
    <col min="54" max="56" width="9.01171875" style="116"/>
    <col min="57" max="57" width="9.01171875" style="116" customWidth="1"/>
    <col min="58" max="58" width="9.01171875" style="116" customWidth="1" outlineLevel="1"/>
    <col min="59" max="62" width="9.01171875" style="116"/>
    <col min="63" max="63" width="9.01171875" style="116" customWidth="1" outlineLevel="1"/>
    <col min="64" max="67" width="9.01171875" style="116"/>
    <col min="68" max="68" width="9.01171875" style="116" customWidth="1" outlineLevel="1"/>
    <col min="69" max="72" width="9.01171875" style="116"/>
    <col min="73" max="73" width="9.01171875" style="116" customWidth="1" outlineLevel="1"/>
    <col min="74" max="77" width="9.01171875" style="116"/>
    <col min="78" max="78" width="9.01171875" style="116" customWidth="1" outlineLevel="1"/>
    <col min="79" max="16384" width="9.01171875" style="116"/>
  </cols>
  <sheetData>
    <row r="1" spans="1:83" customFormat="1" ht="3" customHeight="1" x14ac:dyDescent="0.2"/>
    <row r="2" spans="1:83" customFormat="1" ht="1.1499999999999999" customHeight="1" x14ac:dyDescent="0.2"/>
    <row r="3" spans="1:83" s="41" customFormat="1" ht="18.75" x14ac:dyDescent="0.25">
      <c r="A3"/>
      <c r="B3"/>
      <c r="C3" s="47" t="str">
        <f>Company_Name</f>
        <v>SAIA, Inc.</v>
      </c>
      <c r="D3" s="48"/>
      <c r="E3" s="48"/>
      <c r="F3" s="48"/>
      <c r="G3" s="48"/>
      <c r="H3" s="48"/>
      <c r="I3" s="48"/>
      <c r="J3" s="48"/>
      <c r="K3" s="48"/>
      <c r="L3" s="48"/>
      <c r="M3" s="48"/>
      <c r="N3" s="67" t="str">
        <f>'Income Statement'!BX98</f>
        <v>Model Case:</v>
      </c>
      <c r="O3" s="48" t="str">
        <f>'Income Statement'!O3</f>
        <v>Base</v>
      </c>
      <c r="P3" s="1373" t="str">
        <f>'Income Statement'!P3</f>
        <v xml:space="preserve">Page up and down can be used to navigate b/w pages </v>
      </c>
      <c r="Q3" s="1373"/>
      <c r="R3" s="1374" t="str">
        <f>C3</f>
        <v>SAIA, Inc.</v>
      </c>
      <c r="S3" s="1374"/>
      <c r="T3" s="1374"/>
      <c r="U3" s="1374"/>
      <c r="V3" s="1374"/>
      <c r="W3" s="1374"/>
      <c r="X3" s="1374"/>
      <c r="Y3" s="1374"/>
      <c r="Z3" s="1374"/>
      <c r="AA3" s="1374"/>
      <c r="AB3" s="1374"/>
      <c r="AC3" s="1374"/>
      <c r="AD3" s="1374"/>
      <c r="AE3" s="1374"/>
      <c r="AF3" s="1374"/>
      <c r="AG3" s="1374"/>
      <c r="AH3" s="1374"/>
      <c r="AI3" s="1374"/>
      <c r="AJ3" s="1374"/>
      <c r="AK3" s="1374"/>
      <c r="AL3" s="1374"/>
      <c r="AM3" s="1374"/>
      <c r="AN3" s="1374"/>
      <c r="AO3" s="1374"/>
      <c r="AP3" s="1374"/>
      <c r="AQ3" s="1374"/>
      <c r="AR3" s="1374"/>
      <c r="AS3" s="1374"/>
      <c r="AT3" s="1374"/>
      <c r="AU3" s="1374"/>
      <c r="AV3" s="1374"/>
      <c r="AW3" s="1374"/>
      <c r="AX3" s="1374"/>
      <c r="AY3" s="1374"/>
      <c r="AZ3" s="1374"/>
      <c r="BA3" s="47"/>
      <c r="BB3" s="47"/>
      <c r="BC3" s="47"/>
      <c r="BD3" s="47"/>
      <c r="BE3" s="47"/>
      <c r="BF3" s="47"/>
      <c r="BG3" s="47"/>
      <c r="BH3" s="47"/>
      <c r="BI3" s="47"/>
      <c r="BJ3" s="47"/>
      <c r="BK3" s="47"/>
      <c r="BL3" s="47"/>
      <c r="BM3" s="47"/>
      <c r="BN3" s="47"/>
      <c r="BO3" s="47"/>
      <c r="BP3" s="47"/>
      <c r="BQ3" s="47"/>
      <c r="BR3" s="67" t="str">
        <f>N3</f>
        <v>Model Case:</v>
      </c>
      <c r="BS3" s="48" t="str">
        <f>'Income Statement'!BS3</f>
        <v>Base</v>
      </c>
      <c r="BT3" s="47"/>
      <c r="BU3" s="47"/>
      <c r="BV3" s="47"/>
      <c r="BW3" s="47"/>
      <c r="BX3" s="67" t="str">
        <f>N4</f>
        <v>DCF Share Value as of 12/31/2024:</v>
      </c>
      <c r="BY3" s="65">
        <f>'Income Statement'!BY3</f>
        <v>520.1066763818468</v>
      </c>
      <c r="BZ3" s="47"/>
    </row>
    <row r="4" spans="1:83" s="62" customFormat="1" ht="15" x14ac:dyDescent="0.2">
      <c r="A4"/>
      <c r="B4"/>
      <c r="C4" s="48" t="str">
        <f>"Balance Sheet"</f>
        <v>Balance Sheet</v>
      </c>
      <c r="D4" s="48"/>
      <c r="E4" s="48"/>
      <c r="F4" s="48"/>
      <c r="G4" s="48"/>
      <c r="H4" s="48"/>
      <c r="I4" s="48"/>
      <c r="J4" s="48"/>
      <c r="K4" s="48"/>
      <c r="L4" s="48"/>
      <c r="M4" s="48"/>
      <c r="N4" s="67" t="str" cm="1">
        <f t="array" ref="N4">"DCF Share Value as of "&amp;TEXT(DCF_ShareValue_Date,"MM/DD/YYYY")&amp;":"</f>
        <v>DCF Share Value as of 12/31/2024:</v>
      </c>
      <c r="O4" s="65">
        <f>DCF_Share_Value</f>
        <v>520.1066763818468</v>
      </c>
      <c r="P4" s="1373"/>
      <c r="Q4" s="1373"/>
      <c r="R4" s="1375" t="str">
        <f>C4&amp;" Quarterly and Year Basis"</f>
        <v>Balance Sheet Quarterly and Year Basis</v>
      </c>
      <c r="S4" s="1375"/>
      <c r="T4" s="1375"/>
      <c r="U4" s="1375"/>
      <c r="V4" s="1375"/>
      <c r="W4" s="1375"/>
      <c r="X4" s="1375"/>
      <c r="Y4" s="1375"/>
      <c r="Z4" s="1375"/>
      <c r="AA4" s="1375"/>
      <c r="AB4" s="1375"/>
      <c r="AC4" s="1375"/>
      <c r="AD4" s="1375"/>
      <c r="AE4" s="1375"/>
      <c r="AF4" s="1375"/>
      <c r="AG4" s="1375"/>
      <c r="AH4" s="1375"/>
      <c r="AI4" s="1375"/>
      <c r="AJ4" s="1375"/>
      <c r="AK4" s="1375"/>
      <c r="AL4" s="1375"/>
      <c r="AM4" s="1375"/>
      <c r="AN4" s="1375"/>
      <c r="AO4" s="1375"/>
      <c r="AP4" s="1375"/>
      <c r="AQ4" s="1375"/>
      <c r="AR4" s="1375"/>
      <c r="AS4" s="1375"/>
      <c r="AT4" s="1375"/>
      <c r="AU4" s="1375"/>
      <c r="AV4" s="1375"/>
      <c r="AW4" s="1375"/>
      <c r="AX4" s="1375"/>
      <c r="AY4" s="1375"/>
      <c r="AZ4" s="1375"/>
      <c r="BA4" s="1375"/>
      <c r="BB4" s="63"/>
      <c r="BC4" s="63"/>
      <c r="BD4" s="63"/>
      <c r="BE4" s="63"/>
      <c r="BF4" s="63"/>
      <c r="BG4" s="63"/>
      <c r="BH4" s="63"/>
      <c r="BI4" s="63"/>
      <c r="BJ4" s="63"/>
      <c r="BK4" s="63"/>
      <c r="BL4" s="63"/>
      <c r="BM4" s="63"/>
      <c r="BN4" s="63"/>
      <c r="BO4" s="63"/>
      <c r="BP4" s="63"/>
      <c r="BQ4" s="63"/>
      <c r="BR4" s="63"/>
      <c r="BS4" s="63"/>
      <c r="BT4" s="63"/>
      <c r="BU4" s="63"/>
      <c r="BV4" s="63"/>
      <c r="BW4" s="63"/>
      <c r="BX4" s="1145" t="str">
        <f>N5</f>
        <v>Market Share Price as of 12/31/2024:</v>
      </c>
      <c r="BY4" s="322">
        <f>'Income Statement'!BY4</f>
        <v>455.73</v>
      </c>
      <c r="BZ4" s="63"/>
    </row>
    <row r="5" spans="1:83" s="61" customFormat="1" ht="15" x14ac:dyDescent="0.2">
      <c r="A5"/>
      <c r="B5"/>
      <c r="C5" s="46" t="str">
        <f>"($ in millions, fiscal year ending "&amp;TEXT(FY_Year_End,"MMMM,DD")&amp;")"</f>
        <v>($ in millions, fiscal year ending December,31)</v>
      </c>
      <c r="D5" s="49"/>
      <c r="E5" s="49"/>
      <c r="F5" s="49"/>
      <c r="G5" s="49"/>
      <c r="H5" s="49" t="str">
        <f>"Ticker: "&amp;Company_Ticker</f>
        <v>Ticker: SAIA</v>
      </c>
      <c r="I5" s="49"/>
      <c r="J5" s="49"/>
      <c r="K5" s="49"/>
      <c r="L5" s="49"/>
      <c r="M5" s="49"/>
      <c r="N5" s="66" t="str" cm="1">
        <f t="array" ref="N5">"Market Share Price as of "&amp;TEXT(Market_Share_Price_Date,"MM/DD/YYYY")&amp;":"</f>
        <v>Market Share Price as of 12/31/2024:</v>
      </c>
      <c r="O5" s="65">
        <f>Market_Share_Price</f>
        <v>455.73</v>
      </c>
      <c r="P5" s="1373"/>
      <c r="Q5" s="1373"/>
      <c r="R5" s="96"/>
      <c r="S5" s="1367">
        <f>D7</f>
        <v>43100</v>
      </c>
      <c r="T5" s="1368"/>
      <c r="U5" s="1368"/>
      <c r="V5" s="1368"/>
      <c r="W5" s="1368"/>
      <c r="X5" s="1368">
        <f>DATE(YEAR(S5)+1,MONTH(S5),DAY(S5))</f>
        <v>43465</v>
      </c>
      <c r="Y5" s="1368"/>
      <c r="Z5" s="1368"/>
      <c r="AA5" s="1368"/>
      <c r="AB5" s="1368"/>
      <c r="AC5" s="1368">
        <f>DATE(YEAR(X5)+1,MONTH(X5),DAY(X5))</f>
        <v>43830</v>
      </c>
      <c r="AD5" s="1368"/>
      <c r="AE5" s="1368"/>
      <c r="AF5" s="1368"/>
      <c r="AG5" s="1368"/>
      <c r="AH5" s="1368">
        <f>DATE(YEAR(AC5)+1,MONTH(AC5),DAY(AC5))</f>
        <v>44196</v>
      </c>
      <c r="AI5" s="1368"/>
      <c r="AJ5" s="1368"/>
      <c r="AK5" s="1368"/>
      <c r="AL5" s="1368"/>
      <c r="AM5" s="1368">
        <f>DATE(YEAR(AH5)+1,MONTH(AH5),DAY(AH5))</f>
        <v>44561</v>
      </c>
      <c r="AN5" s="1368"/>
      <c r="AO5" s="1368"/>
      <c r="AP5" s="1368"/>
      <c r="AQ5" s="1368"/>
      <c r="AR5" s="1368">
        <f>DATE(YEAR(AM5)+1,MONTH(AM5),DAY(AM5))</f>
        <v>44926</v>
      </c>
      <c r="AS5" s="1368"/>
      <c r="AT5" s="1368"/>
      <c r="AU5" s="1368"/>
      <c r="AV5" s="1368"/>
      <c r="AW5" s="1368">
        <f>DATE(YEAR(AR5)+1,MONTH(AR5),DAY(AR5))</f>
        <v>45291</v>
      </c>
      <c r="AX5" s="1368"/>
      <c r="AY5" s="1368"/>
      <c r="AZ5" s="1368"/>
      <c r="BA5" s="1368"/>
      <c r="BB5" s="1405">
        <f>DATE(YEAR(AW5)+1,MONTH(AW5),DAY(AW5))</f>
        <v>45657</v>
      </c>
      <c r="BC5" s="1405"/>
      <c r="BD5" s="1405"/>
      <c r="BE5" s="1405"/>
      <c r="BF5" s="1405"/>
      <c r="BG5" s="1406">
        <f>DATE(YEAR(BB5)+1,MONTH(BB5),DAY(BB5))</f>
        <v>46022</v>
      </c>
      <c r="BH5" s="1406"/>
      <c r="BI5" s="1406"/>
      <c r="BJ5" s="1406"/>
      <c r="BK5" s="1406"/>
      <c r="BL5" s="1406">
        <f>DATE(YEAR(BG5)+1,MONTH(BG5),DAY(BG5))</f>
        <v>46387</v>
      </c>
      <c r="BM5" s="1406"/>
      <c r="BN5" s="1406"/>
      <c r="BO5" s="1406"/>
      <c r="BP5" s="1406"/>
      <c r="BQ5" s="1406">
        <f>DATE(YEAR(BL5)+1,MONTH(BL5),DAY(BL5))</f>
        <v>46752</v>
      </c>
      <c r="BR5" s="1406"/>
      <c r="BS5" s="1406"/>
      <c r="BT5" s="1406"/>
      <c r="BU5" s="1406"/>
      <c r="BV5" s="1406">
        <f>DATE(YEAR(BQ5)+1,MONTH(BQ5),DAY(BQ5))</f>
        <v>47118</v>
      </c>
      <c r="BW5" s="1406"/>
      <c r="BX5" s="1406"/>
      <c r="BY5" s="1406"/>
      <c r="BZ5" s="1406"/>
      <c r="CA5" s="1388"/>
      <c r="CB5" s="1388"/>
      <c r="CC5" s="1388"/>
      <c r="CD5" s="1388"/>
      <c r="CE5" s="1388"/>
    </row>
    <row r="6" spans="1:83" s="45" customFormat="1" ht="1.5" customHeight="1" x14ac:dyDescent="0.2">
      <c r="A6"/>
      <c r="B6"/>
      <c r="C6" s="42" t="s">
        <v>49</v>
      </c>
      <c r="D6" s="42">
        <v>6</v>
      </c>
      <c r="E6" s="42">
        <v>5</v>
      </c>
      <c r="F6" s="42">
        <v>4</v>
      </c>
      <c r="G6" s="42">
        <v>3</v>
      </c>
      <c r="H6" s="42">
        <v>2</v>
      </c>
      <c r="I6" s="42">
        <v>1</v>
      </c>
      <c r="J6" s="42"/>
      <c r="K6" s="42">
        <v>1</v>
      </c>
      <c r="L6" s="42">
        <v>2</v>
      </c>
      <c r="M6" s="42">
        <v>3</v>
      </c>
      <c r="N6" s="42">
        <v>4</v>
      </c>
      <c r="O6" s="42">
        <v>5</v>
      </c>
      <c r="P6" s="1373"/>
      <c r="Q6" s="1373"/>
      <c r="R6" s="42"/>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886"/>
      <c r="BH6" s="886"/>
      <c r="BI6" s="886"/>
      <c r="BJ6" s="886"/>
      <c r="BK6" s="886"/>
      <c r="BL6" s="886"/>
      <c r="BM6" s="886"/>
      <c r="BN6" s="886"/>
      <c r="BO6" s="886"/>
      <c r="BP6" s="886"/>
      <c r="BQ6" s="886"/>
      <c r="BR6" s="886"/>
      <c r="BS6" s="886"/>
      <c r="BT6" s="886"/>
      <c r="BU6" s="886"/>
      <c r="BV6" s="886"/>
      <c r="BW6" s="886"/>
      <c r="BX6" s="886"/>
      <c r="BY6" s="886"/>
      <c r="BZ6" s="886"/>
      <c r="CA6" s="44"/>
      <c r="CB6" s="44"/>
      <c r="CC6" s="44"/>
      <c r="CD6" s="44"/>
      <c r="CE6" s="44"/>
    </row>
    <row r="7" spans="1:83" s="50" customFormat="1" ht="14.1" customHeight="1" x14ac:dyDescent="0.2">
      <c r="A7"/>
      <c r="B7"/>
      <c r="C7" s="163"/>
      <c r="D7" s="51">
        <f t="shared" ref="D7:I7" si="0">DATE(Base_Year-D6,MONTH(FY_Year_End),DAY(FY_Year_End))</f>
        <v>43100</v>
      </c>
      <c r="E7" s="52">
        <f t="shared" si="0"/>
        <v>43465</v>
      </c>
      <c r="F7" s="52">
        <f t="shared" si="0"/>
        <v>43830</v>
      </c>
      <c r="G7" s="52">
        <f t="shared" si="0"/>
        <v>44196</v>
      </c>
      <c r="H7" s="52">
        <f t="shared" si="0"/>
        <v>44561</v>
      </c>
      <c r="I7" s="52">
        <f t="shared" si="0"/>
        <v>44926</v>
      </c>
      <c r="J7" s="52">
        <f>DATE(Base_Year,MONTH(FY_Year_End),DAY(FY_Year_End))</f>
        <v>45291</v>
      </c>
      <c r="K7" s="53">
        <f>DATE(Base_Year+K6,MONTH(FY_Year_End),DAY(FY_Year_End))</f>
        <v>45657</v>
      </c>
      <c r="L7" s="54">
        <f>DATE(Base_Year+L6,MONTH(FY_Year_End),DAY(FY_Year_End))</f>
        <v>46022</v>
      </c>
      <c r="M7" s="54">
        <f>DATE(Base_Year+M6,MONTH(FY_Year_End),DAY(FY_Year_End))</f>
        <v>46387</v>
      </c>
      <c r="N7" s="54">
        <f>DATE(Base_Year+N6,MONTH(FY_Year_End),DAY(FY_Year_End))</f>
        <v>46752</v>
      </c>
      <c r="O7" s="55">
        <f>DATE(Base_Year+O6,MONTH(FY_Year_End),DAY(FY_Year_End))</f>
        <v>47118</v>
      </c>
      <c r="P7" s="1373"/>
      <c r="Q7" s="1373"/>
      <c r="R7" s="56"/>
      <c r="S7" s="56" t="str">
        <f>TEXT(S5,"YYYY")&amp; " Q"&amp;$K$6</f>
        <v>2017 Q1</v>
      </c>
      <c r="T7" s="57" t="str">
        <f>TEXT(S5,"YYYY")&amp; " Q"&amp;$L$6</f>
        <v>2017 Q2</v>
      </c>
      <c r="U7" s="57" t="str">
        <f>TEXT(S5,"YYYY")&amp; " Q"&amp;$M$6</f>
        <v>2017 Q3</v>
      </c>
      <c r="V7" s="57" t="str">
        <f>TEXT(S5,"YYYY")&amp; " Q"&amp;$N$6</f>
        <v>2017 Q4</v>
      </c>
      <c r="W7" s="57" t="str">
        <f>TEXT(S5,"YYYY")&amp; " FY"</f>
        <v>2017 FY</v>
      </c>
      <c r="X7" s="57" t="str">
        <f>TEXT(X5,"YYYY")&amp; " Q"&amp;$K$6</f>
        <v>2018 Q1</v>
      </c>
      <c r="Y7" s="57" t="str">
        <f>TEXT(X5,"YYYY")&amp; " Q"&amp;$L$6</f>
        <v>2018 Q2</v>
      </c>
      <c r="Z7" s="57" t="str">
        <f>TEXT(X5,"YYYY")&amp; " Q"&amp;$M$6</f>
        <v>2018 Q3</v>
      </c>
      <c r="AA7" s="57" t="str">
        <f>TEXT(X5,"YYYY")&amp; " Q"&amp;$N$6</f>
        <v>2018 Q4</v>
      </c>
      <c r="AB7" s="57" t="str">
        <f>TEXT(X5,"YYYY")&amp; " FY"</f>
        <v>2018 FY</v>
      </c>
      <c r="AC7" s="57" t="str">
        <f>TEXT(AC5,"YYYY")&amp; " Q"&amp;$K$6</f>
        <v>2019 Q1</v>
      </c>
      <c r="AD7" s="57" t="str">
        <f>TEXT(AC5,"YYYY")&amp; " Q"&amp;$L$6</f>
        <v>2019 Q2</v>
      </c>
      <c r="AE7" s="57" t="str">
        <f>TEXT(AC5,"YYYY")&amp; " Q"&amp;$M$6</f>
        <v>2019 Q3</v>
      </c>
      <c r="AF7" s="57" t="str">
        <f>TEXT(AC5,"YYYY")&amp; " Q"&amp;$N$6</f>
        <v>2019 Q4</v>
      </c>
      <c r="AG7" s="57" t="str">
        <f>TEXT(AC5,"YYYY")&amp; " FY"</f>
        <v>2019 FY</v>
      </c>
      <c r="AH7" s="57" t="str">
        <f>TEXT(AH5,"YYYY")&amp; " Q"&amp;$K$6</f>
        <v>2020 Q1</v>
      </c>
      <c r="AI7" s="57" t="str">
        <f>TEXT(AH5,"YYYY")&amp; " Q"&amp;$L$6</f>
        <v>2020 Q2</v>
      </c>
      <c r="AJ7" s="57" t="str">
        <f>TEXT(AH5,"YYYY")&amp; " Q"&amp;$M$6</f>
        <v>2020 Q3</v>
      </c>
      <c r="AK7" s="57" t="str">
        <f>TEXT(AH5,"YYYY")&amp; " Q"&amp;$N$6</f>
        <v>2020 Q4</v>
      </c>
      <c r="AL7" s="57" t="str">
        <f>TEXT(AH5,"YYYY")&amp; " FY"</f>
        <v>2020 FY</v>
      </c>
      <c r="AM7" s="57" t="str">
        <f>TEXT(AM5,"YYYY")&amp; " Q"&amp;$K$6</f>
        <v>2021 Q1</v>
      </c>
      <c r="AN7" s="57" t="str">
        <f>TEXT(AM5,"YYYY")&amp; " Q"&amp;$L$6</f>
        <v>2021 Q2</v>
      </c>
      <c r="AO7" s="57" t="str">
        <f>TEXT(AM5,"YYYY")&amp; " Q"&amp;$M$6</f>
        <v>2021 Q3</v>
      </c>
      <c r="AP7" s="57" t="str">
        <f>TEXT(AM5,"YYYY")&amp; " Q"&amp;$N$6</f>
        <v>2021 Q4</v>
      </c>
      <c r="AQ7" s="57" t="str">
        <f>TEXT(AM5,"YYYY")&amp; " FY"</f>
        <v>2021 FY</v>
      </c>
      <c r="AR7" s="57" t="str">
        <f>TEXT(AR5,"YYYY")&amp; " Q"&amp;$K$6</f>
        <v>2022 Q1</v>
      </c>
      <c r="AS7" s="57" t="str">
        <f>TEXT(AR5,"YYYY")&amp; " Q"&amp;$L$6</f>
        <v>2022 Q2</v>
      </c>
      <c r="AT7" s="57" t="str">
        <f>TEXT(AR5,"YYYY")&amp; " Q"&amp;$M$6</f>
        <v>2022 Q3</v>
      </c>
      <c r="AU7" s="57" t="str">
        <f>TEXT(AR5,"YYYY")&amp; " Q"&amp;$N$6</f>
        <v>2022 Q4</v>
      </c>
      <c r="AV7" s="57" t="str">
        <f>TEXT(AR5,"YYYY")&amp; " FY"</f>
        <v>2022 FY</v>
      </c>
      <c r="AW7" s="57" t="str">
        <f>TEXT(AW5,"YYYY")&amp; " Q"&amp;$K$6</f>
        <v>2023 Q1</v>
      </c>
      <c r="AX7" s="57" t="str">
        <f>TEXT(AW5,"YYYY")&amp; " Q"&amp;$L$6</f>
        <v>2023 Q2</v>
      </c>
      <c r="AY7" s="57" t="str">
        <f>TEXT(AW5,"YYYY")&amp; " Q"&amp;$M$6</f>
        <v>2023 Q3</v>
      </c>
      <c r="AZ7" s="57" t="str">
        <f>TEXT(AW5,"YYYY")&amp; " Q"&amp;$N$6</f>
        <v>2023 Q4</v>
      </c>
      <c r="BA7" s="57" t="str">
        <f>TEXT(AW5,"YYYY")&amp; " FY"</f>
        <v>2023 FY</v>
      </c>
      <c r="BB7" s="57" t="str">
        <f>TEXT(BB5,"YYYY")&amp; " Q"&amp;$K$6</f>
        <v>2024 Q1</v>
      </c>
      <c r="BC7" s="57" t="str">
        <f>TEXT(BB5,"YYYY")&amp; " Q"&amp;$L$6</f>
        <v>2024 Q2</v>
      </c>
      <c r="BD7" s="57" t="str">
        <f>TEXT(BB5,"YYYY")&amp; " Q"&amp;$M$6</f>
        <v>2024 Q3</v>
      </c>
      <c r="BE7" s="58" t="str">
        <f>TEXT(BB5,"YYYY")&amp; " Q"&amp;$N$6</f>
        <v>2024 Q4</v>
      </c>
      <c r="BF7" s="58" t="str">
        <f>TEXT(BB5,"YYYY")&amp; " FY"</f>
        <v>2024 FY</v>
      </c>
      <c r="BG7" s="58" t="str">
        <f>TEXT(BG5,"YYYY")&amp; " Q"&amp;$K$6</f>
        <v>2025 Q1</v>
      </c>
      <c r="BH7" s="58" t="str">
        <f>TEXT(BG5,"YYYY")&amp; " Q"&amp;$L$6</f>
        <v>2025 Q2</v>
      </c>
      <c r="BI7" s="58" t="str">
        <f>TEXT(BG5,"YYYY")&amp; " Q"&amp;$M$6</f>
        <v>2025 Q3</v>
      </c>
      <c r="BJ7" s="58" t="str">
        <f>TEXT(BG5,"YYYY")&amp; " Q"&amp;$N$6</f>
        <v>2025 Q4</v>
      </c>
      <c r="BK7" s="58" t="str">
        <f>TEXT(BG5,"YYYY")&amp; " FY"</f>
        <v>2025 FY</v>
      </c>
      <c r="BL7" s="58" t="str">
        <f>TEXT(BL5,"YYYY")&amp; " Q"&amp;$K$6</f>
        <v>2026 Q1</v>
      </c>
      <c r="BM7" s="58" t="str">
        <f>TEXT(BL5,"YYYY")&amp; " Q"&amp;$L$6</f>
        <v>2026 Q2</v>
      </c>
      <c r="BN7" s="58" t="str">
        <f>TEXT(BL5,"YYYY")&amp; " Q"&amp;$M$6</f>
        <v>2026 Q3</v>
      </c>
      <c r="BO7" s="58" t="str">
        <f>TEXT(BL5,"YYYY")&amp; " Q"&amp;$N$6</f>
        <v>2026 Q4</v>
      </c>
      <c r="BP7" s="58" t="str">
        <f>TEXT(BL5,"YYYY")&amp; " FY"</f>
        <v>2026 FY</v>
      </c>
      <c r="BQ7" s="58" t="str">
        <f>TEXT(BQ5,"YYYY")&amp; " Q"&amp;$K$6</f>
        <v>2027 Q1</v>
      </c>
      <c r="BR7" s="58" t="str">
        <f>TEXT(BQ5,"YYYY")&amp; " Q"&amp;$L$6</f>
        <v>2027 Q2</v>
      </c>
      <c r="BS7" s="58" t="str">
        <f>TEXT(BQ5,"YYYY")&amp; " Q"&amp;$M$6</f>
        <v>2027 Q3</v>
      </c>
      <c r="BT7" s="58" t="str">
        <f>TEXT(BQ5,"YYYY")&amp; " Q"&amp;$N$6</f>
        <v>2027 Q4</v>
      </c>
      <c r="BU7" s="58" t="str">
        <f>TEXT(BQ5,"YYYY")&amp; " FY"</f>
        <v>2027 FY</v>
      </c>
      <c r="BV7" s="58" t="str">
        <f>TEXT(BV5,"YYYY")&amp; " Q"&amp;$K$6</f>
        <v>2028 Q1</v>
      </c>
      <c r="BW7" s="58" t="str">
        <f>TEXT(BV5,"YYYY")&amp; " Q"&amp;$L$6</f>
        <v>2028 Q2</v>
      </c>
      <c r="BX7" s="58" t="str">
        <f>TEXT(BV5,"YYYY")&amp; " Q"&amp;$M$6</f>
        <v>2028 Q3</v>
      </c>
      <c r="BY7" s="58" t="str">
        <f>TEXT(BV5,"YYYY")&amp; " Q"&amp;$N$6</f>
        <v>2028 Q4</v>
      </c>
      <c r="BZ7" s="58" t="str">
        <f>TEXT(BV5,"YYYY")&amp; " FY"</f>
        <v>2028 FY</v>
      </c>
    </row>
    <row r="8" spans="1:83" ht="14.1" customHeight="1" x14ac:dyDescent="0.2">
      <c r="C8" s="563" t="s">
        <v>108</v>
      </c>
      <c r="D8" s="451"/>
      <c r="E8" s="451"/>
      <c r="F8" s="451"/>
      <c r="G8" s="451"/>
      <c r="H8" s="451"/>
      <c r="I8" s="451"/>
      <c r="J8" s="568"/>
      <c r="K8" s="451"/>
      <c r="L8" s="451"/>
      <c r="M8" s="451"/>
      <c r="N8" s="451"/>
      <c r="O8" s="451"/>
      <c r="P8" s="559"/>
      <c r="Q8" s="551"/>
      <c r="R8" s="604" t="str">
        <f>C8</f>
        <v>Assets:</v>
      </c>
      <c r="S8" s="451"/>
      <c r="T8" s="451"/>
      <c r="U8" s="451"/>
      <c r="V8" s="451"/>
      <c r="W8" s="451"/>
      <c r="X8" s="557"/>
      <c r="Y8" s="451"/>
      <c r="Z8" s="451"/>
      <c r="AA8" s="451"/>
      <c r="AB8" s="452"/>
      <c r="AC8" s="557"/>
      <c r="AD8" s="451"/>
      <c r="AE8" s="451"/>
      <c r="AF8" s="451"/>
      <c r="AG8" s="452"/>
      <c r="AH8" s="557"/>
      <c r="AI8" s="451"/>
      <c r="AJ8" s="451"/>
      <c r="AK8" s="451"/>
      <c r="AL8" s="452"/>
      <c r="AM8" s="557"/>
      <c r="AN8" s="451"/>
      <c r="AO8" s="451"/>
      <c r="AP8" s="451"/>
      <c r="AQ8" s="452"/>
      <c r="AR8" s="557"/>
      <c r="AS8" s="451"/>
      <c r="AT8" s="451"/>
      <c r="AU8" s="451"/>
      <c r="AV8" s="452"/>
      <c r="AW8" s="557"/>
      <c r="AX8" s="451"/>
      <c r="AY8" s="451"/>
      <c r="AZ8" s="451"/>
      <c r="BA8" s="452"/>
      <c r="BB8" s="557"/>
      <c r="BC8" s="451"/>
      <c r="BD8" s="451"/>
      <c r="BE8" s="451"/>
      <c r="BF8" s="452"/>
      <c r="BG8" s="557"/>
      <c r="BH8" s="451"/>
      <c r="BI8" s="451"/>
      <c r="BJ8" s="451"/>
      <c r="BK8" s="452"/>
      <c r="BL8" s="557"/>
      <c r="BM8" s="451"/>
      <c r="BN8" s="451"/>
      <c r="BO8" s="451"/>
      <c r="BP8" s="452"/>
      <c r="BQ8" s="557"/>
      <c r="BR8" s="451"/>
      <c r="BS8" s="451"/>
      <c r="BT8" s="451"/>
      <c r="BU8" s="452"/>
      <c r="BV8" s="557"/>
      <c r="BW8" s="451"/>
      <c r="BX8" s="451"/>
      <c r="BY8" s="451"/>
      <c r="BZ8" s="452"/>
    </row>
    <row r="9" spans="1:83" s="115" customFormat="1" ht="14.1" customHeight="1" x14ac:dyDescent="0.2">
      <c r="A9"/>
      <c r="B9"/>
      <c r="C9" s="726" t="s">
        <v>109</v>
      </c>
      <c r="D9" s="115">
        <f t="shared" ref="D9:D14" si="1">W9</f>
        <v>4.72</v>
      </c>
      <c r="E9" s="115">
        <f t="shared" ref="E9:E14" si="2">AB9</f>
        <v>2.194</v>
      </c>
      <c r="F9" s="115">
        <f t="shared" ref="F9:F14" si="3">AG9</f>
        <v>0.248</v>
      </c>
      <c r="G9" s="115">
        <f t="shared" ref="G9:G14" si="4">AL9</f>
        <v>25.308</v>
      </c>
      <c r="H9" s="115">
        <f t="shared" ref="H9:H14" si="5">AQ9</f>
        <v>106.58799999999999</v>
      </c>
      <c r="I9" s="115">
        <f t="shared" ref="I9:I14" si="6">AV9</f>
        <v>187.39</v>
      </c>
      <c r="J9" s="569">
        <f t="shared" ref="J9:J14" si="7">BA9</f>
        <v>296.21499999999997</v>
      </c>
      <c r="K9" s="115">
        <f t="shared" ref="K9:K14" si="8">BF9</f>
        <v>15.51038909052204</v>
      </c>
      <c r="L9" s="115">
        <f t="shared" ref="L9:L14" si="9">BK9</f>
        <v>108.41190961167149</v>
      </c>
      <c r="M9" s="115">
        <f t="shared" ref="M9:M14" si="10">BP9</f>
        <v>289.2564698727565</v>
      </c>
      <c r="N9" s="115">
        <f t="shared" ref="N9:N14" si="11">BU9</f>
        <v>336.27147380200586</v>
      </c>
      <c r="O9" s="115">
        <f t="shared" ref="O9:O14" si="12">BZ9</f>
        <v>346.12552962495101</v>
      </c>
      <c r="P9" s="558"/>
      <c r="Q9" s="480"/>
      <c r="R9" s="114" t="str">
        <f t="shared" ref="R9:R75" si="13">C9</f>
        <v>Marketable Securities</v>
      </c>
      <c r="S9" s="115">
        <v>0.71099999999999997</v>
      </c>
      <c r="T9" s="115">
        <v>0.39900000000000002</v>
      </c>
      <c r="U9" s="115">
        <v>8.1000000000000003E-2</v>
      </c>
      <c r="V9" s="115">
        <v>4.72</v>
      </c>
      <c r="W9" s="115">
        <f>V9</f>
        <v>4.72</v>
      </c>
      <c r="X9" s="558">
        <v>0.496</v>
      </c>
      <c r="Y9" s="115">
        <v>1.1890000000000001</v>
      </c>
      <c r="Z9" s="115">
        <v>0.52900000000000003</v>
      </c>
      <c r="AA9" s="115">
        <v>2.194</v>
      </c>
      <c r="AB9" s="480">
        <f>AA9</f>
        <v>2.194</v>
      </c>
      <c r="AC9" s="558">
        <v>3.1E-2</v>
      </c>
      <c r="AD9" s="115">
        <v>0.503</v>
      </c>
      <c r="AE9" s="115">
        <v>1.4999999999999999E-2</v>
      </c>
      <c r="AF9" s="115">
        <v>0.248</v>
      </c>
      <c r="AG9" s="480">
        <f>AF9</f>
        <v>0.248</v>
      </c>
      <c r="AH9" s="558">
        <v>46.908999999999999</v>
      </c>
      <c r="AI9" s="115">
        <v>29.28</v>
      </c>
      <c r="AJ9" s="115">
        <v>25.469000000000001</v>
      </c>
      <c r="AK9" s="115">
        <v>25.308</v>
      </c>
      <c r="AL9" s="480">
        <f>AK9</f>
        <v>25.308</v>
      </c>
      <c r="AM9" s="558">
        <v>53.26</v>
      </c>
      <c r="AN9" s="115">
        <v>52.86</v>
      </c>
      <c r="AO9" s="115">
        <v>121.702</v>
      </c>
      <c r="AP9" s="115">
        <v>106.58799999999999</v>
      </c>
      <c r="AQ9" s="480">
        <f>AP9</f>
        <v>106.58799999999999</v>
      </c>
      <c r="AR9" s="558">
        <v>141.32499999999999</v>
      </c>
      <c r="AS9" s="115">
        <v>137.87100000000001</v>
      </c>
      <c r="AT9" s="115">
        <v>149.82499999999999</v>
      </c>
      <c r="AU9" s="115">
        <v>187.39</v>
      </c>
      <c r="AV9" s="480">
        <f>AU9</f>
        <v>187.39</v>
      </c>
      <c r="AW9" s="558">
        <v>166.42500000000001</v>
      </c>
      <c r="AX9" s="115">
        <v>234.99700000000001</v>
      </c>
      <c r="AY9" s="115">
        <v>249.262</v>
      </c>
      <c r="AZ9" s="115">
        <v>296.21499999999997</v>
      </c>
      <c r="BA9" s="480">
        <f>AZ9</f>
        <v>296.21499999999997</v>
      </c>
      <c r="BB9" s="558">
        <v>12.308</v>
      </c>
      <c r="BC9" s="115">
        <v>11.169</v>
      </c>
      <c r="BD9" s="115">
        <v>14.404999999999999</v>
      </c>
      <c r="BE9" s="1209">
        <f>MAX(0,(SUM(BE29:BE34,BE37:BE40,BE44:BE50)-SUM(BE10:BE14,BE19,BE21:BE23)))</f>
        <v>15.51038909052204</v>
      </c>
      <c r="BF9" s="1210">
        <f t="shared" ref="BF9:BF14" si="14">BE9</f>
        <v>15.51038909052204</v>
      </c>
      <c r="BG9" s="1211">
        <f>MAX(0,(SUM(BG29:BG34,BG37:BG40,BG44:BG50)-SUM(BG10:BG14,BG19,BG21:BG23)))</f>
        <v>92.229806717682095</v>
      </c>
      <c r="BH9" s="1212">
        <f>MAX(0,(SUM(BH29:BH34,BH37:BH40,BH44:BH50)-SUM(BH10:BH14,BH19,BH21:BH23)))</f>
        <v>108.36382666109739</v>
      </c>
      <c r="BI9" s="1212">
        <f>MAX(0,(SUM(BI29:BI34,BI37:BI40,BI44:BI50)-SUM(BI10:BI14,BI19,BI21:BI23)))</f>
        <v>186.51931455431804</v>
      </c>
      <c r="BJ9" s="1212">
        <f>MAX(0,(SUM(BJ29:BJ34,BJ37:BJ40,BJ44:BJ50)-SUM(BJ10:BJ14,BJ19,BJ21:BJ23)))</f>
        <v>108.41190961167149</v>
      </c>
      <c r="BK9" s="1210">
        <f t="shared" ref="BK9:BK14" si="15">BJ9</f>
        <v>108.41190961167149</v>
      </c>
      <c r="BL9" s="1211">
        <f>MAX(0,(SUM(BL29:BL34,BL37:BL40,BL44:BL50)-SUM(BL10:BL14,BL19,BL21:BL23)))</f>
        <v>177.3368972758476</v>
      </c>
      <c r="BM9" s="1212">
        <f>MAX(0,(SUM(BM29:BM34,BM37:BM40,BM44:BM50)-SUM(BM10:BM14,BM19,BM21:BM23)))</f>
        <v>183.96971848073827</v>
      </c>
      <c r="BN9" s="1212">
        <f>MAX(0,(SUM(BN29:BN34,BN37:BN40,BN44:BN50)-SUM(BN10:BN14,BN19,BN21:BN23)))</f>
        <v>285.78736678806536</v>
      </c>
      <c r="BO9" s="1212">
        <f>MAX(0,(SUM(BO29:BO34,BO37:BO40,BO44:BO50)-SUM(BO10:BO14,BO19,BO21:BO23)))</f>
        <v>289.2564698727565</v>
      </c>
      <c r="BP9" s="1210">
        <f t="shared" ref="BP9:BP14" si="16">BO9</f>
        <v>289.2564698727565</v>
      </c>
      <c r="BQ9" s="1211">
        <f>MAX(0,(SUM(BQ29:BQ34,BQ37:BQ40,BQ44:BQ50)-SUM(BQ10:BQ14,BQ19,BQ21:BQ23)))</f>
        <v>293.25705639683838</v>
      </c>
      <c r="BR9" s="1212">
        <f>MAX(0,(SUM(BR29:BR34,BR37:BR40,BR44:BR50)-SUM(BR10:BR14,BR19,BR21:BR23)))</f>
        <v>257.28707173189196</v>
      </c>
      <c r="BS9" s="1212">
        <f>MAX(0,(SUM(BS29:BS34,BS37:BS40,BS44:BS50)-SUM(BS10:BS14,BS19,BS21:BS23)))</f>
        <v>364.80454632462624</v>
      </c>
      <c r="BT9" s="1212">
        <f>MAX(0,(SUM(BT29:BT34,BT37:BT40,BT44:BT50)-SUM(BT10:BT14,BT19,BT21:BT23)))</f>
        <v>336.27147380200586</v>
      </c>
      <c r="BU9" s="1210">
        <f t="shared" ref="BU9:BU14" si="17">BT9</f>
        <v>336.27147380200586</v>
      </c>
      <c r="BV9" s="1211">
        <f>MAX(0,(SUM(BV29:BV34,BV37:BV40,BV44:BV50)-SUM(BV10:BV14,BV19,BV21:BV23)))</f>
        <v>348.50766115091574</v>
      </c>
      <c r="BW9" s="1212">
        <f>MAX(0,(SUM(BW29:BW34,BW37:BW40,BW44:BW50)-SUM(BW10:BW14,BW19,BW21:BW23)))</f>
        <v>279.84786116939631</v>
      </c>
      <c r="BX9" s="1212">
        <f>MAX(0,(SUM(BX29:BX34,BX37:BX40,BX44:BX50)-SUM(BX10:BX14,BX19,BX21:BX23)))</f>
        <v>424.9337381010464</v>
      </c>
      <c r="BY9" s="1212">
        <f>MAX(0,(SUM(BY29:BY34,BY37:BY40,BY44:BY50)-SUM(BY10:BY14,BY19,BY21:BY23)))</f>
        <v>346.12552962495101</v>
      </c>
      <c r="BZ9" s="1210">
        <f t="shared" ref="BZ9:BZ14" si="18">BY9</f>
        <v>346.12552962495101</v>
      </c>
    </row>
    <row r="10" spans="1:83" ht="14.1" customHeight="1" x14ac:dyDescent="0.2">
      <c r="C10" s="208" t="s">
        <v>110</v>
      </c>
      <c r="D10" s="116">
        <f t="shared" si="1"/>
        <v>0</v>
      </c>
      <c r="E10" s="116">
        <f t="shared" si="2"/>
        <v>0</v>
      </c>
      <c r="F10" s="116">
        <f t="shared" si="3"/>
        <v>0</v>
      </c>
      <c r="G10" s="116">
        <f t="shared" si="4"/>
        <v>0</v>
      </c>
      <c r="H10" s="116">
        <f t="shared" si="5"/>
        <v>0</v>
      </c>
      <c r="I10" s="116">
        <f t="shared" si="6"/>
        <v>0</v>
      </c>
      <c r="J10" s="570">
        <f t="shared" si="7"/>
        <v>0</v>
      </c>
      <c r="K10" s="116">
        <f t="shared" si="8"/>
        <v>0</v>
      </c>
      <c r="L10" s="116">
        <f t="shared" si="9"/>
        <v>0</v>
      </c>
      <c r="M10" s="116">
        <f t="shared" si="10"/>
        <v>0</v>
      </c>
      <c r="N10" s="116">
        <f t="shared" si="11"/>
        <v>0</v>
      </c>
      <c r="O10" s="116">
        <f t="shared" si="12"/>
        <v>0</v>
      </c>
      <c r="P10" s="559"/>
      <c r="Q10" s="551"/>
      <c r="R10" s="114" t="str">
        <f t="shared" si="13"/>
        <v>Cash and cash equivalents</v>
      </c>
      <c r="X10" s="559"/>
      <c r="AB10" s="551"/>
      <c r="AC10" s="559"/>
      <c r="AG10" s="551"/>
      <c r="AH10" s="559"/>
      <c r="AL10" s="551"/>
      <c r="AM10" s="559"/>
      <c r="AQ10" s="551"/>
      <c r="AR10" s="559"/>
      <c r="AV10" s="551"/>
      <c r="AW10" s="559"/>
      <c r="BA10" s="551"/>
      <c r="BB10" s="559"/>
      <c r="BE10" s="116">
        <f>BE126</f>
        <v>0</v>
      </c>
      <c r="BF10" s="551">
        <f t="shared" si="14"/>
        <v>0</v>
      </c>
      <c r="BG10" s="559">
        <f>BG126</f>
        <v>0</v>
      </c>
      <c r="BH10" s="116">
        <f>BH126</f>
        <v>0</v>
      </c>
      <c r="BI10" s="116">
        <f>BI126</f>
        <v>0</v>
      </c>
      <c r="BJ10" s="116">
        <f>BJ126</f>
        <v>0</v>
      </c>
      <c r="BK10" s="551">
        <f t="shared" si="15"/>
        <v>0</v>
      </c>
      <c r="BL10" s="559">
        <f>BL126</f>
        <v>0</v>
      </c>
      <c r="BM10" s="116">
        <f>BM126</f>
        <v>0</v>
      </c>
      <c r="BN10" s="116">
        <f>BN126</f>
        <v>0</v>
      </c>
      <c r="BO10" s="116">
        <f>BO126</f>
        <v>0</v>
      </c>
      <c r="BP10" s="551">
        <f t="shared" si="16"/>
        <v>0</v>
      </c>
      <c r="BQ10" s="559">
        <f>BQ126</f>
        <v>0</v>
      </c>
      <c r="BR10" s="116">
        <f>BR126</f>
        <v>0</v>
      </c>
      <c r="BS10" s="116">
        <f>BS126</f>
        <v>0</v>
      </c>
      <c r="BT10" s="116">
        <f>BT126</f>
        <v>0</v>
      </c>
      <c r="BU10" s="551">
        <f t="shared" si="17"/>
        <v>0</v>
      </c>
      <c r="BV10" s="559">
        <f>BV126</f>
        <v>0</v>
      </c>
      <c r="BW10" s="116">
        <f>BW126</f>
        <v>0</v>
      </c>
      <c r="BX10" s="116">
        <f>BX126</f>
        <v>0</v>
      </c>
      <c r="BY10" s="116">
        <f>BY126</f>
        <v>0</v>
      </c>
      <c r="BZ10" s="551">
        <f t="shared" si="18"/>
        <v>0</v>
      </c>
    </row>
    <row r="11" spans="1:83" ht="14.1" customHeight="1" x14ac:dyDescent="0.2">
      <c r="C11" s="208" t="s">
        <v>111</v>
      </c>
      <c r="D11" s="116">
        <f t="shared" si="1"/>
        <v>170.27799999999999</v>
      </c>
      <c r="E11" s="116">
        <f t="shared" si="2"/>
        <v>181.61199999999999</v>
      </c>
      <c r="F11" s="116">
        <f t="shared" si="3"/>
        <v>196.119</v>
      </c>
      <c r="G11" s="116">
        <f t="shared" si="4"/>
        <v>216.899</v>
      </c>
      <c r="H11" s="116">
        <f t="shared" si="5"/>
        <v>276.755</v>
      </c>
      <c r="I11" s="116">
        <f t="shared" si="6"/>
        <v>290.30599999999998</v>
      </c>
      <c r="J11" s="570">
        <f t="shared" si="7"/>
        <v>311.74200000000002</v>
      </c>
      <c r="K11" s="116">
        <f t="shared" si="8"/>
        <v>351.99738056844791</v>
      </c>
      <c r="L11" s="116">
        <f t="shared" si="9"/>
        <v>393.43964367226334</v>
      </c>
      <c r="M11" s="116">
        <f t="shared" si="10"/>
        <v>465.75628968485722</v>
      </c>
      <c r="N11" s="116">
        <f t="shared" si="11"/>
        <v>539.79310502439887</v>
      </c>
      <c r="O11" s="116">
        <f t="shared" si="12"/>
        <v>614.64955985704762</v>
      </c>
      <c r="P11" s="559"/>
      <c r="Q11" s="551"/>
      <c r="R11" s="114" t="str">
        <f t="shared" si="13"/>
        <v>Accounts receivable, net</v>
      </c>
      <c r="S11" s="116">
        <v>148.96799999999999</v>
      </c>
      <c r="T11" s="116">
        <v>167.012</v>
      </c>
      <c r="U11" s="116">
        <v>172.119</v>
      </c>
      <c r="V11" s="116">
        <v>170.27799999999999</v>
      </c>
      <c r="W11" s="116">
        <f>V11</f>
        <v>170.27799999999999</v>
      </c>
      <c r="X11" s="559">
        <v>191.43700000000001</v>
      </c>
      <c r="Y11" s="116">
        <v>200.64400000000001</v>
      </c>
      <c r="Z11" s="116">
        <v>197.97300000000001</v>
      </c>
      <c r="AA11" s="116">
        <v>181.61199999999999</v>
      </c>
      <c r="AB11" s="551">
        <f>AA11</f>
        <v>181.61199999999999</v>
      </c>
      <c r="AC11" s="559">
        <v>202.13300000000001</v>
      </c>
      <c r="AD11" s="116">
        <v>227.04599999999999</v>
      </c>
      <c r="AE11" s="116">
        <v>218</v>
      </c>
      <c r="AF11" s="116">
        <v>196.119</v>
      </c>
      <c r="AG11" s="551">
        <f>AF11</f>
        <v>196.119</v>
      </c>
      <c r="AH11" s="559">
        <v>210.89400000000001</v>
      </c>
      <c r="AI11" s="116">
        <v>205.131</v>
      </c>
      <c r="AJ11" s="116">
        <v>226.67699999999999</v>
      </c>
      <c r="AK11" s="116">
        <v>216.899</v>
      </c>
      <c r="AL11" s="551">
        <f>AK11</f>
        <v>216.899</v>
      </c>
      <c r="AM11" s="559">
        <v>242.89500000000001</v>
      </c>
      <c r="AN11" s="116">
        <v>261.113</v>
      </c>
      <c r="AO11" s="116">
        <v>295.86200000000002</v>
      </c>
      <c r="AP11" s="116">
        <v>276.755</v>
      </c>
      <c r="AQ11" s="551">
        <f>AP11</f>
        <v>276.755</v>
      </c>
      <c r="AR11" s="559">
        <v>322.34300000000002</v>
      </c>
      <c r="AS11" s="116">
        <v>357.05200000000002</v>
      </c>
      <c r="AT11" s="116">
        <v>335.59500000000003</v>
      </c>
      <c r="AU11" s="116">
        <v>290.30599999999998</v>
      </c>
      <c r="AV11" s="551">
        <f>AU11</f>
        <v>290.30599999999998</v>
      </c>
      <c r="AW11" s="559">
        <v>294.91699999999997</v>
      </c>
      <c r="AX11" s="116">
        <v>299.55099999999999</v>
      </c>
      <c r="AY11" s="116">
        <v>345.94</v>
      </c>
      <c r="AZ11" s="116">
        <v>311.74200000000002</v>
      </c>
      <c r="BA11" s="551">
        <f>AZ11</f>
        <v>311.74200000000002</v>
      </c>
      <c r="BB11" s="559">
        <v>345.80799999999999</v>
      </c>
      <c r="BC11" s="116">
        <v>375.86799999999999</v>
      </c>
      <c r="BD11" s="116">
        <v>372.39600000000002</v>
      </c>
      <c r="BE11" s="114">
        <f>(((BE109*'Income Statement'!BE8)/(365/4))*2)-'Balance Sheet'!BD11</f>
        <v>351.99738056844791</v>
      </c>
      <c r="BF11" s="551">
        <f t="shared" si="14"/>
        <v>351.99738056844791</v>
      </c>
      <c r="BG11" s="559">
        <f>(((BG109*'Income Statement'!BG8)/(365/4))*2)-'Balance Sheet'!BF11</f>
        <v>371.42871066947561</v>
      </c>
      <c r="BH11" s="116">
        <f>(((BH109*'Income Statement'!BH8)/(365/4))*2)-'Balance Sheet'!BG11</f>
        <v>412.8011904892507</v>
      </c>
      <c r="BI11" s="116">
        <f>(((BI109*'Income Statement'!BI8)/(365/4))*2)-'Balance Sheet'!BH11</f>
        <v>366.00034916739804</v>
      </c>
      <c r="BJ11" s="116">
        <f>(((BJ109*'Income Statement'!BJ8)/(365/4))*2)-'Balance Sheet'!BI11</f>
        <v>393.43964367226334</v>
      </c>
      <c r="BK11" s="551">
        <f t="shared" si="15"/>
        <v>393.43964367226334</v>
      </c>
      <c r="BL11" s="559">
        <f>(((BL109*'Income Statement'!BL8)/(365/4))*2)-'Balance Sheet'!BK11</f>
        <v>426.52680579857355</v>
      </c>
      <c r="BM11" s="116">
        <f>(((BM109*'Income Statement'!BM8)/(365/4))*2)-'Balance Sheet'!BL11</f>
        <v>466.49712938877775</v>
      </c>
      <c r="BN11" s="116">
        <f>(((BN109*'Income Statement'!BN8)/(365/4))*2)-'Balance Sheet'!BM11</f>
        <v>426.22027221055765</v>
      </c>
      <c r="BO11" s="116">
        <f>(((BO109*'Income Statement'!BO8)/(365/4))*2)-'Balance Sheet'!BN11</f>
        <v>465.75628968485722</v>
      </c>
      <c r="BP11" s="551">
        <f t="shared" si="16"/>
        <v>465.75628968485722</v>
      </c>
      <c r="BQ11" s="559">
        <f>(((BQ109*'Income Statement'!BQ8)/(365/4))*2)-'Balance Sheet'!BP11</f>
        <v>423.97989142110788</v>
      </c>
      <c r="BR11" s="116">
        <f>(((BR109*'Income Statement'!BR8)/(365/4))*2)-'Balance Sheet'!BQ11</f>
        <v>548.72037154328586</v>
      </c>
      <c r="BS11" s="116">
        <f>(((BS109*'Income Statement'!BS8)/(365/4))*2)-'Balance Sheet'!BR11</f>
        <v>428.42526053621395</v>
      </c>
      <c r="BT11" s="116">
        <f>(((BT109*'Income Statement'!BT8)/(365/4))*2)-'Balance Sheet'!BS11</f>
        <v>539.79310502439887</v>
      </c>
      <c r="BU11" s="551">
        <f t="shared" si="17"/>
        <v>539.79310502439887</v>
      </c>
      <c r="BV11" s="559">
        <f>(((BV109*'Income Statement'!BV8)/(365/4))*2)-'Balance Sheet'!BU11</f>
        <v>419.77188488883314</v>
      </c>
      <c r="BW11" s="116">
        <f>(((BW109*'Income Statement'!BW8)/(365/4))*2)-'Balance Sheet'!BV11</f>
        <v>636.33781470486235</v>
      </c>
      <c r="BX11" s="116">
        <f>(((BX109*'Income Statement'!BX8)/(365/4))*2)-'Balance Sheet'!BW11</f>
        <v>421.97246501205689</v>
      </c>
      <c r="BY11" s="116">
        <f>(((BY109*'Income Statement'!BY8)/(365/4))*2)-'Balance Sheet'!BX11</f>
        <v>614.64955985704762</v>
      </c>
      <c r="BZ11" s="551">
        <f t="shared" si="18"/>
        <v>614.64955985704762</v>
      </c>
    </row>
    <row r="12" spans="1:83" ht="14.1" customHeight="1" x14ac:dyDescent="0.2">
      <c r="C12" s="208" t="s">
        <v>112</v>
      </c>
      <c r="D12" s="116">
        <f t="shared" si="1"/>
        <v>28.251000000000001</v>
      </c>
      <c r="E12" s="116">
        <f t="shared" si="2"/>
        <v>29.567</v>
      </c>
      <c r="F12" s="116">
        <f t="shared" si="3"/>
        <v>27.724</v>
      </c>
      <c r="G12" s="116">
        <f t="shared" si="4"/>
        <v>29.393000000000001</v>
      </c>
      <c r="H12" s="116">
        <f t="shared" si="5"/>
        <v>32.911999999999999</v>
      </c>
      <c r="I12" s="116">
        <f t="shared" si="6"/>
        <v>22.524999999999999</v>
      </c>
      <c r="J12" s="570">
        <f t="shared" si="7"/>
        <v>32.648000000000003</v>
      </c>
      <c r="K12" s="116">
        <f t="shared" si="8"/>
        <v>32.348254178225183</v>
      </c>
      <c r="L12" s="116">
        <f t="shared" si="9"/>
        <v>42.755104995343409</v>
      </c>
      <c r="M12" s="116">
        <f t="shared" si="10"/>
        <v>49.170494599343968</v>
      </c>
      <c r="N12" s="116">
        <f t="shared" si="11"/>
        <v>53.373348525682246</v>
      </c>
      <c r="O12" s="116">
        <f t="shared" si="12"/>
        <v>57.144122225673172</v>
      </c>
      <c r="P12" s="559"/>
      <c r="Q12" s="551"/>
      <c r="R12" s="114" t="str">
        <f t="shared" si="13"/>
        <v>Prepaid expenses</v>
      </c>
      <c r="S12" s="116">
        <v>34.969000000000001</v>
      </c>
      <c r="T12" s="116">
        <v>30.219000000000001</v>
      </c>
      <c r="U12" s="116">
        <v>28.399000000000001</v>
      </c>
      <c r="V12" s="116">
        <v>28.251000000000001</v>
      </c>
      <c r="W12" s="116">
        <f>V12</f>
        <v>28.251000000000001</v>
      </c>
      <c r="X12" s="559">
        <v>34.066000000000003</v>
      </c>
      <c r="Y12" s="116">
        <v>30.853999999999999</v>
      </c>
      <c r="Z12" s="116">
        <v>26.155000000000001</v>
      </c>
      <c r="AA12" s="116">
        <v>29.567</v>
      </c>
      <c r="AB12" s="551">
        <f>AA12</f>
        <v>29.567</v>
      </c>
      <c r="AC12" s="559">
        <v>38.923000000000002</v>
      </c>
      <c r="AD12" s="116">
        <v>33.840000000000003</v>
      </c>
      <c r="AE12" s="116">
        <v>31.693999999999999</v>
      </c>
      <c r="AF12" s="116">
        <v>27.724</v>
      </c>
      <c r="AG12" s="551">
        <f>AF12</f>
        <v>27.724</v>
      </c>
      <c r="AH12" s="559">
        <v>41.563000000000002</v>
      </c>
      <c r="AI12" s="116">
        <v>34.082000000000001</v>
      </c>
      <c r="AJ12" s="116">
        <v>27.971</v>
      </c>
      <c r="AK12" s="116">
        <v>29.393000000000001</v>
      </c>
      <c r="AL12" s="551">
        <f>AK12</f>
        <v>29.393000000000001</v>
      </c>
      <c r="AM12" s="559">
        <v>52.16</v>
      </c>
      <c r="AN12" s="116">
        <v>38.31</v>
      </c>
      <c r="AO12" s="116">
        <v>33.045000000000002</v>
      </c>
      <c r="AP12" s="116">
        <v>32.911999999999999</v>
      </c>
      <c r="AQ12" s="551">
        <f>AP12</f>
        <v>32.911999999999999</v>
      </c>
      <c r="AR12" s="559">
        <v>46.997999999999998</v>
      </c>
      <c r="AS12" s="116">
        <v>32.040999999999997</v>
      </c>
      <c r="AT12" s="116">
        <v>54.122999999999998</v>
      </c>
      <c r="AU12" s="116">
        <v>22.524999999999999</v>
      </c>
      <c r="AV12" s="551">
        <f>AU12</f>
        <v>22.524999999999999</v>
      </c>
      <c r="AW12" s="559">
        <v>38.634999999999998</v>
      </c>
      <c r="AX12" s="116">
        <v>36.515000000000001</v>
      </c>
      <c r="AY12" s="116">
        <v>28.484999999999999</v>
      </c>
      <c r="AZ12" s="116">
        <v>32.648000000000003</v>
      </c>
      <c r="BA12" s="551">
        <f>AZ12</f>
        <v>32.648000000000003</v>
      </c>
      <c r="BB12" s="559">
        <v>51.231000000000002</v>
      </c>
      <c r="BC12" s="116">
        <v>42.762</v>
      </c>
      <c r="BD12" s="116">
        <v>35.746000000000002</v>
      </c>
      <c r="BE12" s="116">
        <f>IFERROR('Income Statement'!BE8*'Balance Sheet'!BE110,"NM")</f>
        <v>32.348254178225183</v>
      </c>
      <c r="BF12" s="551">
        <f t="shared" si="14"/>
        <v>32.348254178225183</v>
      </c>
      <c r="BG12" s="559">
        <f>IFERROR('Income Statement'!BG8*'Balance Sheet'!BG110,"NM")</f>
        <v>64.017286820660715</v>
      </c>
      <c r="BH12" s="116">
        <f>IFERROR('Income Statement'!BH8*'Balance Sheet'!BH110,"NM")</f>
        <v>59.603488503233265</v>
      </c>
      <c r="BI12" s="116">
        <f>IFERROR('Income Statement'!BI8*'Balance Sheet'!BI110,"NM")</f>
        <v>42.344811693118949</v>
      </c>
      <c r="BJ12" s="116">
        <f>IFERROR('Income Statement'!BJ8*'Balance Sheet'!BJ110,"NM")</f>
        <v>42.755104995343409</v>
      </c>
      <c r="BK12" s="551">
        <f t="shared" si="15"/>
        <v>42.755104995343409</v>
      </c>
      <c r="BL12" s="559">
        <f>IFERROR('Income Statement'!BL8*'Balance Sheet'!BL110,"NM")</f>
        <v>50.886456924024536</v>
      </c>
      <c r="BM12" s="116">
        <f>IFERROR('Income Statement'!BM8*'Balance Sheet'!BM110,"NM")</f>
        <v>58.654913994953283</v>
      </c>
      <c r="BN12" s="116">
        <f>IFERROR('Income Statement'!BN8*'Balance Sheet'!BN110,"NM")</f>
        <v>46.428243101312582</v>
      </c>
      <c r="BO12" s="116">
        <f>IFERROR('Income Statement'!BO8*'Balance Sheet'!BO110,"NM")</f>
        <v>49.170494599343968</v>
      </c>
      <c r="BP12" s="551">
        <f t="shared" si="16"/>
        <v>49.170494599343968</v>
      </c>
      <c r="BQ12" s="559">
        <f>IFERROR('Income Statement'!BQ8*'Balance Sheet'!BQ110,"NM")</f>
        <v>55.216310231733537</v>
      </c>
      <c r="BR12" s="116">
        <f>IFERROR('Income Statement'!BR8*'Balance Sheet'!BR110,"NM")</f>
        <v>63.888153518612498</v>
      </c>
      <c r="BS12" s="116">
        <f>IFERROR('Income Statement'!BS8*'Balance Sheet'!BS110,"NM")</f>
        <v>50.819167264238224</v>
      </c>
      <c r="BT12" s="116">
        <f>IFERROR('Income Statement'!BT8*'Balance Sheet'!BT110,"NM")</f>
        <v>53.373348525682246</v>
      </c>
      <c r="BU12" s="551">
        <f t="shared" si="17"/>
        <v>53.373348525682246</v>
      </c>
      <c r="BV12" s="559">
        <f>IFERROR('Income Statement'!BV8*'Balance Sheet'!BV110,"NM")</f>
        <v>59.549829821126579</v>
      </c>
      <c r="BW12" s="116">
        <f>IFERROR('Income Statement'!BW8*'Balance Sheet'!BW110,"NM")</f>
        <v>69.36658823809492</v>
      </c>
      <c r="BX12" s="116">
        <f>IFERROR('Income Statement'!BX8*'Balance Sheet'!BX110,"NM")</f>
        <v>55.040359754707644</v>
      </c>
      <c r="BY12" s="116">
        <f>IFERROR('Income Statement'!BY8*'Balance Sheet'!BY110,"NM")</f>
        <v>57.144122225673172</v>
      </c>
      <c r="BZ12" s="551">
        <f t="shared" si="18"/>
        <v>57.144122225673172</v>
      </c>
    </row>
    <row r="13" spans="1:83" ht="14.1" customHeight="1" x14ac:dyDescent="0.2">
      <c r="C13" s="208" t="s">
        <v>113</v>
      </c>
      <c r="D13" s="116">
        <f t="shared" si="1"/>
        <v>0</v>
      </c>
      <c r="E13" s="116">
        <f t="shared" si="2"/>
        <v>0</v>
      </c>
      <c r="F13" s="116">
        <f t="shared" si="3"/>
        <v>8.2880000000000003</v>
      </c>
      <c r="G13" s="116">
        <f t="shared" si="4"/>
        <v>9.6000000000000002E-2</v>
      </c>
      <c r="H13" s="116">
        <f t="shared" si="5"/>
        <v>0</v>
      </c>
      <c r="I13" s="116">
        <f t="shared" si="6"/>
        <v>23.437999999999999</v>
      </c>
      <c r="J13" s="570">
        <f t="shared" si="7"/>
        <v>0</v>
      </c>
      <c r="K13" s="116">
        <f t="shared" si="8"/>
        <v>7.8898180922500449</v>
      </c>
      <c r="L13" s="116">
        <f t="shared" si="9"/>
        <v>8.0165821866268878</v>
      </c>
      <c r="M13" s="116">
        <f t="shared" si="10"/>
        <v>9.4156266254062917</v>
      </c>
      <c r="N13" s="116">
        <f t="shared" si="11"/>
        <v>10.220428441088089</v>
      </c>
      <c r="O13" s="116">
        <f t="shared" si="12"/>
        <v>10.942491490022521</v>
      </c>
      <c r="P13" s="559"/>
      <c r="Q13" s="551"/>
      <c r="R13" s="114" t="str">
        <f t="shared" si="13"/>
        <v>Income tax receivable</v>
      </c>
      <c r="W13" s="116">
        <f>V13</f>
        <v>0</v>
      </c>
      <c r="X13" s="559"/>
      <c r="AB13" s="551">
        <f>AA13</f>
        <v>0</v>
      </c>
      <c r="AC13" s="559"/>
      <c r="AF13" s="116">
        <v>8.2880000000000003</v>
      </c>
      <c r="AG13" s="551">
        <f>AF13</f>
        <v>8.2880000000000003</v>
      </c>
      <c r="AH13" s="559">
        <v>6.5419999999999998</v>
      </c>
      <c r="AI13" s="116">
        <v>1.1499999999999999</v>
      </c>
      <c r="AK13" s="116">
        <v>9.6000000000000002E-2</v>
      </c>
      <c r="AL13" s="551">
        <f>AK13</f>
        <v>9.6000000000000002E-2</v>
      </c>
      <c r="AM13" s="559"/>
      <c r="AN13" s="116">
        <v>1.5980000000000001</v>
      </c>
      <c r="AQ13" s="551">
        <f>AP13</f>
        <v>0</v>
      </c>
      <c r="AR13" s="559"/>
      <c r="AS13" s="116">
        <v>9.4120000000000008</v>
      </c>
      <c r="AT13" s="116">
        <v>11.859</v>
      </c>
      <c r="AU13" s="116">
        <v>23.437999999999999</v>
      </c>
      <c r="AV13" s="551">
        <f>AU13</f>
        <v>23.437999999999999</v>
      </c>
      <c r="AW13" s="559">
        <v>6.391</v>
      </c>
      <c r="AX13" s="116">
        <v>1.4419999999999999</v>
      </c>
      <c r="AY13" s="116">
        <v>14.433999999999999</v>
      </c>
      <c r="BA13" s="551">
        <f>AZ13</f>
        <v>0</v>
      </c>
      <c r="BB13" s="559"/>
      <c r="BC13" s="116">
        <v>7.165</v>
      </c>
      <c r="BD13" s="116">
        <v>8.3290000000000006</v>
      </c>
      <c r="BE13" s="116">
        <f>IFERROR('Income Statement'!BE8*'Balance Sheet'!BE111,"NM")</f>
        <v>7.8898180922500449</v>
      </c>
      <c r="BF13" s="551">
        <f t="shared" si="14"/>
        <v>7.8898180922500449</v>
      </c>
      <c r="BG13" s="559">
        <f>IFERROR('Income Statement'!BG8*'Balance Sheet'!BG111,"NM")</f>
        <v>0.83139333533325599</v>
      </c>
      <c r="BH13" s="116">
        <f>IFERROR('Income Statement'!BH8*'Balance Sheet'!BH111,"NM")</f>
        <v>3.6792276853847699</v>
      </c>
      <c r="BI13" s="116">
        <f>IFERROR('Income Statement'!BI8*'Balance Sheet'!BI111,"NM")</f>
        <v>7.3643150770641652</v>
      </c>
      <c r="BJ13" s="116">
        <f>IFERROR('Income Statement'!BJ8*'Balance Sheet'!BJ111,"NM")</f>
        <v>8.0165821866268878</v>
      </c>
      <c r="BK13" s="551">
        <f t="shared" si="15"/>
        <v>8.0165821866268878</v>
      </c>
      <c r="BL13" s="559">
        <f>IFERROR('Income Statement'!BL8*'Balance Sheet'!BL111,"NM")</f>
        <v>0.94234179488934333</v>
      </c>
      <c r="BM13" s="116">
        <f>IFERROR('Income Statement'!BM8*'Balance Sheet'!BM111,"NM")</f>
        <v>4.1896367139252346</v>
      </c>
      <c r="BN13" s="116">
        <f>IFERROR('Income Statement'!BN8*'Balance Sheet'!BN111,"NM")</f>
        <v>12.662248118539797</v>
      </c>
      <c r="BO13" s="116">
        <f>IFERROR('Income Statement'!BO8*'Balance Sheet'!BO111,"NM")</f>
        <v>9.4156266254062917</v>
      </c>
      <c r="BP13" s="551">
        <f t="shared" si="16"/>
        <v>9.4156266254062917</v>
      </c>
      <c r="BQ13" s="559">
        <f>IFERROR('Income Statement'!BQ8*'Balance Sheet'!BQ111,"NM")</f>
        <v>1.0225242635506211</v>
      </c>
      <c r="BR13" s="116">
        <f>IFERROR('Income Statement'!BR8*'Balance Sheet'!BR111,"NM")</f>
        <v>4.5634395370437497</v>
      </c>
      <c r="BS13" s="116">
        <f>IFERROR('Income Statement'!BS8*'Balance Sheet'!BS111,"NM")</f>
        <v>13.85977289024679</v>
      </c>
      <c r="BT13" s="116">
        <f>IFERROR('Income Statement'!BT8*'Balance Sheet'!BT111,"NM")</f>
        <v>10.220428441088089</v>
      </c>
      <c r="BU13" s="551">
        <f t="shared" si="17"/>
        <v>10.220428441088089</v>
      </c>
      <c r="BV13" s="559">
        <f>IFERROR('Income Statement'!BV8*'Balance Sheet'!BV111,"NM")</f>
        <v>1.1027746263171589</v>
      </c>
      <c r="BW13" s="116">
        <f>IFERROR('Income Statement'!BW8*'Balance Sheet'!BW111,"NM")</f>
        <v>4.9547563027210657</v>
      </c>
      <c r="BX13" s="116">
        <f>IFERROR('Income Statement'!BX8*'Balance Sheet'!BX111,"NM")</f>
        <v>15.01100720582936</v>
      </c>
      <c r="BY13" s="116">
        <f>IFERROR('Income Statement'!BY8*'Balance Sheet'!BY111,"NM")</f>
        <v>10.942491490022521</v>
      </c>
      <c r="BZ13" s="551">
        <f t="shared" si="18"/>
        <v>10.942491490022521</v>
      </c>
    </row>
    <row r="14" spans="1:83" ht="14.1" customHeight="1" x14ac:dyDescent="0.2">
      <c r="C14" s="208" t="s">
        <v>114</v>
      </c>
      <c r="D14" s="116">
        <f t="shared" si="1"/>
        <v>0</v>
      </c>
      <c r="E14" s="116">
        <f t="shared" si="2"/>
        <v>0</v>
      </c>
      <c r="F14" s="116">
        <f t="shared" si="3"/>
        <v>0</v>
      </c>
      <c r="G14" s="116">
        <f t="shared" si="4"/>
        <v>0</v>
      </c>
      <c r="H14" s="116">
        <f t="shared" si="5"/>
        <v>0</v>
      </c>
      <c r="I14" s="116">
        <f t="shared" si="6"/>
        <v>7.2270000000000003</v>
      </c>
      <c r="J14" s="570">
        <f t="shared" si="7"/>
        <v>8.0890000000000004</v>
      </c>
      <c r="K14" s="116">
        <f t="shared" si="8"/>
        <v>5.9173635691875335</v>
      </c>
      <c r="L14" s="116">
        <f t="shared" si="9"/>
        <v>6.2351194784875803</v>
      </c>
      <c r="M14" s="116">
        <f t="shared" si="10"/>
        <v>3.1385422084687638</v>
      </c>
      <c r="N14" s="116">
        <f t="shared" si="11"/>
        <v>3.4068094803626963</v>
      </c>
      <c r="O14" s="116">
        <f t="shared" si="12"/>
        <v>3.6474971633408408</v>
      </c>
      <c r="P14" s="559"/>
      <c r="Q14" s="551"/>
      <c r="R14" s="114" t="str">
        <f t="shared" si="13"/>
        <v>Other current assets</v>
      </c>
      <c r="W14" s="116">
        <f>V14</f>
        <v>0</v>
      </c>
      <c r="X14" s="559"/>
      <c r="AB14" s="551">
        <f>AA14</f>
        <v>0</v>
      </c>
      <c r="AC14" s="559"/>
      <c r="AG14" s="551">
        <f>AF14</f>
        <v>0</v>
      </c>
      <c r="AH14" s="559"/>
      <c r="AL14" s="551">
        <f>AK14</f>
        <v>0</v>
      </c>
      <c r="AM14" s="559"/>
      <c r="AQ14" s="551">
        <f>AP14</f>
        <v>0</v>
      </c>
      <c r="AR14" s="559"/>
      <c r="AU14" s="116">
        <v>7.2270000000000003</v>
      </c>
      <c r="AV14" s="551">
        <f>AU14</f>
        <v>7.2270000000000003</v>
      </c>
      <c r="AW14" s="559">
        <v>7.1459999999999999</v>
      </c>
      <c r="AX14" s="116">
        <v>6.3639999999999999</v>
      </c>
      <c r="AY14" s="116">
        <v>7.4720000000000004</v>
      </c>
      <c r="AZ14" s="116">
        <v>8.0890000000000004</v>
      </c>
      <c r="BA14" s="551">
        <f>AZ14</f>
        <v>8.0890000000000004</v>
      </c>
      <c r="BB14" s="559">
        <v>6.9130000000000003</v>
      </c>
      <c r="BC14" s="116">
        <v>9.0969999999999995</v>
      </c>
      <c r="BD14" s="116">
        <v>6.4710000000000001</v>
      </c>
      <c r="BE14" s="116">
        <f>IFERROR('Income Statement'!BE8*'Balance Sheet'!BE112,"NM")</f>
        <v>5.9173635691875335</v>
      </c>
      <c r="BF14" s="551">
        <f t="shared" si="14"/>
        <v>5.9173635691875335</v>
      </c>
      <c r="BG14" s="559">
        <f>IFERROR('Income Statement'!BG8*'Balance Sheet'!BG112,"NM")</f>
        <v>7.4825400179993036</v>
      </c>
      <c r="BH14" s="116">
        <f>IFERROR('Income Statement'!BH8*'Balance Sheet'!BH112,"NM")</f>
        <v>10.117876134808116</v>
      </c>
      <c r="BI14" s="116">
        <f>IFERROR('Income Statement'!BI8*'Balance Sheet'!BI112,"NM")</f>
        <v>7.3643150770641652</v>
      </c>
      <c r="BJ14" s="116">
        <f>IFERROR('Income Statement'!BJ8*'Balance Sheet'!BJ112,"NM")</f>
        <v>6.2351194784875803</v>
      </c>
      <c r="BK14" s="551">
        <f t="shared" si="15"/>
        <v>6.2351194784875803</v>
      </c>
      <c r="BL14" s="559">
        <f>IFERROR('Income Statement'!BL8*'Balance Sheet'!BL112,"NM")</f>
        <v>8.4810761540040893</v>
      </c>
      <c r="BM14" s="116">
        <f>IFERROR('Income Statement'!BM8*'Balance Sheet'!BM112,"NM")</f>
        <v>11.521500963294393</v>
      </c>
      <c r="BN14" s="116">
        <f>IFERROR('Income Statement'!BN8*'Balance Sheet'!BN112,"NM")</f>
        <v>8.4414987456931971</v>
      </c>
      <c r="BO14" s="116">
        <f>IFERROR('Income Statement'!BO8*'Balance Sheet'!BO112,"NM")</f>
        <v>3.1385422084687638</v>
      </c>
      <c r="BP14" s="551">
        <f t="shared" si="16"/>
        <v>3.1385422084687638</v>
      </c>
      <c r="BQ14" s="559">
        <f>IFERROR('Income Statement'!BQ8*'Balance Sheet'!BQ112,"NM")</f>
        <v>9.2027183719555889</v>
      </c>
      <c r="BR14" s="116">
        <f>IFERROR('Income Statement'!BR8*'Balance Sheet'!BR112,"NM")</f>
        <v>12.549458726870311</v>
      </c>
      <c r="BS14" s="116">
        <f>IFERROR('Income Statement'!BS8*'Balance Sheet'!BS112,"NM")</f>
        <v>9.2398485934978609</v>
      </c>
      <c r="BT14" s="116">
        <f>IFERROR('Income Statement'!BT8*'Balance Sheet'!BT112,"NM")</f>
        <v>3.4068094803626963</v>
      </c>
      <c r="BU14" s="551">
        <f t="shared" si="17"/>
        <v>3.4068094803626963</v>
      </c>
      <c r="BV14" s="559">
        <f>IFERROR('Income Statement'!BV8*'Balance Sheet'!BV112,"NM")</f>
        <v>9.9249716368544298</v>
      </c>
      <c r="BW14" s="116">
        <f>IFERROR('Income Statement'!BW8*'Balance Sheet'!BW112,"NM")</f>
        <v>13.625579832482929</v>
      </c>
      <c r="BX14" s="116">
        <f>IFERROR('Income Statement'!BX8*'Balance Sheet'!BX112,"NM")</f>
        <v>10.007338137219573</v>
      </c>
      <c r="BY14" s="116">
        <f>IFERROR('Income Statement'!BY8*'Balance Sheet'!BY112,"NM")</f>
        <v>3.6474971633408408</v>
      </c>
      <c r="BZ14" s="551">
        <f t="shared" si="18"/>
        <v>3.6474971633408408</v>
      </c>
    </row>
    <row r="15" spans="1:83" ht="14.1" customHeight="1" x14ac:dyDescent="0.2">
      <c r="C15" s="564" t="s">
        <v>115</v>
      </c>
      <c r="D15" s="119">
        <f>IFERROR(SUM(D9:D14),"NM")</f>
        <v>203.249</v>
      </c>
      <c r="E15" s="119">
        <f>SUM(E9:E14)</f>
        <v>213.37299999999999</v>
      </c>
      <c r="F15" s="119">
        <f t="shared" ref="F15:O15" si="19">SUM(F9:F14)</f>
        <v>232.37899999999999</v>
      </c>
      <c r="G15" s="119">
        <f t="shared" si="19"/>
        <v>271.69600000000003</v>
      </c>
      <c r="H15" s="119">
        <f t="shared" si="19"/>
        <v>416.25499999999994</v>
      </c>
      <c r="I15" s="119">
        <f t="shared" si="19"/>
        <v>530.88599999999997</v>
      </c>
      <c r="J15" s="571">
        <f t="shared" si="19"/>
        <v>648.69400000000007</v>
      </c>
      <c r="K15" s="119">
        <f t="shared" si="19"/>
        <v>413.66320549863275</v>
      </c>
      <c r="L15" s="119">
        <f t="shared" si="19"/>
        <v>558.85835994439276</v>
      </c>
      <c r="M15" s="119">
        <f t="shared" si="19"/>
        <v>816.73742299083267</v>
      </c>
      <c r="N15" s="119">
        <f t="shared" si="19"/>
        <v>943.06516527353767</v>
      </c>
      <c r="O15" s="119">
        <f t="shared" si="19"/>
        <v>1032.5092003610353</v>
      </c>
      <c r="P15" s="606"/>
      <c r="Q15" s="607"/>
      <c r="R15" s="120" t="str">
        <f t="shared" si="13"/>
        <v>Total Current Assets</v>
      </c>
      <c r="S15" s="119">
        <f t="shared" ref="S15:BF15" si="20">IFERROR(SUM(S9:S14),"NM")</f>
        <v>184.648</v>
      </c>
      <c r="T15" s="119">
        <f t="shared" si="20"/>
        <v>197.63</v>
      </c>
      <c r="U15" s="119">
        <f t="shared" si="20"/>
        <v>200.59899999999999</v>
      </c>
      <c r="V15" s="119">
        <f t="shared" si="20"/>
        <v>203.249</v>
      </c>
      <c r="W15" s="119">
        <f t="shared" si="20"/>
        <v>203.249</v>
      </c>
      <c r="X15" s="560">
        <f t="shared" si="20"/>
        <v>225.99900000000002</v>
      </c>
      <c r="Y15" s="119">
        <f t="shared" si="20"/>
        <v>232.68700000000001</v>
      </c>
      <c r="Z15" s="119">
        <f t="shared" si="20"/>
        <v>224.65700000000001</v>
      </c>
      <c r="AA15" s="119">
        <f t="shared" si="20"/>
        <v>213.37299999999999</v>
      </c>
      <c r="AB15" s="552">
        <f t="shared" si="20"/>
        <v>213.37299999999999</v>
      </c>
      <c r="AC15" s="560">
        <f t="shared" si="20"/>
        <v>241.08700000000002</v>
      </c>
      <c r="AD15" s="119">
        <f t="shared" si="20"/>
        <v>261.38900000000001</v>
      </c>
      <c r="AE15" s="119">
        <f t="shared" si="20"/>
        <v>249.70899999999997</v>
      </c>
      <c r="AF15" s="119">
        <f t="shared" si="20"/>
        <v>232.37899999999999</v>
      </c>
      <c r="AG15" s="552">
        <f t="shared" si="20"/>
        <v>232.37899999999999</v>
      </c>
      <c r="AH15" s="560">
        <f t="shared" si="20"/>
        <v>305.90799999999996</v>
      </c>
      <c r="AI15" s="119">
        <f t="shared" si="20"/>
        <v>269.64299999999997</v>
      </c>
      <c r="AJ15" s="119">
        <f t="shared" si="20"/>
        <v>280.11699999999996</v>
      </c>
      <c r="AK15" s="119">
        <f t="shared" si="20"/>
        <v>271.69600000000003</v>
      </c>
      <c r="AL15" s="552">
        <f t="shared" si="20"/>
        <v>271.69600000000003</v>
      </c>
      <c r="AM15" s="560">
        <f t="shared" si="20"/>
        <v>348.31500000000005</v>
      </c>
      <c r="AN15" s="119">
        <f t="shared" si="20"/>
        <v>353.88100000000003</v>
      </c>
      <c r="AO15" s="119">
        <f t="shared" si="20"/>
        <v>450.60900000000004</v>
      </c>
      <c r="AP15" s="119">
        <f t="shared" si="20"/>
        <v>416.25499999999994</v>
      </c>
      <c r="AQ15" s="552">
        <f t="shared" si="20"/>
        <v>416.25499999999994</v>
      </c>
      <c r="AR15" s="560">
        <f t="shared" si="20"/>
        <v>510.666</v>
      </c>
      <c r="AS15" s="119">
        <f t="shared" si="20"/>
        <v>536.37599999999998</v>
      </c>
      <c r="AT15" s="119">
        <f t="shared" si="20"/>
        <v>551.40200000000004</v>
      </c>
      <c r="AU15" s="119">
        <f t="shared" si="20"/>
        <v>530.88599999999997</v>
      </c>
      <c r="AV15" s="552">
        <f t="shared" si="20"/>
        <v>530.88599999999997</v>
      </c>
      <c r="AW15" s="560">
        <f t="shared" si="20"/>
        <v>513.51400000000001</v>
      </c>
      <c r="AX15" s="119">
        <f t="shared" si="20"/>
        <v>578.86900000000003</v>
      </c>
      <c r="AY15" s="119">
        <f t="shared" si="20"/>
        <v>645.59299999999996</v>
      </c>
      <c r="AZ15" s="119">
        <f t="shared" si="20"/>
        <v>648.69400000000007</v>
      </c>
      <c r="BA15" s="552">
        <f t="shared" si="20"/>
        <v>648.69400000000007</v>
      </c>
      <c r="BB15" s="560">
        <f t="shared" si="20"/>
        <v>416.26</v>
      </c>
      <c r="BC15" s="119">
        <f t="shared" si="20"/>
        <v>446.06099999999998</v>
      </c>
      <c r="BD15" s="119">
        <f t="shared" si="20"/>
        <v>437.34699999999998</v>
      </c>
      <c r="BE15" s="119">
        <f t="shared" si="20"/>
        <v>413.66320549863275</v>
      </c>
      <c r="BF15" s="552">
        <f t="shared" si="20"/>
        <v>413.66320549863275</v>
      </c>
      <c r="BG15" s="560">
        <f>IFERROR(SUM(BG9:BG14),"NM")</f>
        <v>535.98973756115095</v>
      </c>
      <c r="BH15" s="119">
        <f>IFERROR(SUM(BH9:BH14),"NM")</f>
        <v>594.56560947377432</v>
      </c>
      <c r="BI15" s="119">
        <f>IFERROR(SUM(BI9:BI14),"NM")</f>
        <v>609.59310556896332</v>
      </c>
      <c r="BJ15" s="119">
        <f>IFERROR(SUM(BJ9:BJ14),"NM")</f>
        <v>558.85835994439276</v>
      </c>
      <c r="BK15" s="552">
        <f>IFERROR(SUM(BK9:BK14),"NM")</f>
        <v>558.85835994439276</v>
      </c>
      <c r="BL15" s="560">
        <f t="shared" ref="BL15:BZ15" si="21">IFERROR(SUM(BL9:BL14),"NM")</f>
        <v>664.17357794733914</v>
      </c>
      <c r="BM15" s="119">
        <f t="shared" si="21"/>
        <v>724.8328995416889</v>
      </c>
      <c r="BN15" s="119">
        <f t="shared" si="21"/>
        <v>779.53962896416851</v>
      </c>
      <c r="BO15" s="119">
        <f t="shared" si="21"/>
        <v>816.73742299083267</v>
      </c>
      <c r="BP15" s="552">
        <f t="shared" si="21"/>
        <v>816.73742299083267</v>
      </c>
      <c r="BQ15" s="560">
        <f t="shared" si="21"/>
        <v>782.67850068518601</v>
      </c>
      <c r="BR15" s="119">
        <f t="shared" si="21"/>
        <v>887.00849505770441</v>
      </c>
      <c r="BS15" s="119">
        <f t="shared" si="21"/>
        <v>867.14859560882303</v>
      </c>
      <c r="BT15" s="119">
        <f t="shared" si="21"/>
        <v>943.06516527353767</v>
      </c>
      <c r="BU15" s="552">
        <f t="shared" si="21"/>
        <v>943.06516527353767</v>
      </c>
      <c r="BV15" s="560">
        <f t="shared" si="21"/>
        <v>838.85712212404701</v>
      </c>
      <c r="BW15" s="119">
        <f t="shared" si="21"/>
        <v>1004.1326002475575</v>
      </c>
      <c r="BX15" s="119">
        <f t="shared" si="21"/>
        <v>926.9649082108599</v>
      </c>
      <c r="BY15" s="119">
        <f t="shared" si="21"/>
        <v>1032.5092003610353</v>
      </c>
      <c r="BZ15" s="552">
        <f t="shared" si="21"/>
        <v>1032.5092003610353</v>
      </c>
    </row>
    <row r="16" spans="1:83" ht="2.1" customHeight="1" x14ac:dyDescent="0.2">
      <c r="C16" s="565"/>
      <c r="J16" s="570"/>
      <c r="P16" s="559"/>
      <c r="Q16" s="551"/>
      <c r="R16" s="114"/>
      <c r="X16" s="559"/>
      <c r="AB16" s="551"/>
      <c r="AC16" s="559"/>
      <c r="AG16" s="551"/>
      <c r="AH16" s="559"/>
      <c r="AL16" s="551"/>
      <c r="AM16" s="559"/>
      <c r="AQ16" s="551"/>
      <c r="AR16" s="559"/>
      <c r="AV16" s="551"/>
      <c r="AW16" s="559"/>
      <c r="BA16" s="551"/>
      <c r="BB16" s="559"/>
      <c r="BF16" s="551"/>
      <c r="BG16" s="559"/>
      <c r="BK16" s="551"/>
      <c r="BL16" s="559"/>
      <c r="BP16" s="551"/>
      <c r="BQ16" s="559"/>
      <c r="BU16" s="551"/>
      <c r="BV16" s="559"/>
      <c r="BZ16" s="551"/>
    </row>
    <row r="17" spans="3:78" ht="14.1" customHeight="1" x14ac:dyDescent="0.2">
      <c r="C17" s="208" t="s">
        <v>116</v>
      </c>
      <c r="D17" s="116">
        <f>W17</f>
        <v>1289.9939999999999</v>
      </c>
      <c r="E17" s="116">
        <f>AB17</f>
        <v>1521.3409999999999</v>
      </c>
      <c r="F17" s="116">
        <f>AG17</f>
        <v>1739.222</v>
      </c>
      <c r="G17" s="116">
        <f>AL17</f>
        <v>1901.2439999999999</v>
      </c>
      <c r="H17" s="116">
        <f>AQ17</f>
        <v>2144.5279999999998</v>
      </c>
      <c r="I17" s="116">
        <f>AV17</f>
        <v>2478.8240000000001</v>
      </c>
      <c r="J17" s="570">
        <f>BA17</f>
        <v>2881.8</v>
      </c>
      <c r="K17" s="116">
        <f>BF17</f>
        <v>3822.5120000000002</v>
      </c>
      <c r="L17" s="116">
        <f>BK17</f>
        <v>4420.1131688941314</v>
      </c>
      <c r="M17" s="116">
        <f>BP17</f>
        <v>5004.828560470145</v>
      </c>
      <c r="N17" s="116">
        <f>BU17</f>
        <v>5522.6107176099349</v>
      </c>
      <c r="O17" s="116">
        <f>BZ17</f>
        <v>6007.3132326188934</v>
      </c>
      <c r="P17" s="559"/>
      <c r="Q17" s="551"/>
      <c r="R17" s="114" t="str">
        <f t="shared" si="13"/>
        <v>Property and Equipment</v>
      </c>
      <c r="S17" s="116">
        <v>1216.711</v>
      </c>
      <c r="T17" s="116">
        <v>1233.9059999999999</v>
      </c>
      <c r="U17" s="116">
        <v>1260.856</v>
      </c>
      <c r="V17" s="116">
        <v>1289.9939999999999</v>
      </c>
      <c r="W17" s="116">
        <f>V17</f>
        <v>1289.9939999999999</v>
      </c>
      <c r="X17" s="559">
        <v>1334.557</v>
      </c>
      <c r="Y17" s="116">
        <v>1419.3589999999999</v>
      </c>
      <c r="Z17" s="116">
        <v>1445.049</v>
      </c>
      <c r="AA17" s="116">
        <v>1521.3409999999999</v>
      </c>
      <c r="AB17" s="551">
        <f>AA17</f>
        <v>1521.3409999999999</v>
      </c>
      <c r="AC17" s="559">
        <v>1553.9380000000001</v>
      </c>
      <c r="AD17" s="116">
        <v>1665.557</v>
      </c>
      <c r="AE17" s="116">
        <v>1735.019</v>
      </c>
      <c r="AF17" s="116">
        <v>1739.222</v>
      </c>
      <c r="AG17" s="551">
        <f>AF17</f>
        <v>1739.222</v>
      </c>
      <c r="AH17" s="559">
        <v>1834.768</v>
      </c>
      <c r="AI17" s="116">
        <v>1862.048</v>
      </c>
      <c r="AJ17" s="116">
        <v>1903.383</v>
      </c>
      <c r="AK17" s="116">
        <v>1901.2439999999999</v>
      </c>
      <c r="AL17" s="551">
        <f>AK17</f>
        <v>1901.2439999999999</v>
      </c>
      <c r="AM17" s="559">
        <v>1918.279</v>
      </c>
      <c r="AN17" s="116">
        <v>1983.923</v>
      </c>
      <c r="AO17" s="116">
        <v>2048.4189999999999</v>
      </c>
      <c r="AP17" s="116">
        <v>2144.5279999999998</v>
      </c>
      <c r="AQ17" s="551">
        <f>AP17</f>
        <v>2144.5279999999998</v>
      </c>
      <c r="AR17" s="559">
        <v>2162.4920000000002</v>
      </c>
      <c r="AS17" s="116">
        <v>2277.527</v>
      </c>
      <c r="AT17" s="116">
        <v>2403.7020000000002</v>
      </c>
      <c r="AU17" s="116">
        <v>2478.8240000000001</v>
      </c>
      <c r="AV17" s="551">
        <f>AU17</f>
        <v>2478.8240000000001</v>
      </c>
      <c r="AW17" s="559">
        <v>2602.9630000000002</v>
      </c>
      <c r="AX17" s="116">
        <v>2683.192</v>
      </c>
      <c r="AY17" s="116">
        <v>2789.357</v>
      </c>
      <c r="AZ17" s="116">
        <v>2881.8</v>
      </c>
      <c r="BA17" s="551">
        <f>AZ17</f>
        <v>2881.8</v>
      </c>
      <c r="BB17" s="559">
        <v>3336.4929999999999</v>
      </c>
      <c r="BC17" s="116">
        <v>3535.4569999999999</v>
      </c>
      <c r="BD17" s="116">
        <v>3704.2809999999999</v>
      </c>
      <c r="BE17" s="116">
        <f>BE144</f>
        <v>3822.5120000000002</v>
      </c>
      <c r="BF17" s="551">
        <f>BE17</f>
        <v>3822.5120000000002</v>
      </c>
      <c r="BG17" s="559">
        <f>BG144</f>
        <v>3943.2213332423676</v>
      </c>
      <c r="BH17" s="116">
        <f>BH144</f>
        <v>4099.5679061961819</v>
      </c>
      <c r="BI17" s="116">
        <f>BI144</f>
        <v>4257.6688885360109</v>
      </c>
      <c r="BJ17" s="116">
        <f>BJ144</f>
        <v>4420.1131688941314</v>
      </c>
      <c r="BK17" s="551">
        <f>BJ17</f>
        <v>4420.1131688941314</v>
      </c>
      <c r="BL17" s="559">
        <f>BL144</f>
        <v>4548.5884683105232</v>
      </c>
      <c r="BM17" s="116">
        <f>BM144</f>
        <v>4698.8064263154629</v>
      </c>
      <c r="BN17" s="116">
        <f>BN144</f>
        <v>4852.0082325264875</v>
      </c>
      <c r="BO17" s="116">
        <f>BO144</f>
        <v>5004.828560470145</v>
      </c>
      <c r="BP17" s="551">
        <f>BO17</f>
        <v>5004.828560470145</v>
      </c>
      <c r="BQ17" s="559">
        <f>BQ144</f>
        <v>5130.657022012615</v>
      </c>
      <c r="BR17" s="116">
        <f>BR144</f>
        <v>5264.9874549989308</v>
      </c>
      <c r="BS17" s="116">
        <f>BS144</f>
        <v>5399.9580813360208</v>
      </c>
      <c r="BT17" s="116">
        <f>BT144</f>
        <v>5522.6107176099349</v>
      </c>
      <c r="BU17" s="551">
        <f>BT17</f>
        <v>5522.6107176099349</v>
      </c>
      <c r="BV17" s="559">
        <f>BV144</f>
        <v>5638.7887964346864</v>
      </c>
      <c r="BW17" s="116">
        <f>BW144</f>
        <v>5763.8025004464571</v>
      </c>
      <c r="BX17" s="116">
        <f>BX144</f>
        <v>5887.8354507867843</v>
      </c>
      <c r="BY17" s="116">
        <f>BY144</f>
        <v>6007.3132326188934</v>
      </c>
      <c r="BZ17" s="551">
        <f>BY17</f>
        <v>6007.3132326188934</v>
      </c>
    </row>
    <row r="18" spans="3:78" ht="14.1" customHeight="1" x14ac:dyDescent="0.2">
      <c r="C18" s="208" t="s">
        <v>117</v>
      </c>
      <c r="D18" s="116">
        <f>W18</f>
        <v>554.21400000000006</v>
      </c>
      <c r="E18" s="116">
        <f>AB18</f>
        <v>628.28300000000002</v>
      </c>
      <c r="F18" s="116">
        <f>AG18</f>
        <v>686.62300000000005</v>
      </c>
      <c r="G18" s="116">
        <f>AL18</f>
        <v>765.21699999999998</v>
      </c>
      <c r="H18" s="116">
        <f>AQ18</f>
        <v>864.07399999999996</v>
      </c>
      <c r="I18" s="116">
        <f>AV18</f>
        <v>996.20399999999995</v>
      </c>
      <c r="J18" s="570">
        <f>BA18</f>
        <v>1118.492</v>
      </c>
      <c r="K18" s="116">
        <f>BF18</f>
        <v>1260.9435517647059</v>
      </c>
      <c r="L18" s="116">
        <f>BK18</f>
        <v>1423.2146942497834</v>
      </c>
      <c r="M18" s="116">
        <f>BP18</f>
        <v>1622.34271418761</v>
      </c>
      <c r="N18" s="116">
        <f>BU18</f>
        <v>1863.3949497766007</v>
      </c>
      <c r="O18" s="116">
        <f>BZ18</f>
        <v>2138.1865559718904</v>
      </c>
      <c r="P18" s="559"/>
      <c r="Q18" s="551"/>
      <c r="R18" s="114" t="str">
        <f t="shared" si="13"/>
        <v>Less: Accumulated Depreciation</v>
      </c>
      <c r="S18" s="116">
        <v>504.32400000000001</v>
      </c>
      <c r="T18" s="116">
        <v>520.68200000000002</v>
      </c>
      <c r="U18" s="116">
        <v>538.06500000000005</v>
      </c>
      <c r="V18" s="116">
        <v>554.21400000000006</v>
      </c>
      <c r="W18" s="116">
        <f>V18</f>
        <v>554.21400000000006</v>
      </c>
      <c r="X18" s="559">
        <v>573.69899999999996</v>
      </c>
      <c r="Y18" s="116">
        <v>594.678</v>
      </c>
      <c r="Z18" s="116">
        <v>609.32399999999996</v>
      </c>
      <c r="AA18" s="116">
        <v>628.28300000000002</v>
      </c>
      <c r="AB18" s="551">
        <f>AA18</f>
        <v>628.28300000000002</v>
      </c>
      <c r="AC18" s="559">
        <v>648.40800000000002</v>
      </c>
      <c r="AD18" s="116">
        <v>674.22</v>
      </c>
      <c r="AE18" s="116">
        <v>693.89499999999998</v>
      </c>
      <c r="AF18" s="116">
        <v>686.62300000000005</v>
      </c>
      <c r="AG18" s="551">
        <f>AF18</f>
        <v>686.62300000000005</v>
      </c>
      <c r="AH18" s="559">
        <v>712.88199999999995</v>
      </c>
      <c r="AI18" s="116">
        <v>743.34500000000003</v>
      </c>
      <c r="AJ18" s="116">
        <v>762.26400000000001</v>
      </c>
      <c r="AK18" s="116">
        <v>765.21699999999998</v>
      </c>
      <c r="AL18" s="551">
        <f>AK18</f>
        <v>765.21699999999998</v>
      </c>
      <c r="AM18" s="559">
        <v>796.51099999999997</v>
      </c>
      <c r="AN18" s="116">
        <v>826.98299999999995</v>
      </c>
      <c r="AO18" s="116">
        <v>846.19500000000005</v>
      </c>
      <c r="AP18" s="116">
        <v>864.07399999999996</v>
      </c>
      <c r="AQ18" s="551">
        <f>AP18</f>
        <v>864.07399999999996</v>
      </c>
      <c r="AR18" s="559">
        <v>890.92700000000002</v>
      </c>
      <c r="AS18" s="116">
        <v>924.62800000000004</v>
      </c>
      <c r="AT18" s="116">
        <v>964.53300000000002</v>
      </c>
      <c r="AU18" s="116">
        <v>996.20399999999995</v>
      </c>
      <c r="AV18" s="551">
        <f>AU18</f>
        <v>996.20399999999995</v>
      </c>
      <c r="AW18" s="559">
        <v>1034.6489999999999</v>
      </c>
      <c r="AX18" s="116">
        <v>1075.6389999999999</v>
      </c>
      <c r="AY18" s="116">
        <v>1115.8579999999999</v>
      </c>
      <c r="AZ18" s="116">
        <v>1118.492</v>
      </c>
      <c r="BA18" s="551">
        <f>AZ18</f>
        <v>1118.492</v>
      </c>
      <c r="BB18" s="559">
        <v>1159.6289999999999</v>
      </c>
      <c r="BC18" s="116">
        <v>1194.231</v>
      </c>
      <c r="BD18" s="116">
        <v>1222.373</v>
      </c>
      <c r="BE18" s="116">
        <f>BE148</f>
        <v>1260.9435517647059</v>
      </c>
      <c r="BF18" s="551">
        <f>BE18</f>
        <v>1260.9435517647059</v>
      </c>
      <c r="BG18" s="559">
        <f>BG148</f>
        <v>1302.0417931305062</v>
      </c>
      <c r="BH18" s="116">
        <f>BH148</f>
        <v>1340.4526920366941</v>
      </c>
      <c r="BI18" s="116">
        <f>BI148</f>
        <v>1380.9431188679871</v>
      </c>
      <c r="BJ18" s="116">
        <f>BJ148</f>
        <v>1423.2146942497834</v>
      </c>
      <c r="BK18" s="551">
        <f>BJ18</f>
        <v>1423.2146942497834</v>
      </c>
      <c r="BL18" s="559">
        <f>BL148</f>
        <v>1472.1287371804112</v>
      </c>
      <c r="BM18" s="116">
        <f>BM148</f>
        <v>1520.2095164632951</v>
      </c>
      <c r="BN18" s="116">
        <f>BN148</f>
        <v>1570.1257471845913</v>
      </c>
      <c r="BO18" s="116">
        <f>BO148</f>
        <v>1622.34271418761</v>
      </c>
      <c r="BP18" s="551">
        <f>BO18</f>
        <v>1622.34271418761</v>
      </c>
      <c r="BQ18" s="559">
        <f>BQ148</f>
        <v>1680.186948768267</v>
      </c>
      <c r="BR18" s="116">
        <f>BR148</f>
        <v>1738.8169887211723</v>
      </c>
      <c r="BS18" s="116">
        <f>BS148</f>
        <v>1799.3423114840396</v>
      </c>
      <c r="BT18" s="116">
        <f>BT148</f>
        <v>1863.3949497766007</v>
      </c>
      <c r="BU18" s="551">
        <f>BT18</f>
        <v>1863.3949497766007</v>
      </c>
      <c r="BV18" s="559">
        <f>BV148</f>
        <v>1930.0620445865018</v>
      </c>
      <c r="BW18" s="116">
        <f>BW148</f>
        <v>1997.3312473986132</v>
      </c>
      <c r="BX18" s="116">
        <f>BX148</f>
        <v>2066.5616965841527</v>
      </c>
      <c r="BY18" s="116">
        <f>BY148</f>
        <v>2138.1865559718904</v>
      </c>
      <c r="BZ18" s="551">
        <f>BY18</f>
        <v>2138.1865559718904</v>
      </c>
    </row>
    <row r="19" spans="3:78" ht="14.1" customHeight="1" x14ac:dyDescent="0.2">
      <c r="C19" s="564" t="s">
        <v>118</v>
      </c>
      <c r="D19" s="119">
        <f t="shared" ref="D19:O19" si="22">IFERROR(D17-D18,"NM")</f>
        <v>735.77999999999986</v>
      </c>
      <c r="E19" s="119">
        <f t="shared" si="22"/>
        <v>893.05799999999988</v>
      </c>
      <c r="F19" s="119">
        <f t="shared" si="22"/>
        <v>1052.5989999999999</v>
      </c>
      <c r="G19" s="119">
        <f t="shared" si="22"/>
        <v>1136.027</v>
      </c>
      <c r="H19" s="119">
        <f t="shared" si="22"/>
        <v>1280.4539999999997</v>
      </c>
      <c r="I19" s="119">
        <f t="shared" si="22"/>
        <v>1482.6200000000001</v>
      </c>
      <c r="J19" s="571">
        <f t="shared" si="22"/>
        <v>1763.3080000000002</v>
      </c>
      <c r="K19" s="119">
        <f t="shared" si="22"/>
        <v>2561.5684482352945</v>
      </c>
      <c r="L19" s="119">
        <f t="shared" si="22"/>
        <v>2996.898474644348</v>
      </c>
      <c r="M19" s="119">
        <f t="shared" si="22"/>
        <v>3382.485846282535</v>
      </c>
      <c r="N19" s="119">
        <f t="shared" si="22"/>
        <v>3659.2157678333342</v>
      </c>
      <c r="O19" s="119">
        <f t="shared" si="22"/>
        <v>3869.126676647003</v>
      </c>
      <c r="P19" s="606"/>
      <c r="Q19" s="607"/>
      <c r="R19" s="120" t="str">
        <f t="shared" si="13"/>
        <v>Net Property and Equipment</v>
      </c>
      <c r="S19" s="119">
        <f t="shared" ref="S19:BF19" si="23">IFERROR(S17-S18,"NM")</f>
        <v>712.38699999999994</v>
      </c>
      <c r="T19" s="119">
        <f t="shared" si="23"/>
        <v>713.22399999999993</v>
      </c>
      <c r="U19" s="119">
        <f t="shared" si="23"/>
        <v>722.79099999999994</v>
      </c>
      <c r="V19" s="119">
        <f t="shared" si="23"/>
        <v>735.77999999999986</v>
      </c>
      <c r="W19" s="119">
        <f t="shared" si="23"/>
        <v>735.77999999999986</v>
      </c>
      <c r="X19" s="560">
        <f t="shared" si="23"/>
        <v>760.85800000000006</v>
      </c>
      <c r="Y19" s="119">
        <f t="shared" si="23"/>
        <v>824.68099999999993</v>
      </c>
      <c r="Z19" s="119">
        <f t="shared" si="23"/>
        <v>835.72500000000002</v>
      </c>
      <c r="AA19" s="119">
        <f t="shared" si="23"/>
        <v>893.05799999999988</v>
      </c>
      <c r="AB19" s="552">
        <f t="shared" si="23"/>
        <v>893.05799999999988</v>
      </c>
      <c r="AC19" s="560">
        <f t="shared" si="23"/>
        <v>905.53000000000009</v>
      </c>
      <c r="AD19" s="119">
        <f t="shared" si="23"/>
        <v>991.33699999999999</v>
      </c>
      <c r="AE19" s="119">
        <f t="shared" si="23"/>
        <v>1041.124</v>
      </c>
      <c r="AF19" s="119">
        <f t="shared" si="23"/>
        <v>1052.5989999999999</v>
      </c>
      <c r="AG19" s="552">
        <f t="shared" si="23"/>
        <v>1052.5989999999999</v>
      </c>
      <c r="AH19" s="560">
        <f t="shared" si="23"/>
        <v>1121.886</v>
      </c>
      <c r="AI19" s="119">
        <f t="shared" si="23"/>
        <v>1118.703</v>
      </c>
      <c r="AJ19" s="119">
        <f t="shared" si="23"/>
        <v>1141.1190000000001</v>
      </c>
      <c r="AK19" s="119">
        <f t="shared" si="23"/>
        <v>1136.027</v>
      </c>
      <c r="AL19" s="552">
        <f t="shared" si="23"/>
        <v>1136.027</v>
      </c>
      <c r="AM19" s="560">
        <f t="shared" si="23"/>
        <v>1121.768</v>
      </c>
      <c r="AN19" s="119">
        <f t="shared" si="23"/>
        <v>1156.94</v>
      </c>
      <c r="AO19" s="119">
        <f t="shared" si="23"/>
        <v>1202.2239999999997</v>
      </c>
      <c r="AP19" s="119">
        <f t="shared" si="23"/>
        <v>1280.4539999999997</v>
      </c>
      <c r="AQ19" s="552">
        <f t="shared" si="23"/>
        <v>1280.4539999999997</v>
      </c>
      <c r="AR19" s="560">
        <f t="shared" si="23"/>
        <v>1271.5650000000001</v>
      </c>
      <c r="AS19" s="119">
        <f t="shared" si="23"/>
        <v>1352.8989999999999</v>
      </c>
      <c r="AT19" s="119">
        <f t="shared" si="23"/>
        <v>1439.1690000000003</v>
      </c>
      <c r="AU19" s="119">
        <f t="shared" si="23"/>
        <v>1482.6200000000001</v>
      </c>
      <c r="AV19" s="552">
        <f t="shared" si="23"/>
        <v>1482.6200000000001</v>
      </c>
      <c r="AW19" s="560">
        <f>IFERROR(AW17-AW18,"NM")</f>
        <v>1568.3140000000003</v>
      </c>
      <c r="AX19" s="119">
        <f t="shared" si="23"/>
        <v>1607.5530000000001</v>
      </c>
      <c r="AY19" s="119">
        <f t="shared" si="23"/>
        <v>1673.499</v>
      </c>
      <c r="AZ19" s="119">
        <f t="shared" si="23"/>
        <v>1763.3080000000002</v>
      </c>
      <c r="BA19" s="552">
        <f t="shared" si="23"/>
        <v>1763.3080000000002</v>
      </c>
      <c r="BB19" s="560">
        <f t="shared" si="23"/>
        <v>2176.864</v>
      </c>
      <c r="BC19" s="119">
        <f t="shared" si="23"/>
        <v>2341.2259999999997</v>
      </c>
      <c r="BD19" s="119">
        <f t="shared" si="23"/>
        <v>2481.9079999999999</v>
      </c>
      <c r="BE19" s="119">
        <f t="shared" si="23"/>
        <v>2561.5684482352945</v>
      </c>
      <c r="BF19" s="552">
        <f t="shared" si="23"/>
        <v>2561.5684482352945</v>
      </c>
      <c r="BG19" s="560">
        <f>IFERROR(BG17-BG18,"NM")</f>
        <v>2641.1795401118616</v>
      </c>
      <c r="BH19" s="119">
        <f>IFERROR(BH17-BH18,"NM")</f>
        <v>2759.1152141594876</v>
      </c>
      <c r="BI19" s="119">
        <f>IFERROR(BI17-BI18,"NM")</f>
        <v>2876.7257696680235</v>
      </c>
      <c r="BJ19" s="119">
        <f>IFERROR(BJ17-BJ18,"NM")</f>
        <v>2996.898474644348</v>
      </c>
      <c r="BK19" s="552">
        <f>IFERROR(BK17-BK18,"NM")</f>
        <v>2996.898474644348</v>
      </c>
      <c r="BL19" s="560">
        <f t="shared" ref="BL19:BZ19" si="24">IFERROR(BL17-BL18,"NM")</f>
        <v>3076.4597311301122</v>
      </c>
      <c r="BM19" s="119">
        <f t="shared" si="24"/>
        <v>3178.5969098521678</v>
      </c>
      <c r="BN19" s="119">
        <f t="shared" si="24"/>
        <v>3281.8824853418964</v>
      </c>
      <c r="BO19" s="119">
        <f t="shared" si="24"/>
        <v>3382.485846282535</v>
      </c>
      <c r="BP19" s="552">
        <f t="shared" si="24"/>
        <v>3382.485846282535</v>
      </c>
      <c r="BQ19" s="560">
        <f t="shared" si="24"/>
        <v>3450.470073244348</v>
      </c>
      <c r="BR19" s="119">
        <f t="shared" si="24"/>
        <v>3526.1704662777584</v>
      </c>
      <c r="BS19" s="119">
        <f t="shared" si="24"/>
        <v>3600.615769851981</v>
      </c>
      <c r="BT19" s="119">
        <f t="shared" si="24"/>
        <v>3659.2157678333342</v>
      </c>
      <c r="BU19" s="552">
        <f t="shared" si="24"/>
        <v>3659.2157678333342</v>
      </c>
      <c r="BV19" s="560">
        <f t="shared" si="24"/>
        <v>3708.7267518481849</v>
      </c>
      <c r="BW19" s="119">
        <f t="shared" si="24"/>
        <v>3766.4712530478437</v>
      </c>
      <c r="BX19" s="119">
        <f t="shared" si="24"/>
        <v>3821.2737542026316</v>
      </c>
      <c r="BY19" s="119">
        <f t="shared" si="24"/>
        <v>3869.126676647003</v>
      </c>
      <c r="BZ19" s="552">
        <f t="shared" si="24"/>
        <v>3869.126676647003</v>
      </c>
    </row>
    <row r="20" spans="3:78" ht="2.1" customHeight="1" x14ac:dyDescent="0.2">
      <c r="C20" s="208"/>
      <c r="D20" s="115"/>
      <c r="E20" s="115"/>
      <c r="F20" s="115"/>
      <c r="G20" s="115"/>
      <c r="H20" s="115"/>
      <c r="I20" s="115"/>
      <c r="J20" s="569"/>
      <c r="K20" s="115"/>
      <c r="L20" s="115"/>
      <c r="M20" s="115"/>
      <c r="N20" s="115"/>
      <c r="O20" s="115"/>
      <c r="P20" s="558"/>
      <c r="Q20" s="480"/>
      <c r="R20" s="114"/>
      <c r="S20" s="115"/>
      <c r="T20" s="115"/>
      <c r="U20" s="115"/>
      <c r="V20" s="115"/>
      <c r="W20" s="115"/>
      <c r="X20" s="558"/>
      <c r="Y20" s="115"/>
      <c r="Z20" s="115"/>
      <c r="AA20" s="115"/>
      <c r="AB20" s="480"/>
      <c r="AC20" s="558"/>
      <c r="AD20" s="115"/>
      <c r="AE20" s="115"/>
      <c r="AF20" s="115"/>
      <c r="AG20" s="480"/>
      <c r="AH20" s="558"/>
      <c r="AI20" s="115"/>
      <c r="AJ20" s="115"/>
      <c r="AK20" s="115"/>
      <c r="AL20" s="480"/>
      <c r="AM20" s="558"/>
      <c r="AN20" s="115"/>
      <c r="AO20" s="115"/>
      <c r="AP20" s="115"/>
      <c r="AQ20" s="480"/>
      <c r="AR20" s="558"/>
      <c r="AS20" s="115"/>
      <c r="AT20" s="115"/>
      <c r="AU20" s="115"/>
      <c r="AV20" s="480"/>
      <c r="AW20" s="558"/>
      <c r="AX20" s="115"/>
      <c r="AY20" s="115"/>
      <c r="AZ20" s="115"/>
      <c r="BA20" s="480"/>
      <c r="BB20" s="558"/>
      <c r="BC20" s="115"/>
      <c r="BD20" s="115"/>
      <c r="BE20" s="115"/>
      <c r="BF20" s="480"/>
      <c r="BG20" s="558"/>
      <c r="BH20" s="115"/>
      <c r="BI20" s="115"/>
      <c r="BJ20" s="115"/>
      <c r="BK20" s="480"/>
      <c r="BL20" s="558"/>
      <c r="BM20" s="115"/>
      <c r="BN20" s="115"/>
      <c r="BO20" s="115"/>
      <c r="BP20" s="480"/>
      <c r="BQ20" s="558"/>
      <c r="BR20" s="115"/>
      <c r="BS20" s="115"/>
      <c r="BT20" s="115"/>
      <c r="BU20" s="480"/>
      <c r="BV20" s="558"/>
      <c r="BW20" s="115"/>
      <c r="BX20" s="115"/>
      <c r="BY20" s="115"/>
      <c r="BZ20" s="480"/>
    </row>
    <row r="21" spans="3:78" ht="14.1" customHeight="1" x14ac:dyDescent="0.2">
      <c r="C21" s="208" t="s">
        <v>119</v>
      </c>
      <c r="D21" s="115">
        <f>W21</f>
        <v>0</v>
      </c>
      <c r="E21" s="115">
        <f>AB21</f>
        <v>0</v>
      </c>
      <c r="F21" s="115">
        <f>AG21</f>
        <v>103.89</v>
      </c>
      <c r="G21" s="115">
        <f>AL21</f>
        <v>113.715</v>
      </c>
      <c r="H21" s="115">
        <f>AQ21</f>
        <v>107.78100000000001</v>
      </c>
      <c r="I21" s="115">
        <f>AV21</f>
        <v>120.455</v>
      </c>
      <c r="J21" s="569">
        <f>BA21</f>
        <v>118.73399999999999</v>
      </c>
      <c r="K21" s="115">
        <f>BF21</f>
        <v>113.61338052840063</v>
      </c>
      <c r="L21" s="115">
        <f>BK21</f>
        <v>128.26531498603021</v>
      </c>
      <c r="M21" s="115">
        <f>BP21</f>
        <v>150.65002600650067</v>
      </c>
      <c r="N21" s="115">
        <f>BU21</f>
        <v>163.52685505740942</v>
      </c>
      <c r="O21" s="115">
        <f>BZ21</f>
        <v>175.07986384036033</v>
      </c>
      <c r="P21" s="558"/>
      <c r="Q21" s="480"/>
      <c r="R21" s="114" t="str">
        <f t="shared" si="13"/>
        <v>Operating Lease Right-of-Use Assets</v>
      </c>
      <c r="S21" s="115"/>
      <c r="T21" s="115"/>
      <c r="U21" s="115"/>
      <c r="V21" s="115"/>
      <c r="W21" s="115">
        <f>V21</f>
        <v>0</v>
      </c>
      <c r="X21" s="558"/>
      <c r="Y21" s="115"/>
      <c r="Z21" s="115"/>
      <c r="AA21" s="115"/>
      <c r="AB21" s="480">
        <f>AA21</f>
        <v>0</v>
      </c>
      <c r="AC21" s="558">
        <v>72.459999999999994</v>
      </c>
      <c r="AD21" s="115">
        <v>71.765000000000001</v>
      </c>
      <c r="AE21" s="115">
        <v>103.65</v>
      </c>
      <c r="AF21" s="115">
        <v>103.89</v>
      </c>
      <c r="AG21" s="480">
        <f>AF21</f>
        <v>103.89</v>
      </c>
      <c r="AH21" s="558">
        <v>122.652</v>
      </c>
      <c r="AI21" s="115">
        <v>122.401</v>
      </c>
      <c r="AJ21" s="115">
        <v>117.48699999999999</v>
      </c>
      <c r="AK21" s="115">
        <v>113.715</v>
      </c>
      <c r="AL21" s="480">
        <f>AK21</f>
        <v>113.715</v>
      </c>
      <c r="AM21" s="558">
        <v>111.73699999999999</v>
      </c>
      <c r="AN21" s="115">
        <v>105.965</v>
      </c>
      <c r="AO21" s="115">
        <v>104.989</v>
      </c>
      <c r="AP21" s="115">
        <v>107.78100000000001</v>
      </c>
      <c r="AQ21" s="480">
        <f>AP21</f>
        <v>107.78100000000001</v>
      </c>
      <c r="AR21" s="558">
        <v>103.892</v>
      </c>
      <c r="AS21" s="115">
        <v>105.376</v>
      </c>
      <c r="AT21" s="115">
        <v>107.456</v>
      </c>
      <c r="AU21" s="115">
        <v>120.455</v>
      </c>
      <c r="AV21" s="480">
        <f>AU21</f>
        <v>120.455</v>
      </c>
      <c r="AW21" s="558">
        <v>115.48399999999999</v>
      </c>
      <c r="AX21" s="115">
        <v>110.428</v>
      </c>
      <c r="AY21" s="115">
        <v>126.122</v>
      </c>
      <c r="AZ21" s="115">
        <v>118.73399999999999</v>
      </c>
      <c r="BA21" s="480">
        <f>AZ21</f>
        <v>118.73399999999999</v>
      </c>
      <c r="BB21" s="558">
        <v>129.52000000000001</v>
      </c>
      <c r="BC21" s="115">
        <v>127.441</v>
      </c>
      <c r="BD21" s="115">
        <v>121.336</v>
      </c>
      <c r="BE21" s="115">
        <f>'Income Statement'!BE8*'Balance Sheet'!BE162</f>
        <v>113.61338052840063</v>
      </c>
      <c r="BF21" s="480">
        <f>BE21</f>
        <v>113.61338052840063</v>
      </c>
      <c r="BG21" s="558">
        <f>'Income Statement'!BG8*'Balance Sheet'!BG162</f>
        <v>142.66776826519603</v>
      </c>
      <c r="BH21" s="115">
        <f>'Income Statement'!BH8*'Balance Sheet'!BH162</f>
        <v>142.38927203026091</v>
      </c>
      <c r="BI21" s="115">
        <f>'Income Statement'!BI8*'Balance Sheet'!BI162</f>
        <v>132.63765450762224</v>
      </c>
      <c r="BJ21" s="115">
        <f>'Income Statement'!BJ8*'Balance Sheet'!BJ162</f>
        <v>128.26531498603021</v>
      </c>
      <c r="BK21" s="480">
        <f>BJ21</f>
        <v>128.26531498603021</v>
      </c>
      <c r="BL21" s="558">
        <f>'Income Statement'!BL8*'Balance Sheet'!BL162</f>
        <v>161.70661359221987</v>
      </c>
      <c r="BM21" s="115">
        <f>'Income Statement'!BM8*'Balance Sheet'!BM162</f>
        <v>162.14253989684278</v>
      </c>
      <c r="BN21" s="115">
        <f>'Income Statement'!BN8*'Balance Sheet'!BN162</f>
        <v>152.0386597315634</v>
      </c>
      <c r="BO21" s="115">
        <f>'Income Statement'!BO8*'Balance Sheet'!BO162</f>
        <v>150.65002600650067</v>
      </c>
      <c r="BP21" s="480">
        <f>BO21</f>
        <v>150.65002600650067</v>
      </c>
      <c r="BQ21" s="558">
        <f>'Income Statement'!BQ8*'Balance Sheet'!BQ162</f>
        <v>175.46599001699374</v>
      </c>
      <c r="BR21" s="115">
        <f>'Income Statement'!BR8*'Balance Sheet'!BR162</f>
        <v>176.60903026332184</v>
      </c>
      <c r="BS21" s="115">
        <f>'Income Statement'!BS8*'Balance Sheet'!BS162</f>
        <v>166.41762779325339</v>
      </c>
      <c r="BT21" s="115">
        <f>'Income Statement'!BT8*'Balance Sheet'!BT162</f>
        <v>163.52685505740942</v>
      </c>
      <c r="BU21" s="480">
        <f>BT21</f>
        <v>163.52685505740942</v>
      </c>
      <c r="BV21" s="558">
        <f>'Income Statement'!BV8*'Balance Sheet'!BV162</f>
        <v>189.23701712510143</v>
      </c>
      <c r="BW21" s="115">
        <f>'Income Statement'!BW8*'Balance Sheet'!BW162</f>
        <v>191.75332525201375</v>
      </c>
      <c r="BX21" s="115">
        <f>'Income Statement'!BX8*'Balance Sheet'!BX162</f>
        <v>180.24077521064439</v>
      </c>
      <c r="BY21" s="115">
        <f>'Income Statement'!BY8*'Balance Sheet'!BY162</f>
        <v>175.07986384036033</v>
      </c>
      <c r="BZ21" s="480">
        <f>BY21</f>
        <v>175.07986384036033</v>
      </c>
    </row>
    <row r="22" spans="3:78" ht="14.1" customHeight="1" x14ac:dyDescent="0.2">
      <c r="C22" s="208" t="s">
        <v>120</v>
      </c>
      <c r="D22" s="116">
        <f>W22</f>
        <v>24.027000000000001</v>
      </c>
      <c r="E22" s="116">
        <f>AB22</f>
        <v>22.664000000000001</v>
      </c>
      <c r="F22" s="116">
        <f>AG22</f>
        <v>21.484000000000002</v>
      </c>
      <c r="G22" s="116">
        <f>AL22</f>
        <v>20.321000000000002</v>
      </c>
      <c r="H22" s="116">
        <f>AQ22</f>
        <v>19.157</v>
      </c>
      <c r="I22" s="116">
        <f>AV22</f>
        <v>18.149000000000001</v>
      </c>
      <c r="J22" s="570">
        <f>BA22</f>
        <v>17.295999999999999</v>
      </c>
      <c r="K22" s="116">
        <f>BF22</f>
        <v>16.442999999999998</v>
      </c>
      <c r="L22" s="116">
        <f>BK22</f>
        <v>15.589999999999996</v>
      </c>
      <c r="M22" s="116">
        <f>BP22</f>
        <v>14.736999999999995</v>
      </c>
      <c r="N22" s="116">
        <f>BU22</f>
        <v>13.883999999999993</v>
      </c>
      <c r="O22" s="116">
        <f>BZ22</f>
        <v>13.030999999999992</v>
      </c>
      <c r="P22" s="559"/>
      <c r="Q22" s="551"/>
      <c r="R22" s="114" t="str">
        <f t="shared" si="13"/>
        <v>Goodwill and Identifiable Intangibles, net</v>
      </c>
      <c r="S22" s="116">
        <v>25.053999999999998</v>
      </c>
      <c r="T22" s="116">
        <v>24.709</v>
      </c>
      <c r="U22" s="116">
        <v>24.367999999999999</v>
      </c>
      <c r="V22" s="116">
        <v>24.027000000000001</v>
      </c>
      <c r="W22" s="116">
        <f>V22</f>
        <v>24.027000000000001</v>
      </c>
      <c r="X22" s="559">
        <v>23.686</v>
      </c>
      <c r="Y22" s="116">
        <v>23.346</v>
      </c>
      <c r="Z22" s="116">
        <v>23.004999999999999</v>
      </c>
      <c r="AA22" s="116">
        <v>22.664000000000001</v>
      </c>
      <c r="AB22" s="551">
        <f>AA22</f>
        <v>22.664000000000001</v>
      </c>
      <c r="AC22" s="559">
        <v>22.356000000000002</v>
      </c>
      <c r="AD22" s="116">
        <v>22.065999999999999</v>
      </c>
      <c r="AE22" s="116">
        <v>21.774999999999999</v>
      </c>
      <c r="AF22" s="116">
        <v>21.484000000000002</v>
      </c>
      <c r="AG22" s="551">
        <f>AF22</f>
        <v>21.484000000000002</v>
      </c>
      <c r="AH22" s="559">
        <v>21.193000000000001</v>
      </c>
      <c r="AI22" s="116">
        <v>20.902000000000001</v>
      </c>
      <c r="AJ22" s="116">
        <v>20.611000000000001</v>
      </c>
      <c r="AK22" s="116">
        <v>20.321000000000002</v>
      </c>
      <c r="AL22" s="551">
        <f>AK22</f>
        <v>20.321000000000002</v>
      </c>
      <c r="AM22" s="559">
        <v>20.03</v>
      </c>
      <c r="AN22" s="116">
        <v>19.739000000000001</v>
      </c>
      <c r="AO22" s="116">
        <v>19.448</v>
      </c>
      <c r="AP22" s="116">
        <v>19.157</v>
      </c>
      <c r="AQ22" s="551">
        <f>AP22</f>
        <v>19.157</v>
      </c>
      <c r="AR22" s="559">
        <v>18.866</v>
      </c>
      <c r="AS22" s="116">
        <v>18.576000000000001</v>
      </c>
      <c r="AT22" s="116">
        <v>18.361999999999998</v>
      </c>
      <c r="AU22" s="116">
        <v>18.149000000000001</v>
      </c>
      <c r="AV22" s="551">
        <f>AU22</f>
        <v>18.149000000000001</v>
      </c>
      <c r="AW22" s="559">
        <v>17.936</v>
      </c>
      <c r="AX22" s="116">
        <v>17.722000000000001</v>
      </c>
      <c r="AY22" s="116">
        <v>17.509</v>
      </c>
      <c r="AZ22" s="116">
        <v>17.295999999999999</v>
      </c>
      <c r="BA22" s="551">
        <f>AZ22</f>
        <v>17.295999999999999</v>
      </c>
      <c r="BB22" s="559">
        <v>17.082000000000001</v>
      </c>
      <c r="BC22" s="116">
        <v>16.869</v>
      </c>
      <c r="BD22" s="116">
        <v>16.655999999999999</v>
      </c>
      <c r="BE22" s="116">
        <f>BD22+BE121</f>
        <v>16.442999999999998</v>
      </c>
      <c r="BF22" s="551">
        <f>BE22</f>
        <v>16.442999999999998</v>
      </c>
      <c r="BG22" s="559">
        <f>BF22+BG121</f>
        <v>16.228999999999999</v>
      </c>
      <c r="BH22" s="116">
        <f>BG22+BH121</f>
        <v>16.015999999999998</v>
      </c>
      <c r="BI22" s="116">
        <f>BH22+BI121</f>
        <v>15.802999999999997</v>
      </c>
      <c r="BJ22" s="116">
        <f>BI22+BJ121</f>
        <v>15.589999999999996</v>
      </c>
      <c r="BK22" s="551">
        <f>BJ22</f>
        <v>15.589999999999996</v>
      </c>
      <c r="BL22" s="559">
        <f>BK22+BL121</f>
        <v>15.375999999999998</v>
      </c>
      <c r="BM22" s="116">
        <f>BL22+BM121</f>
        <v>15.162999999999997</v>
      </c>
      <c r="BN22" s="116">
        <f>BM22+BN121</f>
        <v>14.949999999999996</v>
      </c>
      <c r="BO22" s="116">
        <f>BN22+BO121</f>
        <v>14.736999999999995</v>
      </c>
      <c r="BP22" s="551">
        <f>BO22</f>
        <v>14.736999999999995</v>
      </c>
      <c r="BQ22" s="559">
        <f>BP22+BQ121</f>
        <v>14.522999999999996</v>
      </c>
      <c r="BR22" s="116">
        <f>BQ22+BR121</f>
        <v>14.309999999999995</v>
      </c>
      <c r="BS22" s="116">
        <f>BR22+BS121</f>
        <v>14.096999999999994</v>
      </c>
      <c r="BT22" s="116">
        <f>BS22+BT121</f>
        <v>13.883999999999993</v>
      </c>
      <c r="BU22" s="551">
        <f>BT22</f>
        <v>13.883999999999993</v>
      </c>
      <c r="BV22" s="559">
        <f>BU22+BV121</f>
        <v>13.669999999999995</v>
      </c>
      <c r="BW22" s="116">
        <f>BV22+BW121</f>
        <v>13.456999999999994</v>
      </c>
      <c r="BX22" s="116">
        <f>BW22+BX121</f>
        <v>13.243999999999993</v>
      </c>
      <c r="BY22" s="116">
        <f>BX22+BY121</f>
        <v>13.030999999999992</v>
      </c>
      <c r="BZ22" s="551">
        <f>BY22</f>
        <v>13.030999999999992</v>
      </c>
    </row>
    <row r="23" spans="3:78" ht="14.1" customHeight="1" x14ac:dyDescent="0.2">
      <c r="C23" s="208" t="s">
        <v>121</v>
      </c>
      <c r="D23" s="116">
        <f>W23</f>
        <v>4.2590000000000003</v>
      </c>
      <c r="E23" s="116">
        <f>AB23</f>
        <v>4.6479999999999997</v>
      </c>
      <c r="F23" s="116">
        <f>AG23</f>
        <v>5.3410000000000002</v>
      </c>
      <c r="G23" s="116">
        <f>AL23</f>
        <v>7.0149999999999997</v>
      </c>
      <c r="H23" s="116">
        <f>AQ23</f>
        <v>21.603000000000002</v>
      </c>
      <c r="I23" s="116">
        <f>AV23</f>
        <v>22.6</v>
      </c>
      <c r="J23" s="570">
        <f>BA23</f>
        <v>35.533000000000001</v>
      </c>
      <c r="K23" s="116">
        <f>BF23</f>
        <v>26.825381513650154</v>
      </c>
      <c r="L23" s="116">
        <f>BK23</f>
        <v>32.066328746507551</v>
      </c>
      <c r="M23" s="116">
        <f>BP23</f>
        <v>32.431602820843892</v>
      </c>
      <c r="N23" s="116">
        <f>BU23</f>
        <v>35.203697963747864</v>
      </c>
      <c r="O23" s="116">
        <f>BZ23</f>
        <v>37.69080402118869</v>
      </c>
      <c r="P23" s="559"/>
      <c r="Q23" s="551"/>
      <c r="R23" s="114" t="str">
        <f t="shared" si="13"/>
        <v>Other Noncurrent Assets</v>
      </c>
      <c r="S23" s="116">
        <v>5.1070000000000002</v>
      </c>
      <c r="T23" s="116">
        <v>4.7670000000000003</v>
      </c>
      <c r="U23" s="116">
        <v>4.9610000000000003</v>
      </c>
      <c r="V23" s="116">
        <v>4.2590000000000003</v>
      </c>
      <c r="W23" s="116">
        <f>V23</f>
        <v>4.2590000000000003</v>
      </c>
      <c r="X23" s="559">
        <v>5.0039999999999996</v>
      </c>
      <c r="Y23" s="116">
        <v>5.2439999999999998</v>
      </c>
      <c r="Z23" s="116">
        <v>4.7050000000000001</v>
      </c>
      <c r="AA23" s="116">
        <v>4.6479999999999997</v>
      </c>
      <c r="AB23" s="551">
        <f>AA23</f>
        <v>4.6479999999999997</v>
      </c>
      <c r="AC23" s="559">
        <v>5.4240000000000004</v>
      </c>
      <c r="AD23" s="116">
        <v>5.5629999999999997</v>
      </c>
      <c r="AE23" s="116">
        <v>6.0140000000000002</v>
      </c>
      <c r="AF23" s="116">
        <v>5.3410000000000002</v>
      </c>
      <c r="AG23" s="551">
        <f>AF23</f>
        <v>5.3410000000000002</v>
      </c>
      <c r="AH23" s="559">
        <v>5.62</v>
      </c>
      <c r="AI23" s="116">
        <v>6.5510000000000002</v>
      </c>
      <c r="AJ23" s="116">
        <v>6.3460000000000001</v>
      </c>
      <c r="AK23" s="116">
        <v>7.0149999999999997</v>
      </c>
      <c r="AL23" s="551">
        <f>AK23</f>
        <v>7.0149999999999997</v>
      </c>
      <c r="AM23" s="559">
        <v>8.7349999999999994</v>
      </c>
      <c r="AN23" s="116">
        <v>10.870100000000001</v>
      </c>
      <c r="AO23" s="116">
        <v>11.989000000000001</v>
      </c>
      <c r="AP23" s="116">
        <v>21.603000000000002</v>
      </c>
      <c r="AQ23" s="551">
        <f>AP23</f>
        <v>21.603000000000002</v>
      </c>
      <c r="AR23" s="559">
        <v>27.36</v>
      </c>
      <c r="AS23" s="116">
        <v>34.628</v>
      </c>
      <c r="AT23" s="116">
        <v>23.934999999999999</v>
      </c>
      <c r="AU23" s="116">
        <v>22.6</v>
      </c>
      <c r="AV23" s="551">
        <f>AU23</f>
        <v>22.6</v>
      </c>
      <c r="AW23" s="559">
        <v>27.550999999999998</v>
      </c>
      <c r="AX23" s="116">
        <v>22.539000000000001</v>
      </c>
      <c r="AY23" s="116">
        <v>22.596</v>
      </c>
      <c r="AZ23" s="116">
        <v>35.533000000000001</v>
      </c>
      <c r="BA23" s="551">
        <f>AZ23</f>
        <v>35.533000000000001</v>
      </c>
      <c r="BB23" s="559">
        <v>25.988</v>
      </c>
      <c r="BC23" s="116">
        <v>25.524999999999999</v>
      </c>
      <c r="BD23" s="116">
        <v>24.876999999999999</v>
      </c>
      <c r="BE23" s="116">
        <f>IFERROR('Income Statement'!BE8*BE122,"NM")</f>
        <v>26.825381513650154</v>
      </c>
      <c r="BF23" s="551">
        <f>BE23</f>
        <v>26.825381513650154</v>
      </c>
      <c r="BG23" s="559">
        <f>IFERROR('Income Statement'!BG8*BG122,"NM")</f>
        <v>32.424340077996987</v>
      </c>
      <c r="BH23" s="116">
        <f>IFERROR('Income Statement'!BH8*BH122,"NM")</f>
        <v>31.273435325770546</v>
      </c>
      <c r="BI23" s="116">
        <f>IFERROR('Income Statement'!BI8*BI122,"NM")</f>
        <v>29.917530000573173</v>
      </c>
      <c r="BJ23" s="116">
        <f>IFERROR('Income Statement'!BJ8*BJ122,"NM")</f>
        <v>32.066328746507551</v>
      </c>
      <c r="BK23" s="551">
        <f>BJ23</f>
        <v>32.066328746507551</v>
      </c>
      <c r="BL23" s="559">
        <f>IFERROR('Income Statement'!BL8*BL122,"NM")</f>
        <v>36.751330000684391</v>
      </c>
      <c r="BM23" s="116">
        <f>IFERROR('Income Statement'!BM8*BM122,"NM")</f>
        <v>35.611912068364497</v>
      </c>
      <c r="BN23" s="116">
        <f>IFERROR('Income Statement'!BN8*BN122,"NM")</f>
        <v>34.293588654378617</v>
      </c>
      <c r="BO23" s="116">
        <f>IFERROR('Income Statement'!BO8*BO122,"NM")</f>
        <v>32.431602820843892</v>
      </c>
      <c r="BP23" s="551">
        <f>BO23</f>
        <v>32.431602820843892</v>
      </c>
      <c r="BQ23" s="559">
        <f>IFERROR('Income Statement'!BQ8*BQ122,"NM")</f>
        <v>39.878446278474222</v>
      </c>
      <c r="BR23" s="116">
        <f>IFERROR('Income Statement'!BR8*BR122,"NM")</f>
        <v>38.789236064871872</v>
      </c>
      <c r="BS23" s="116">
        <f>IFERROR('Income Statement'!BS8*BS122,"NM")</f>
        <v>37.53688491108506</v>
      </c>
      <c r="BT23" s="116">
        <f>IFERROR('Income Statement'!BT8*BT122,"NM")</f>
        <v>35.203697963747864</v>
      </c>
      <c r="BU23" s="551">
        <f>BT23</f>
        <v>35.203697963747864</v>
      </c>
      <c r="BV23" s="559">
        <f>IFERROR('Income Statement'!BV8*BV122,"NM")</f>
        <v>43.008210426369196</v>
      </c>
      <c r="BW23" s="116">
        <f>IFERROR('Income Statement'!BW8*BW122,"NM")</f>
        <v>42.115428573129059</v>
      </c>
      <c r="BX23" s="116">
        <f>IFERROR('Income Statement'!BX8*BX122,"NM")</f>
        <v>40.654811182454516</v>
      </c>
      <c r="BY23" s="116">
        <f>IFERROR('Income Statement'!BY8*BY122,"NM")</f>
        <v>37.69080402118869</v>
      </c>
      <c r="BZ23" s="551">
        <f>BY23</f>
        <v>37.69080402118869</v>
      </c>
    </row>
    <row r="24" spans="3:78" ht="2.1" customHeight="1" x14ac:dyDescent="0.2">
      <c r="C24" s="208"/>
      <c r="D24" s="116">
        <f>W24</f>
        <v>0</v>
      </c>
      <c r="E24" s="116">
        <f>AB24</f>
        <v>0</v>
      </c>
      <c r="F24" s="116">
        <f>AG24</f>
        <v>0</v>
      </c>
      <c r="G24" s="116">
        <f>AL24</f>
        <v>0</v>
      </c>
      <c r="H24" s="116">
        <f>AQ24</f>
        <v>0</v>
      </c>
      <c r="I24" s="116">
        <f>AV24</f>
        <v>0</v>
      </c>
      <c r="J24" s="570">
        <f>BA24</f>
        <v>0</v>
      </c>
      <c r="P24" s="559"/>
      <c r="Q24" s="551"/>
      <c r="R24" s="114"/>
      <c r="X24" s="559"/>
      <c r="AB24" s="551"/>
      <c r="AC24" s="559"/>
      <c r="AG24" s="551"/>
      <c r="AH24" s="559"/>
      <c r="AL24" s="551"/>
      <c r="AM24" s="559"/>
      <c r="AQ24" s="551"/>
      <c r="AR24" s="559"/>
      <c r="AV24" s="551"/>
      <c r="AW24" s="559"/>
      <c r="BA24" s="551"/>
      <c r="BB24" s="559"/>
      <c r="BF24" s="551"/>
      <c r="BG24" s="559"/>
      <c r="BK24" s="551"/>
      <c r="BL24" s="559"/>
      <c r="BP24" s="551"/>
      <c r="BQ24" s="559"/>
      <c r="BU24" s="551"/>
      <c r="BV24" s="559"/>
      <c r="BZ24" s="551"/>
    </row>
    <row r="25" spans="3:78" ht="14.1" customHeight="1" x14ac:dyDescent="0.2">
      <c r="C25" s="564" t="s">
        <v>122</v>
      </c>
      <c r="D25" s="119">
        <f t="shared" ref="D25:O25" si="25">IFERROR(SUM(D21:D23,D19,D15),"NM")</f>
        <v>967.31499999999983</v>
      </c>
      <c r="E25" s="119">
        <f t="shared" si="25"/>
        <v>1133.7429999999999</v>
      </c>
      <c r="F25" s="119">
        <f t="shared" si="25"/>
        <v>1415.6929999999998</v>
      </c>
      <c r="G25" s="119">
        <f t="shared" si="25"/>
        <v>1548.7739999999999</v>
      </c>
      <c r="H25" s="119">
        <f t="shared" si="25"/>
        <v>1845.2499999999995</v>
      </c>
      <c r="I25" s="119">
        <f t="shared" si="25"/>
        <v>2174.71</v>
      </c>
      <c r="J25" s="571">
        <f t="shared" si="25"/>
        <v>2583.5650000000001</v>
      </c>
      <c r="K25" s="119">
        <f t="shared" si="25"/>
        <v>3132.113415775978</v>
      </c>
      <c r="L25" s="119">
        <f t="shared" si="25"/>
        <v>3731.6784783212784</v>
      </c>
      <c r="M25" s="119">
        <f t="shared" si="25"/>
        <v>4397.0418981007124</v>
      </c>
      <c r="N25" s="119">
        <f t="shared" si="25"/>
        <v>4814.895486128029</v>
      </c>
      <c r="O25" s="119">
        <f t="shared" si="25"/>
        <v>5127.4375448695873</v>
      </c>
      <c r="P25" s="606"/>
      <c r="Q25" s="607"/>
      <c r="R25" s="120" t="str">
        <f t="shared" si="13"/>
        <v>Total Assets</v>
      </c>
      <c r="S25" s="119">
        <f t="shared" ref="S25:BF25" si="26">IFERROR(SUM(S21:S23,S19,S15),"NM")</f>
        <v>927.19599999999991</v>
      </c>
      <c r="T25" s="119">
        <f t="shared" si="26"/>
        <v>940.32999999999993</v>
      </c>
      <c r="U25" s="119">
        <f t="shared" si="26"/>
        <v>952.71899999999982</v>
      </c>
      <c r="V25" s="119">
        <f t="shared" si="26"/>
        <v>967.31499999999983</v>
      </c>
      <c r="W25" s="119">
        <f t="shared" si="26"/>
        <v>967.31499999999983</v>
      </c>
      <c r="X25" s="560">
        <f t="shared" si="26"/>
        <v>1015.547</v>
      </c>
      <c r="Y25" s="119">
        <f t="shared" si="26"/>
        <v>1085.9580000000001</v>
      </c>
      <c r="Z25" s="119">
        <f t="shared" si="26"/>
        <v>1088.0920000000001</v>
      </c>
      <c r="AA25" s="119">
        <f t="shared" si="26"/>
        <v>1133.7429999999999</v>
      </c>
      <c r="AB25" s="552">
        <f t="shared" si="26"/>
        <v>1133.7429999999999</v>
      </c>
      <c r="AC25" s="560">
        <f t="shared" si="26"/>
        <v>1246.8570000000002</v>
      </c>
      <c r="AD25" s="119">
        <f t="shared" si="26"/>
        <v>1352.12</v>
      </c>
      <c r="AE25" s="119">
        <f t="shared" si="26"/>
        <v>1422.2720000000002</v>
      </c>
      <c r="AF25" s="119">
        <f t="shared" si="26"/>
        <v>1415.6929999999998</v>
      </c>
      <c r="AG25" s="552">
        <f t="shared" si="26"/>
        <v>1415.6929999999998</v>
      </c>
      <c r="AH25" s="560">
        <f t="shared" si="26"/>
        <v>1577.2589999999998</v>
      </c>
      <c r="AI25" s="119">
        <f t="shared" si="26"/>
        <v>1538.2</v>
      </c>
      <c r="AJ25" s="119">
        <f t="shared" si="26"/>
        <v>1565.68</v>
      </c>
      <c r="AK25" s="119">
        <f t="shared" si="26"/>
        <v>1548.7739999999999</v>
      </c>
      <c r="AL25" s="552">
        <f t="shared" si="26"/>
        <v>1548.7739999999999</v>
      </c>
      <c r="AM25" s="560">
        <f t="shared" si="26"/>
        <v>1610.585</v>
      </c>
      <c r="AN25" s="119">
        <f t="shared" si="26"/>
        <v>1647.3951000000002</v>
      </c>
      <c r="AO25" s="119">
        <f t="shared" si="26"/>
        <v>1789.2589999999996</v>
      </c>
      <c r="AP25" s="119">
        <f t="shared" si="26"/>
        <v>1845.2499999999995</v>
      </c>
      <c r="AQ25" s="552">
        <f t="shared" si="26"/>
        <v>1845.2499999999995</v>
      </c>
      <c r="AR25" s="560">
        <f t="shared" si="26"/>
        <v>1932.3489999999999</v>
      </c>
      <c r="AS25" s="119">
        <f t="shared" si="26"/>
        <v>2047.8549999999998</v>
      </c>
      <c r="AT25" s="119">
        <f t="shared" si="26"/>
        <v>2140.3240000000005</v>
      </c>
      <c r="AU25" s="119">
        <f t="shared" si="26"/>
        <v>2174.71</v>
      </c>
      <c r="AV25" s="552">
        <f t="shared" si="26"/>
        <v>2174.71</v>
      </c>
      <c r="AW25" s="560">
        <f>IFERROR(SUM(AW21:AW23,AW19,AW15),"NM")</f>
        <v>2242.7990000000004</v>
      </c>
      <c r="AX25" s="119">
        <f t="shared" si="26"/>
        <v>2337.1110000000003</v>
      </c>
      <c r="AY25" s="119">
        <f t="shared" si="26"/>
        <v>2485.319</v>
      </c>
      <c r="AZ25" s="119">
        <f t="shared" si="26"/>
        <v>2583.5650000000001</v>
      </c>
      <c r="BA25" s="552">
        <f t="shared" si="26"/>
        <v>2583.5650000000001</v>
      </c>
      <c r="BB25" s="560">
        <f t="shared" si="26"/>
        <v>2765.7139999999999</v>
      </c>
      <c r="BC25" s="119">
        <f t="shared" si="26"/>
        <v>2957.1219999999998</v>
      </c>
      <c r="BD25" s="119">
        <f t="shared" si="26"/>
        <v>3082.1239999999998</v>
      </c>
      <c r="BE25" s="119">
        <f t="shared" si="26"/>
        <v>3132.113415775978</v>
      </c>
      <c r="BF25" s="552">
        <f t="shared" si="26"/>
        <v>3132.113415775978</v>
      </c>
      <c r="BG25" s="560">
        <f>IFERROR(SUM(BG21:BG23,BG19,BG15),"NM")</f>
        <v>3368.4903860162053</v>
      </c>
      <c r="BH25" s="119">
        <f>IFERROR(SUM(BH21:BH23,BH19,BH15),"NM")</f>
        <v>3543.359530989293</v>
      </c>
      <c r="BI25" s="119">
        <f>IFERROR(SUM(BI21:BI23,BI19,BI15),"NM")</f>
        <v>3664.6770597451823</v>
      </c>
      <c r="BJ25" s="119">
        <f>IFERROR(SUM(BJ21:BJ23,BJ19,BJ15),"NM")</f>
        <v>3731.6784783212784</v>
      </c>
      <c r="BK25" s="552">
        <f>IFERROR(SUM(BK21:BK23,BK19,BK15),"NM")</f>
        <v>3731.6784783212784</v>
      </c>
      <c r="BL25" s="560">
        <f t="shared" ref="BL25:BZ25" si="27">IFERROR(SUM(BL21:BL23,BL19,BL15),"NM")</f>
        <v>3954.4672526703557</v>
      </c>
      <c r="BM25" s="119">
        <f t="shared" si="27"/>
        <v>4116.3472613590639</v>
      </c>
      <c r="BN25" s="119">
        <f t="shared" si="27"/>
        <v>4262.7043626920067</v>
      </c>
      <c r="BO25" s="119">
        <f t="shared" si="27"/>
        <v>4397.0418981007124</v>
      </c>
      <c r="BP25" s="552">
        <f t="shared" si="27"/>
        <v>4397.0418981007124</v>
      </c>
      <c r="BQ25" s="560">
        <f t="shared" si="27"/>
        <v>4463.016010225002</v>
      </c>
      <c r="BR25" s="119">
        <f t="shared" si="27"/>
        <v>4642.8872276636566</v>
      </c>
      <c r="BS25" s="119">
        <f t="shared" si="27"/>
        <v>4685.8158781651427</v>
      </c>
      <c r="BT25" s="119">
        <f t="shared" si="27"/>
        <v>4814.895486128029</v>
      </c>
      <c r="BU25" s="552">
        <f t="shared" si="27"/>
        <v>4814.895486128029</v>
      </c>
      <c r="BV25" s="560">
        <f t="shared" si="27"/>
        <v>4793.4991015237028</v>
      </c>
      <c r="BW25" s="119">
        <f t="shared" si="27"/>
        <v>5017.9296071205445</v>
      </c>
      <c r="BX25" s="119">
        <f t="shared" si="27"/>
        <v>4982.3782488065899</v>
      </c>
      <c r="BY25" s="119">
        <f t="shared" si="27"/>
        <v>5127.4375448695873</v>
      </c>
      <c r="BZ25" s="552">
        <f t="shared" si="27"/>
        <v>5127.4375448695873</v>
      </c>
    </row>
    <row r="26" spans="3:78" ht="2.1" customHeight="1" x14ac:dyDescent="0.2">
      <c r="C26" s="565"/>
      <c r="J26" s="570"/>
      <c r="P26" s="559"/>
      <c r="Q26" s="551"/>
      <c r="R26" s="114"/>
      <c r="X26" s="559"/>
      <c r="AB26" s="551"/>
      <c r="AC26" s="559"/>
      <c r="AG26" s="551"/>
      <c r="AH26" s="559"/>
      <c r="AL26" s="551"/>
      <c r="AM26" s="559"/>
      <c r="AQ26" s="551"/>
      <c r="AR26" s="559"/>
      <c r="AV26" s="551"/>
      <c r="AW26" s="559"/>
      <c r="BA26" s="551"/>
      <c r="BB26" s="559"/>
      <c r="BF26" s="551"/>
      <c r="BG26" s="559"/>
      <c r="BK26" s="551"/>
      <c r="BL26" s="559"/>
      <c r="BP26" s="551"/>
      <c r="BQ26" s="559"/>
      <c r="BU26" s="551"/>
      <c r="BV26" s="559"/>
      <c r="BZ26" s="551"/>
    </row>
    <row r="27" spans="3:78" ht="14.1" customHeight="1" x14ac:dyDescent="0.2">
      <c r="C27" s="566" t="s">
        <v>123</v>
      </c>
      <c r="J27" s="570"/>
      <c r="P27" s="559"/>
      <c r="Q27" s="551"/>
      <c r="R27" s="605" t="str">
        <f t="shared" si="13"/>
        <v>Liabilities:</v>
      </c>
      <c r="X27" s="559"/>
      <c r="AB27" s="551"/>
      <c r="AC27" s="559"/>
      <c r="AG27" s="551"/>
      <c r="AH27" s="559"/>
      <c r="AL27" s="551"/>
      <c r="AM27" s="559"/>
      <c r="AQ27" s="551"/>
      <c r="AR27" s="559"/>
      <c r="AV27" s="551"/>
      <c r="AW27" s="559"/>
      <c r="BA27" s="551"/>
      <c r="BB27" s="559"/>
      <c r="BF27" s="551"/>
      <c r="BG27" s="559"/>
      <c r="BK27" s="551"/>
      <c r="BL27" s="559"/>
      <c r="BP27" s="551"/>
      <c r="BQ27" s="559"/>
      <c r="BU27" s="551"/>
      <c r="BV27" s="559"/>
      <c r="BZ27" s="551"/>
    </row>
    <row r="28" spans="3:78" ht="14.1" customHeight="1" x14ac:dyDescent="0.2">
      <c r="C28" s="727" t="s">
        <v>124</v>
      </c>
      <c r="D28" s="116">
        <f t="shared" ref="D28:D34" si="28">W28</f>
        <v>0</v>
      </c>
      <c r="E28" s="116">
        <f t="shared" ref="E28:E34" si="29">AB28</f>
        <v>0</v>
      </c>
      <c r="F28" s="116">
        <f t="shared" ref="F28:F34" si="30">AG28</f>
        <v>0</v>
      </c>
      <c r="G28" s="116">
        <f t="shared" ref="G28:G34" si="31">AL28</f>
        <v>0</v>
      </c>
      <c r="H28" s="116">
        <f t="shared" ref="H28:H34" si="32">AQ28</f>
        <v>0</v>
      </c>
      <c r="I28" s="116">
        <f t="shared" ref="I28:I34" si="33">AV28</f>
        <v>0</v>
      </c>
      <c r="J28" s="570">
        <f t="shared" ref="J28:J34" si="34">BA28</f>
        <v>0</v>
      </c>
      <c r="K28" s="116">
        <f t="shared" ref="K28:K34" si="35">BF28</f>
        <v>0</v>
      </c>
      <c r="L28" s="116">
        <f t="shared" ref="L28:L34" si="36">BK28</f>
        <v>0</v>
      </c>
      <c r="M28" s="116">
        <f t="shared" ref="M28:M34" si="37">BP28</f>
        <v>0</v>
      </c>
      <c r="N28" s="116">
        <f t="shared" ref="N28:N34" si="38">BU28</f>
        <v>0</v>
      </c>
      <c r="O28" s="116">
        <f t="shared" ref="O28:O34" si="39">BZ28</f>
        <v>0</v>
      </c>
      <c r="P28" s="559"/>
      <c r="Q28" s="551"/>
      <c r="R28" s="114" t="str">
        <f t="shared" si="13"/>
        <v>Short-Term Debt</v>
      </c>
      <c r="W28" s="116">
        <f t="shared" ref="W28:W34" si="40">V28</f>
        <v>0</v>
      </c>
      <c r="X28" s="559"/>
      <c r="AB28" s="551">
        <f t="shared" ref="AB28:AB34" si="41">AA28</f>
        <v>0</v>
      </c>
      <c r="AC28" s="559"/>
      <c r="AG28" s="551">
        <f t="shared" ref="AG28:AG34" si="42">AF28</f>
        <v>0</v>
      </c>
      <c r="AH28" s="559"/>
      <c r="AL28" s="551">
        <f t="shared" ref="AL28:AL34" si="43">AK28</f>
        <v>0</v>
      </c>
      <c r="AM28" s="559"/>
      <c r="AQ28" s="551">
        <f t="shared" ref="AQ28:AQ34" si="44">AP28</f>
        <v>0</v>
      </c>
      <c r="AR28" s="559"/>
      <c r="AV28" s="551">
        <f t="shared" ref="AV28:AV34" si="45">AU28</f>
        <v>0</v>
      </c>
      <c r="AW28" s="559"/>
      <c r="BA28" s="551">
        <f t="shared" ref="BA28:BA34" si="46">AZ28</f>
        <v>0</v>
      </c>
      <c r="BB28" s="559"/>
      <c r="BE28" s="1213">
        <f>MAX(0,SUM(BE10:BE14,BE19,BE21:BE23)-SUM(BE29:BE34,BE37:BE40,BE44:BE50))</f>
        <v>0</v>
      </c>
      <c r="BF28" s="1214">
        <f t="shared" ref="BF28:BF34" si="47">BE28</f>
        <v>0</v>
      </c>
      <c r="BG28" s="1215">
        <f>MAX(0,SUM(BG10:BG14,BG19,BG21:BG23)-SUM(BG29:BG34,BG37:BG40,BG44:BG50))</f>
        <v>0</v>
      </c>
      <c r="BH28" s="1216">
        <f>MAX(0,SUM(BH10:BH14,BH19,BH21:BH23)-SUM(BH29:BH34,BH37:BH40,BH44:BH50))</f>
        <v>0</v>
      </c>
      <c r="BI28" s="1216">
        <f>MAX(0,SUM(BI10:BI14,BI19,BI21:BI23)-SUM(BI29:BI34,BI37:BI40,BI44:BI50))</f>
        <v>0</v>
      </c>
      <c r="BJ28" s="1216">
        <f>MAX(0,SUM(BJ10:BJ14,BJ19,BJ21:BJ23)-SUM(BJ29:BJ34,BJ37:BJ40,BJ44:BJ50))</f>
        <v>0</v>
      </c>
      <c r="BK28" s="1214">
        <f t="shared" ref="BK28:BK34" si="48">BJ28</f>
        <v>0</v>
      </c>
      <c r="BL28" s="1215">
        <f>MAX(0,SUM(BL10:BL14,BL19,BL21:BL23)-SUM(BL29:BL34,BL37:BL40,BL44:BL50))</f>
        <v>0</v>
      </c>
      <c r="BM28" s="1216">
        <f>MAX(0,SUM(BM10:BM14,BM19,BM21:BM23)-SUM(BM29:BM34,BM37:BM40,BM44:BM50))</f>
        <v>0</v>
      </c>
      <c r="BN28" s="1216">
        <f>MAX(0,SUM(BN10:BN14,BN19,BN21:BN23)-SUM(BN29:BN34,BN37:BN40,BN44:BN50))</f>
        <v>0</v>
      </c>
      <c r="BO28" s="1216">
        <f>MAX(0,SUM(BO10:BO14,BO19,BO21:BO23)-SUM(BO29:BO34,BO37:BO40,BO44:BO50))</f>
        <v>0</v>
      </c>
      <c r="BP28" s="1214">
        <f t="shared" ref="BP28:BP34" si="49">BO28</f>
        <v>0</v>
      </c>
      <c r="BQ28" s="1215">
        <f>MAX(0,SUM(BQ10:BQ14,BQ19,BQ21:BQ23)-SUM(BQ29:BQ34,BQ37:BQ40,BQ44:BQ50))</f>
        <v>0</v>
      </c>
      <c r="BR28" s="1216">
        <f>MAX(0,SUM(BR10:BR14,BR19,BR21:BR23)-SUM(BR29:BR34,BR37:BR40,BR44:BR50))</f>
        <v>0</v>
      </c>
      <c r="BS28" s="1216">
        <f>MAX(0,SUM(BS10:BS14,BS19,BS21:BS23)-SUM(BS29:BS34,BS37:BS40,BS44:BS50))</f>
        <v>0</v>
      </c>
      <c r="BT28" s="1216">
        <f>MAX(0,SUM(BT10:BT14,BT19,BT21:BT23)-SUM(BT29:BT34,BT37:BT40,BT44:BT50))</f>
        <v>0</v>
      </c>
      <c r="BU28" s="1214">
        <f t="shared" ref="BU28:BU34" si="50">BT28</f>
        <v>0</v>
      </c>
      <c r="BV28" s="1215">
        <f>MAX(0,SUM(BV10:BV14,BV19,BV21:BV23)-SUM(BV29:BV34,BV37:BV40,BV44:BV50))</f>
        <v>0</v>
      </c>
      <c r="BW28" s="1216">
        <f>MAX(0,SUM(BW10:BW14,BW19,BW21:BW23)-SUM(BW29:BW34,BW37:BW40,BW44:BW50))</f>
        <v>0</v>
      </c>
      <c r="BX28" s="1216">
        <f>MAX(0,SUM(BX10:BX14,BX19,BX21:BX23)-SUM(BX29:BX34,BX37:BX40,BX44:BX50))</f>
        <v>0</v>
      </c>
      <c r="BY28" s="1216">
        <f>MAX(0,SUM(BY10:BY14,BY19,BY21:BY23)-SUM(BY29:BY34,BY37:BY40,BY44:BY50))</f>
        <v>0</v>
      </c>
      <c r="BZ28" s="1214">
        <f t="shared" ref="BZ28:BZ34" si="51">BY28</f>
        <v>0</v>
      </c>
    </row>
    <row r="29" spans="3:78" ht="14.1" customHeight="1" x14ac:dyDescent="0.2">
      <c r="C29" s="208" t="s">
        <v>125</v>
      </c>
      <c r="D29" s="116">
        <f t="shared" si="28"/>
        <v>14.083</v>
      </c>
      <c r="E29" s="116">
        <f t="shared" si="29"/>
        <v>18.082000000000001</v>
      </c>
      <c r="F29" s="116">
        <f t="shared" si="30"/>
        <v>19.405100000000001</v>
      </c>
      <c r="G29" s="116">
        <f t="shared" si="31"/>
        <v>20.588000000000001</v>
      </c>
      <c r="H29" s="116">
        <f t="shared" si="32"/>
        <v>19.396000000000001</v>
      </c>
      <c r="I29" s="116">
        <f t="shared" si="33"/>
        <v>14.519</v>
      </c>
      <c r="J29" s="570">
        <f t="shared" si="34"/>
        <v>10.173</v>
      </c>
      <c r="K29" s="116">
        <f t="shared" si="35"/>
        <v>6.7610000000000001</v>
      </c>
      <c r="L29" s="116">
        <f t="shared" si="36"/>
        <v>6.7610000000000001</v>
      </c>
      <c r="M29" s="116">
        <f t="shared" si="37"/>
        <v>6.7610000000000001</v>
      </c>
      <c r="N29" s="116">
        <f t="shared" si="38"/>
        <v>6.7610000000000001</v>
      </c>
      <c r="O29" s="116">
        <f t="shared" si="39"/>
        <v>6.7610000000000001</v>
      </c>
      <c r="P29" s="559"/>
      <c r="Q29" s="551"/>
      <c r="R29" s="114" t="str">
        <f t="shared" si="13"/>
        <v>Current portion of long-term debt</v>
      </c>
      <c r="T29" s="116">
        <v>16.669</v>
      </c>
      <c r="U29" s="116">
        <v>17.071999999999999</v>
      </c>
      <c r="V29" s="116">
        <v>14.083</v>
      </c>
      <c r="W29" s="116">
        <f>V29</f>
        <v>14.083</v>
      </c>
      <c r="X29" s="559">
        <v>14.791</v>
      </c>
      <c r="Y29" s="116">
        <v>16.838999999999999</v>
      </c>
      <c r="Z29" s="116">
        <v>17.622</v>
      </c>
      <c r="AA29" s="116">
        <v>18.082000000000001</v>
      </c>
      <c r="AB29" s="551">
        <f t="shared" si="41"/>
        <v>18.082000000000001</v>
      </c>
      <c r="AC29" s="559">
        <v>17.914000000000001</v>
      </c>
      <c r="AD29" s="116">
        <v>18.959</v>
      </c>
      <c r="AE29" s="116">
        <v>19.245000000000001</v>
      </c>
      <c r="AF29" s="116">
        <v>19.405100000000001</v>
      </c>
      <c r="AG29" s="551">
        <f t="shared" si="42"/>
        <v>19.405100000000001</v>
      </c>
      <c r="AH29" s="559">
        <v>19.565000000000001</v>
      </c>
      <c r="AI29" s="116">
        <v>19.727</v>
      </c>
      <c r="AJ29" s="116">
        <v>20.734999999999999</v>
      </c>
      <c r="AK29" s="116">
        <v>20.588000000000001</v>
      </c>
      <c r="AL29" s="551">
        <f t="shared" si="43"/>
        <v>20.588000000000001</v>
      </c>
      <c r="AM29" s="559">
        <v>21.055</v>
      </c>
      <c r="AN29" s="116">
        <v>21.648</v>
      </c>
      <c r="AO29" s="116">
        <v>20.245000000000001</v>
      </c>
      <c r="AP29" s="116">
        <v>19.396000000000001</v>
      </c>
      <c r="AQ29" s="551">
        <f t="shared" si="44"/>
        <v>19.396000000000001</v>
      </c>
      <c r="AR29" s="559">
        <v>18.373000000000001</v>
      </c>
      <c r="AS29" s="116">
        <v>17.934999999999999</v>
      </c>
      <c r="AT29" s="116">
        <v>15.914</v>
      </c>
      <c r="AU29" s="116">
        <v>14.519</v>
      </c>
      <c r="AV29" s="551">
        <f t="shared" si="45"/>
        <v>14.519</v>
      </c>
      <c r="AW29" s="559">
        <v>14.452</v>
      </c>
      <c r="AX29" s="116">
        <v>11.680999999999999</v>
      </c>
      <c r="AY29" s="116">
        <v>10.971</v>
      </c>
      <c r="AZ29" s="116">
        <v>10.173</v>
      </c>
      <c r="BA29" s="551">
        <f t="shared" si="46"/>
        <v>10.173</v>
      </c>
      <c r="BB29" s="559">
        <v>7.4980000000000002</v>
      </c>
      <c r="BC29" s="116">
        <v>7.577</v>
      </c>
      <c r="BD29" s="116">
        <v>6.7610000000000001</v>
      </c>
      <c r="BE29" s="116">
        <f>BE131+BD29</f>
        <v>6.7610000000000001</v>
      </c>
      <c r="BF29" s="551">
        <f t="shared" si="47"/>
        <v>6.7610000000000001</v>
      </c>
      <c r="BG29" s="559">
        <f>BF29+BG131</f>
        <v>6.7610000000000001</v>
      </c>
      <c r="BH29" s="116">
        <f>BG29+BH131</f>
        <v>6.7610000000000001</v>
      </c>
      <c r="BI29" s="116">
        <f>BH29+BI131</f>
        <v>6.7610000000000001</v>
      </c>
      <c r="BJ29" s="116">
        <f>BI29+BJ131</f>
        <v>6.7610000000000001</v>
      </c>
      <c r="BK29" s="551">
        <f t="shared" si="48"/>
        <v>6.7610000000000001</v>
      </c>
      <c r="BL29" s="559">
        <f>BK29+BL131</f>
        <v>6.7610000000000001</v>
      </c>
      <c r="BM29" s="116">
        <f>BL29+BM131</f>
        <v>6.7610000000000001</v>
      </c>
      <c r="BN29" s="116">
        <f>BM29+BN131</f>
        <v>6.7610000000000001</v>
      </c>
      <c r="BO29" s="116">
        <f>BN29+BO131</f>
        <v>6.7610000000000001</v>
      </c>
      <c r="BP29" s="551">
        <f t="shared" si="49"/>
        <v>6.7610000000000001</v>
      </c>
      <c r="BQ29" s="559">
        <f>BP29+BQ131</f>
        <v>6.7610000000000001</v>
      </c>
      <c r="BR29" s="116">
        <f>BQ29+BR131</f>
        <v>6.7610000000000001</v>
      </c>
      <c r="BS29" s="116">
        <f>BR29+BS131</f>
        <v>6.7610000000000001</v>
      </c>
      <c r="BT29" s="116">
        <f>BS29+BT131</f>
        <v>6.7610000000000001</v>
      </c>
      <c r="BU29" s="551">
        <f t="shared" si="50"/>
        <v>6.7610000000000001</v>
      </c>
      <c r="BV29" s="559">
        <f>BU29+BV131</f>
        <v>6.7610000000000001</v>
      </c>
      <c r="BW29" s="116">
        <f>BV29+BW131</f>
        <v>6.7610000000000001</v>
      </c>
      <c r="BX29" s="116">
        <f>BW29+BX131</f>
        <v>6.7610000000000001</v>
      </c>
      <c r="BY29" s="116">
        <f>BX29+BY131</f>
        <v>6.7610000000000001</v>
      </c>
      <c r="BZ29" s="551">
        <f t="shared" si="51"/>
        <v>6.7610000000000001</v>
      </c>
    </row>
    <row r="30" spans="3:78" ht="14.1" customHeight="1" x14ac:dyDescent="0.2">
      <c r="C30" s="208" t="s">
        <v>126</v>
      </c>
      <c r="D30" s="116">
        <f t="shared" si="28"/>
        <v>0</v>
      </c>
      <c r="E30" s="116">
        <f t="shared" si="29"/>
        <v>0</v>
      </c>
      <c r="F30" s="116">
        <f t="shared" si="30"/>
        <v>19.02</v>
      </c>
      <c r="G30" s="116">
        <f t="shared" si="31"/>
        <v>20.209</v>
      </c>
      <c r="H30" s="116">
        <f t="shared" si="32"/>
        <v>21.565000000000001</v>
      </c>
      <c r="I30" s="116">
        <f t="shared" si="33"/>
        <v>24.925000000000001</v>
      </c>
      <c r="J30" s="570">
        <f t="shared" si="34"/>
        <v>25.757000000000001</v>
      </c>
      <c r="K30" s="116">
        <f t="shared" si="35"/>
        <v>25.421654121555108</v>
      </c>
      <c r="L30" s="116">
        <f t="shared" si="36"/>
        <v>27.116084792795458</v>
      </c>
      <c r="M30" s="116">
        <f t="shared" si="37"/>
        <v>31.848351829752477</v>
      </c>
      <c r="N30" s="116">
        <f t="shared" si="38"/>
        <v>34.570593524202785</v>
      </c>
      <c r="O30" s="116">
        <f t="shared" si="39"/>
        <v>37.012971386094186</v>
      </c>
      <c r="P30" s="559"/>
      <c r="Q30" s="551"/>
      <c r="R30" s="114" t="str">
        <f t="shared" si="13"/>
        <v>Current portion of operating lease liability</v>
      </c>
      <c r="W30" s="116">
        <f t="shared" si="40"/>
        <v>0</v>
      </c>
      <c r="X30" s="559"/>
      <c r="AB30" s="551">
        <f t="shared" si="41"/>
        <v>0</v>
      </c>
      <c r="AC30" s="559">
        <v>17.39</v>
      </c>
      <c r="AD30" s="116">
        <v>16.920999999999999</v>
      </c>
      <c r="AE30" s="116">
        <v>18.303999999999998</v>
      </c>
      <c r="AF30" s="116">
        <v>19.02</v>
      </c>
      <c r="AG30" s="551">
        <f t="shared" si="42"/>
        <v>19.02</v>
      </c>
      <c r="AH30" s="559">
        <v>18.689</v>
      </c>
      <c r="AI30" s="116">
        <v>18.916</v>
      </c>
      <c r="AJ30" s="116">
        <v>19.701000000000001</v>
      </c>
      <c r="AK30" s="116">
        <v>20.209</v>
      </c>
      <c r="AL30" s="551">
        <f t="shared" si="43"/>
        <v>20.209</v>
      </c>
      <c r="AM30" s="559">
        <v>20.335999999999999</v>
      </c>
      <c r="AN30" s="116">
        <v>19.763999999999999</v>
      </c>
      <c r="AO30" s="116">
        <v>20.097000000000001</v>
      </c>
      <c r="AP30" s="116">
        <v>21.565000000000001</v>
      </c>
      <c r="AQ30" s="551">
        <f t="shared" si="44"/>
        <v>21.565000000000001</v>
      </c>
      <c r="AR30" s="559">
        <v>21.989000000000001</v>
      </c>
      <c r="AS30" s="116">
        <v>22.155000000000001</v>
      </c>
      <c r="AT30" s="116">
        <v>22.75</v>
      </c>
      <c r="AU30" s="116">
        <v>24.925000000000001</v>
      </c>
      <c r="AV30" s="551">
        <f t="shared" si="45"/>
        <v>24.925000000000001</v>
      </c>
      <c r="AW30" s="559">
        <v>25.256</v>
      </c>
      <c r="AX30" s="116">
        <v>25.393000000000001</v>
      </c>
      <c r="AY30" s="116">
        <v>26.805</v>
      </c>
      <c r="AZ30" s="116">
        <v>25.757000000000001</v>
      </c>
      <c r="BA30" s="551">
        <f t="shared" si="46"/>
        <v>25.757000000000001</v>
      </c>
      <c r="BB30" s="559">
        <v>26.526</v>
      </c>
      <c r="BC30" s="116">
        <v>26.062000000000001</v>
      </c>
      <c r="BD30" s="116">
        <v>25.678999999999998</v>
      </c>
      <c r="BE30" s="116">
        <f>BE164*BE163*BE21</f>
        <v>25.421654121555108</v>
      </c>
      <c r="BF30" s="551">
        <f t="shared" si="47"/>
        <v>25.421654121555108</v>
      </c>
      <c r="BG30" s="559">
        <f>BG164*BG163*BG21</f>
        <v>30.152890242849441</v>
      </c>
      <c r="BH30" s="116">
        <f t="shared" ref="BH30:BY30" si="52">BH164*BH163*BH21</f>
        <v>30.041246130896557</v>
      </c>
      <c r="BI30" s="116">
        <f t="shared" si="52"/>
        <v>28.077374235937743</v>
      </c>
      <c r="BJ30" s="116">
        <f t="shared" si="52"/>
        <v>27.116084792795458</v>
      </c>
      <c r="BK30" s="551">
        <f t="shared" si="48"/>
        <v>27.116084792795458</v>
      </c>
      <c r="BL30" s="559">
        <f t="shared" si="52"/>
        <v>34.176757865347213</v>
      </c>
      <c r="BM30" s="116">
        <f t="shared" si="52"/>
        <v>34.208784691971594</v>
      </c>
      <c r="BN30" s="116">
        <f t="shared" si="52"/>
        <v>32.184271981137805</v>
      </c>
      <c r="BO30" s="116">
        <f t="shared" si="52"/>
        <v>31.848351829752477</v>
      </c>
      <c r="BP30" s="551">
        <f t="shared" si="49"/>
        <v>31.848351829752477</v>
      </c>
      <c r="BQ30" s="559">
        <f t="shared" si="52"/>
        <v>37.084807610507966</v>
      </c>
      <c r="BR30" s="116">
        <f t="shared" si="52"/>
        <v>37.260920513392755</v>
      </c>
      <c r="BS30" s="116">
        <f t="shared" si="52"/>
        <v>35.228080836876167</v>
      </c>
      <c r="BT30" s="116">
        <f t="shared" si="52"/>
        <v>34.570593524202785</v>
      </c>
      <c r="BU30" s="551">
        <f t="shared" si="50"/>
        <v>34.570593524202785</v>
      </c>
      <c r="BV30" s="559">
        <f t="shared" si="52"/>
        <v>39.995319732280407</v>
      </c>
      <c r="BW30" s="116">
        <f t="shared" si="52"/>
        <v>40.456059351784383</v>
      </c>
      <c r="BX30" s="116">
        <f t="shared" si="52"/>
        <v>38.154230915429615</v>
      </c>
      <c r="BY30" s="116">
        <f t="shared" si="52"/>
        <v>37.012971386094186</v>
      </c>
      <c r="BZ30" s="551">
        <f t="shared" si="51"/>
        <v>37.012971386094186</v>
      </c>
    </row>
    <row r="31" spans="3:78" ht="14.1" customHeight="1" x14ac:dyDescent="0.2">
      <c r="C31" s="208" t="s">
        <v>127</v>
      </c>
      <c r="D31" s="116">
        <f t="shared" si="28"/>
        <v>57.438000000000002</v>
      </c>
      <c r="E31" s="116">
        <f t="shared" si="29"/>
        <v>78.994</v>
      </c>
      <c r="F31" s="116">
        <f t="shared" si="30"/>
        <v>83.620999999999995</v>
      </c>
      <c r="G31" s="116">
        <f t="shared" si="31"/>
        <v>89.381</v>
      </c>
      <c r="H31" s="116">
        <f t="shared" si="32"/>
        <v>114.01</v>
      </c>
      <c r="I31" s="116">
        <f t="shared" si="33"/>
        <v>99.792000000000002</v>
      </c>
      <c r="J31" s="570">
        <f t="shared" si="34"/>
        <v>141.87700000000001</v>
      </c>
      <c r="K31" s="116">
        <f t="shared" si="35"/>
        <v>152.30910382576818</v>
      </c>
      <c r="L31" s="116">
        <f t="shared" si="36"/>
        <v>168.35788189843444</v>
      </c>
      <c r="M31" s="116">
        <f t="shared" si="37"/>
        <v>209.07970984921835</v>
      </c>
      <c r="N31" s="116">
        <f t="shared" si="38"/>
        <v>249.91901685738659</v>
      </c>
      <c r="O31" s="116">
        <f t="shared" si="39"/>
        <v>282.7169873031346</v>
      </c>
      <c r="P31" s="559"/>
      <c r="Q31" s="551"/>
      <c r="R31" s="114" t="str">
        <f t="shared" si="13"/>
        <v>Accounts payable</v>
      </c>
      <c r="S31" s="116">
        <v>70.971000000000004</v>
      </c>
      <c r="T31" s="116">
        <v>55.746000000000002</v>
      </c>
      <c r="U31" s="116">
        <v>63.741999999999997</v>
      </c>
      <c r="V31" s="116">
        <v>57.438000000000002</v>
      </c>
      <c r="W31" s="116">
        <f t="shared" si="40"/>
        <v>57.438000000000002</v>
      </c>
      <c r="X31" s="559">
        <v>65.866</v>
      </c>
      <c r="Y31" s="116">
        <v>71.045000000000002</v>
      </c>
      <c r="Z31" s="116">
        <v>62.024999999999999</v>
      </c>
      <c r="AA31" s="116">
        <v>78.994</v>
      </c>
      <c r="AB31" s="551">
        <f t="shared" si="41"/>
        <v>78.994</v>
      </c>
      <c r="AC31" s="559">
        <v>71.983000000000004</v>
      </c>
      <c r="AD31" s="116">
        <v>77.521000000000001</v>
      </c>
      <c r="AE31" s="116">
        <v>84.856999999999999</v>
      </c>
      <c r="AF31" s="116">
        <v>83.620999999999995</v>
      </c>
      <c r="AG31" s="551">
        <f t="shared" si="42"/>
        <v>83.620999999999995</v>
      </c>
      <c r="AH31" s="559">
        <v>91.394999999999996</v>
      </c>
      <c r="AI31" s="116">
        <v>81.516000000000005</v>
      </c>
      <c r="AJ31" s="116">
        <v>97.06</v>
      </c>
      <c r="AK31" s="116">
        <v>89.381</v>
      </c>
      <c r="AL31" s="551">
        <f t="shared" si="43"/>
        <v>89.381</v>
      </c>
      <c r="AM31" s="559">
        <v>121.613</v>
      </c>
      <c r="AN31" s="116">
        <v>100.499</v>
      </c>
      <c r="AO31" s="116">
        <v>140.774</v>
      </c>
      <c r="AP31" s="116">
        <v>114.01</v>
      </c>
      <c r="AQ31" s="551">
        <f t="shared" si="44"/>
        <v>114.01</v>
      </c>
      <c r="AR31" s="559">
        <v>130.16300000000001</v>
      </c>
      <c r="AS31" s="116">
        <v>145.298</v>
      </c>
      <c r="AT31" s="116">
        <v>114.697</v>
      </c>
      <c r="AU31" s="116">
        <v>99.792000000000002</v>
      </c>
      <c r="AV31" s="551">
        <f t="shared" si="45"/>
        <v>99.792000000000002</v>
      </c>
      <c r="AW31" s="559">
        <v>108.36199999999999</v>
      </c>
      <c r="AX31" s="116">
        <v>98.248999999999995</v>
      </c>
      <c r="AY31" s="116">
        <v>112.59399999999999</v>
      </c>
      <c r="AZ31" s="116">
        <v>141.87700000000001</v>
      </c>
      <c r="BA31" s="551">
        <f t="shared" si="46"/>
        <v>141.87700000000001</v>
      </c>
      <c r="BB31" s="559">
        <v>153.48699999999999</v>
      </c>
      <c r="BC31" s="116">
        <v>155.59</v>
      </c>
      <c r="BD31" s="116">
        <v>161.24100000000001</v>
      </c>
      <c r="BE31" s="116">
        <f>((BE114*BE108)/(365/4))*2-BD31</f>
        <v>152.30910382576818</v>
      </c>
      <c r="BF31" s="551">
        <f t="shared" si="47"/>
        <v>152.30910382576818</v>
      </c>
      <c r="BG31" s="559">
        <f>((BG114*BG108)/(365/4))*2-BF31</f>
        <v>164.11746848169972</v>
      </c>
      <c r="BH31" s="116">
        <f>((BH114*BH108)/(365/4))*2-BG31</f>
        <v>173.16630470502898</v>
      </c>
      <c r="BI31" s="116">
        <f>((BI114*BI108)/(365/4))*2-BH31</f>
        <v>182.0305506642712</v>
      </c>
      <c r="BJ31" s="116">
        <f>((BJ114*BJ108)/(365/4))*2-BI31</f>
        <v>168.35788189843444</v>
      </c>
      <c r="BK31" s="551">
        <f t="shared" si="48"/>
        <v>168.35788189843444</v>
      </c>
      <c r="BL31" s="559">
        <f>((BL114*BL108)/(365/4))*2-BK31</f>
        <v>202.72506046261722</v>
      </c>
      <c r="BM31" s="116">
        <f>((BM114*BM108)/(365/4))*2-BL31</f>
        <v>196.15636213753626</v>
      </c>
      <c r="BN31" s="116">
        <f>((BN114*BN108)/(365/4))*2-BM31</f>
        <v>202.80158865052718</v>
      </c>
      <c r="BO31" s="116">
        <f>((BO114*BO108)/(365/4))*2-BN31</f>
        <v>209.07970984921835</v>
      </c>
      <c r="BP31" s="551">
        <f t="shared" si="49"/>
        <v>209.07970984921835</v>
      </c>
      <c r="BQ31" s="559">
        <f>((BQ114*BQ108)/(365/4))*2-BP31</f>
        <v>185.59022735644979</v>
      </c>
      <c r="BR31" s="116">
        <f>((BR114*BR108)/(365/4))*2-BQ31</f>
        <v>240.53650511973254</v>
      </c>
      <c r="BS31" s="116">
        <f>((BS114*BS108)/(365/4))*2-BR31</f>
        <v>189.57844690759279</v>
      </c>
      <c r="BT31" s="116">
        <f>((BT114*BT108)/(365/4))*2-BS31</f>
        <v>249.91901685738659</v>
      </c>
      <c r="BU31" s="551">
        <f t="shared" si="50"/>
        <v>249.91901685738659</v>
      </c>
      <c r="BV31" s="559">
        <f>((BV114*BV108)/(365/4))*2-BU31</f>
        <v>171.84290966127188</v>
      </c>
      <c r="BW31" s="116">
        <f>((BW114*BW108)/(365/4))*2-BV31</f>
        <v>282.37412551120622</v>
      </c>
      <c r="BX31" s="116">
        <f>((BX114*BX108)/(365/4))*2-BW31</f>
        <v>176.48152023564273</v>
      </c>
      <c r="BY31" s="116">
        <f>((BY114*BY108)/(365/4))*2-BX31</f>
        <v>282.7169873031346</v>
      </c>
      <c r="BZ31" s="551">
        <f t="shared" si="51"/>
        <v>282.7169873031346</v>
      </c>
    </row>
    <row r="32" spans="3:78" ht="14.1" customHeight="1" x14ac:dyDescent="0.2">
      <c r="C32" s="208" t="s">
        <v>128</v>
      </c>
      <c r="D32" s="116">
        <f t="shared" si="28"/>
        <v>39.747999999999998</v>
      </c>
      <c r="E32" s="116">
        <f t="shared" si="29"/>
        <v>48.116</v>
      </c>
      <c r="F32" s="116">
        <f t="shared" si="30"/>
        <v>49.667999999999999</v>
      </c>
      <c r="G32" s="116">
        <f t="shared" si="31"/>
        <v>55.392000000000003</v>
      </c>
      <c r="H32" s="116">
        <f t="shared" si="32"/>
        <v>73.108999999999995</v>
      </c>
      <c r="I32" s="116">
        <f t="shared" si="33"/>
        <v>66.683999999999997</v>
      </c>
      <c r="J32" s="570">
        <f t="shared" si="34"/>
        <v>75.513999999999996</v>
      </c>
      <c r="K32" s="116">
        <f t="shared" si="35"/>
        <v>68.641417402575385</v>
      </c>
      <c r="L32" s="116">
        <f t="shared" si="36"/>
        <v>87.291672698826133</v>
      </c>
      <c r="M32" s="116">
        <f t="shared" si="37"/>
        <v>102.52571214331296</v>
      </c>
      <c r="N32" s="116">
        <f t="shared" si="38"/>
        <v>111.28910969184808</v>
      </c>
      <c r="O32" s="116">
        <f t="shared" si="39"/>
        <v>119.15157400246747</v>
      </c>
      <c r="P32" s="559"/>
      <c r="Q32" s="551"/>
      <c r="R32" s="114" t="str">
        <f t="shared" si="13"/>
        <v>Wages, vacation and employees’ benefits</v>
      </c>
      <c r="S32" s="116">
        <v>33.097999999999999</v>
      </c>
      <c r="T32" s="116">
        <v>40.872</v>
      </c>
      <c r="U32" s="116">
        <v>44.14</v>
      </c>
      <c r="V32" s="116">
        <v>39.747999999999998</v>
      </c>
      <c r="W32" s="116">
        <f t="shared" si="40"/>
        <v>39.747999999999998</v>
      </c>
      <c r="X32" s="559">
        <v>38.939</v>
      </c>
      <c r="Y32" s="116">
        <v>46.738999999999997</v>
      </c>
      <c r="Z32" s="116">
        <v>53.174999999999997</v>
      </c>
      <c r="AA32" s="116">
        <v>48.116</v>
      </c>
      <c r="AB32" s="551">
        <f t="shared" si="41"/>
        <v>48.116</v>
      </c>
      <c r="AC32" s="559">
        <v>38.834000000000003</v>
      </c>
      <c r="AD32" s="116">
        <v>47.094999999999999</v>
      </c>
      <c r="AE32" s="116">
        <v>53.067999999999998</v>
      </c>
      <c r="AF32" s="116">
        <v>49.667999999999999</v>
      </c>
      <c r="AG32" s="551">
        <f t="shared" si="42"/>
        <v>49.667999999999999</v>
      </c>
      <c r="AH32" s="559">
        <v>46.677999999999997</v>
      </c>
      <c r="AI32" s="116">
        <v>55.354999999999997</v>
      </c>
      <c r="AJ32" s="116">
        <v>54.947000000000003</v>
      </c>
      <c r="AK32" s="116">
        <v>55.392000000000003</v>
      </c>
      <c r="AL32" s="551">
        <f t="shared" si="43"/>
        <v>55.392000000000003</v>
      </c>
      <c r="AM32" s="559">
        <v>49.006999999999998</v>
      </c>
      <c r="AN32" s="116">
        <v>65.186999999999998</v>
      </c>
      <c r="AO32" s="116">
        <v>77.537999999999997</v>
      </c>
      <c r="AP32" s="116">
        <v>73.108999999999995</v>
      </c>
      <c r="AQ32" s="551">
        <f t="shared" si="44"/>
        <v>73.108999999999995</v>
      </c>
      <c r="AR32" s="559">
        <v>62.125</v>
      </c>
      <c r="AS32" s="116">
        <v>78.944999999999993</v>
      </c>
      <c r="AT32" s="116">
        <v>79.192999999999998</v>
      </c>
      <c r="AU32" s="116">
        <v>66.683999999999997</v>
      </c>
      <c r="AV32" s="551">
        <f t="shared" si="45"/>
        <v>66.683999999999997</v>
      </c>
      <c r="AW32" s="559">
        <v>54.706000000000003</v>
      </c>
      <c r="AX32" s="116">
        <v>63.152999999999999</v>
      </c>
      <c r="AY32" s="116">
        <v>77.721000000000004</v>
      </c>
      <c r="AZ32" s="116">
        <v>75.513999999999996</v>
      </c>
      <c r="BA32" s="551">
        <f t="shared" si="46"/>
        <v>75.513999999999996</v>
      </c>
      <c r="BB32" s="559">
        <v>55.317999999999998</v>
      </c>
      <c r="BC32" s="116">
        <v>62.613999999999997</v>
      </c>
      <c r="BD32" s="116">
        <v>70.613</v>
      </c>
      <c r="BE32" s="116">
        <f>IFERROR('Income Statement'!BE8*'Balance Sheet'!BE115,"NM")</f>
        <v>68.641417402575385</v>
      </c>
      <c r="BF32" s="551">
        <f t="shared" si="47"/>
        <v>68.641417402575385</v>
      </c>
      <c r="BG32" s="559">
        <f>IFERROR('Income Statement'!BG8*'Balance Sheet'!BG115,"NM")</f>
        <v>79.813760191992571</v>
      </c>
      <c r="BH32" s="116">
        <f>IFERROR('Income Statement'!BH8*'Balance Sheet'!BH115,"NM")</f>
        <v>92.90049905596544</v>
      </c>
      <c r="BI32" s="116">
        <f>IFERROR('Income Statement'!BI8*'Balance Sheet'!BI115,"NM")</f>
        <v>95.736096001834142</v>
      </c>
      <c r="BJ32" s="116">
        <f>IFERROR('Income Statement'!BJ8*'Balance Sheet'!BJ115,"NM")</f>
        <v>87.291672698826133</v>
      </c>
      <c r="BK32" s="551">
        <f t="shared" si="48"/>
        <v>87.291672698826133</v>
      </c>
      <c r="BL32" s="559">
        <f>IFERROR('Income Statement'!BL8*'Balance Sheet'!BL115,"NM")</f>
        <v>90.464812309376953</v>
      </c>
      <c r="BM32" s="116">
        <f>IFERROR('Income Statement'!BM8*'Balance Sheet'!BM115,"NM")</f>
        <v>105.78832702661217</v>
      </c>
      <c r="BN32" s="116">
        <f>IFERROR('Income Statement'!BN8*'Balance Sheet'!BN115,"NM")</f>
        <v>109.73948369401157</v>
      </c>
      <c r="BO32" s="116">
        <f>IFERROR('Income Statement'!BO8*'Balance Sheet'!BO115,"NM")</f>
        <v>102.52571214331296</v>
      </c>
      <c r="BP32" s="551">
        <f t="shared" si="49"/>
        <v>102.52571214331296</v>
      </c>
      <c r="BQ32" s="559">
        <f>IFERROR('Income Statement'!BQ8*'Balance Sheet'!BQ115,"NM")</f>
        <v>98.162329300859625</v>
      </c>
      <c r="BR32" s="116">
        <f>IFERROR('Income Statement'!BR8*'Balance Sheet'!BR115,"NM")</f>
        <v>115.22684831035468</v>
      </c>
      <c r="BS32" s="116">
        <f>IFERROR('Income Statement'!BS8*'Balance Sheet'!BS115,"NM")</f>
        <v>120.11803171547217</v>
      </c>
      <c r="BT32" s="116">
        <f>IFERROR('Income Statement'!BT8*'Balance Sheet'!BT115,"NM")</f>
        <v>111.28910969184808</v>
      </c>
      <c r="BU32" s="551">
        <f t="shared" si="50"/>
        <v>111.28910969184808</v>
      </c>
      <c r="BV32" s="559">
        <f>IFERROR('Income Statement'!BV8*'Balance Sheet'!BV115,"NM")</f>
        <v>105.86636412644725</v>
      </c>
      <c r="BW32" s="116">
        <f>IFERROR('Income Statement'!BW8*'Balance Sheet'!BW115,"NM")</f>
        <v>125.10759664370691</v>
      </c>
      <c r="BX32" s="116">
        <f>IFERROR('Income Statement'!BX8*'Balance Sheet'!BX115,"NM")</f>
        <v>130.09539578385443</v>
      </c>
      <c r="BY32" s="116">
        <f>IFERROR('Income Statement'!BY8*'Balance Sheet'!BY115,"NM")</f>
        <v>119.15157400246747</v>
      </c>
      <c r="BZ32" s="551">
        <f t="shared" si="51"/>
        <v>119.15157400246747</v>
      </c>
    </row>
    <row r="33" spans="1:78" ht="14.1" customHeight="1" x14ac:dyDescent="0.2">
      <c r="C33" s="208" t="s">
        <v>129</v>
      </c>
      <c r="D33" s="116">
        <f t="shared" si="28"/>
        <v>35.85</v>
      </c>
      <c r="E33" s="116">
        <f t="shared" si="29"/>
        <v>40.98</v>
      </c>
      <c r="F33" s="116">
        <f t="shared" si="30"/>
        <v>36.887999999999998</v>
      </c>
      <c r="G33" s="116">
        <f t="shared" si="31"/>
        <v>49.613</v>
      </c>
      <c r="H33" s="116">
        <f t="shared" si="32"/>
        <v>54.716999999999999</v>
      </c>
      <c r="I33" s="116">
        <f t="shared" si="33"/>
        <v>45.481000000000002</v>
      </c>
      <c r="J33" s="570">
        <f t="shared" si="34"/>
        <v>41.640999999999998</v>
      </c>
      <c r="K33" s="116">
        <f t="shared" si="35"/>
        <v>39.449090461250222</v>
      </c>
      <c r="L33" s="116">
        <f t="shared" si="36"/>
        <v>45.427299057552368</v>
      </c>
      <c r="M33" s="116">
        <f t="shared" si="37"/>
        <v>53.355217543968983</v>
      </c>
      <c r="N33" s="116">
        <f t="shared" si="38"/>
        <v>57.915761166165836</v>
      </c>
      <c r="O33" s="116">
        <f t="shared" si="39"/>
        <v>62.007451776794284</v>
      </c>
      <c r="P33" s="559"/>
      <c r="Q33" s="551"/>
      <c r="R33" s="114" t="str">
        <f t="shared" si="13"/>
        <v>Claims and insurance accruals</v>
      </c>
      <c r="S33" s="116">
        <v>51.103000000000002</v>
      </c>
      <c r="T33" s="116">
        <v>36.131</v>
      </c>
      <c r="U33" s="116">
        <v>37.704000000000001</v>
      </c>
      <c r="V33" s="116">
        <v>35.85</v>
      </c>
      <c r="W33" s="116">
        <f t="shared" si="40"/>
        <v>35.85</v>
      </c>
      <c r="X33" s="559">
        <v>39.048999999999999</v>
      </c>
      <c r="Y33" s="116">
        <v>41.326000000000001</v>
      </c>
      <c r="Z33" s="116">
        <v>39.845999999999997</v>
      </c>
      <c r="AA33" s="116">
        <v>40.98</v>
      </c>
      <c r="AB33" s="551">
        <f t="shared" si="41"/>
        <v>40.98</v>
      </c>
      <c r="AC33" s="559">
        <v>40.137999999999998</v>
      </c>
      <c r="AD33" s="116">
        <v>47.255000000000003</v>
      </c>
      <c r="AE33" s="116">
        <v>35.770000000000003</v>
      </c>
      <c r="AF33" s="116">
        <v>36.887999999999998</v>
      </c>
      <c r="AG33" s="551">
        <f t="shared" si="42"/>
        <v>36.887999999999998</v>
      </c>
      <c r="AH33" s="559">
        <v>37.695999999999998</v>
      </c>
      <c r="AI33" s="116">
        <v>39.627000000000002</v>
      </c>
      <c r="AJ33" s="116">
        <v>43.517000000000003</v>
      </c>
      <c r="AK33" s="116">
        <v>49.613</v>
      </c>
      <c r="AL33" s="551">
        <f t="shared" si="43"/>
        <v>49.613</v>
      </c>
      <c r="AM33" s="559">
        <v>46.962000000000003</v>
      </c>
      <c r="AN33" s="116">
        <v>48.533000000000001</v>
      </c>
      <c r="AO33" s="116">
        <v>42.622</v>
      </c>
      <c r="AP33" s="116">
        <v>54.716999999999999</v>
      </c>
      <c r="AQ33" s="551">
        <f t="shared" si="44"/>
        <v>54.716999999999999</v>
      </c>
      <c r="AR33" s="559">
        <v>44.853000000000002</v>
      </c>
      <c r="AS33" s="116">
        <v>49.222000000000001</v>
      </c>
      <c r="AT33" s="116">
        <v>74.799000000000007</v>
      </c>
      <c r="AU33" s="116">
        <v>45.481000000000002</v>
      </c>
      <c r="AV33" s="551">
        <f t="shared" si="45"/>
        <v>45.481000000000002</v>
      </c>
      <c r="AW33" s="559">
        <v>43.276000000000003</v>
      </c>
      <c r="AX33" s="116">
        <v>42.018000000000001</v>
      </c>
      <c r="AY33" s="116">
        <v>46.046999999999997</v>
      </c>
      <c r="AZ33" s="116">
        <v>41.640999999999998</v>
      </c>
      <c r="BA33" s="551">
        <f t="shared" si="46"/>
        <v>41.640999999999998</v>
      </c>
      <c r="BB33" s="559">
        <v>36.612000000000002</v>
      </c>
      <c r="BC33" s="116">
        <v>39.682000000000002</v>
      </c>
      <c r="BD33" s="116">
        <v>40.798999999999999</v>
      </c>
      <c r="BE33" s="116">
        <f>IFERROR('Income Statement'!BE8*BE116,"NM")</f>
        <v>39.449090461250222</v>
      </c>
      <c r="BF33" s="551">
        <f t="shared" si="47"/>
        <v>39.449090461250222</v>
      </c>
      <c r="BG33" s="559">
        <f>IFERROR('Income Statement'!BG8*BG116,"NM")</f>
        <v>40.738273431329546</v>
      </c>
      <c r="BH33" s="116">
        <f>IFERROR('Income Statement'!BH8*BH116,"NM")</f>
        <v>44.150732224617236</v>
      </c>
      <c r="BI33" s="116">
        <f>IFERROR('Income Statement'!BI8*BI116,"NM")</f>
        <v>45.106429847018013</v>
      </c>
      <c r="BJ33" s="116">
        <f>IFERROR('Income Statement'!BJ8*BJ116,"NM")</f>
        <v>45.427299057552368</v>
      </c>
      <c r="BK33" s="551">
        <f t="shared" si="48"/>
        <v>45.427299057552368</v>
      </c>
      <c r="BL33" s="559">
        <f>IFERROR('Income Statement'!BL8*BL116,"NM")</f>
        <v>46.174747949577821</v>
      </c>
      <c r="BM33" s="116">
        <f>IFERROR('Income Statement'!BM8*BM116,"NM")</f>
        <v>50.275640567102812</v>
      </c>
      <c r="BN33" s="116">
        <f>IFERROR('Income Statement'!BN8*BN116,"NM")</f>
        <v>51.704179817370836</v>
      </c>
      <c r="BO33" s="116">
        <f>IFERROR('Income Statement'!BO8*BO116,"NM")</f>
        <v>53.355217543968983</v>
      </c>
      <c r="BP33" s="551">
        <f t="shared" si="49"/>
        <v>53.355217543968983</v>
      </c>
      <c r="BQ33" s="559">
        <f>IFERROR('Income Statement'!BQ8*BQ116,"NM")</f>
        <v>50.103688913980434</v>
      </c>
      <c r="BR33" s="116">
        <f>IFERROR('Income Statement'!BR8*BR116,"NM")</f>
        <v>54.761274444525</v>
      </c>
      <c r="BS33" s="116">
        <f>IFERROR('Income Statement'!BS8*BS116,"NM")</f>
        <v>56.594072635174392</v>
      </c>
      <c r="BT33" s="116">
        <f>IFERROR('Income Statement'!BT8*BT116,"NM")</f>
        <v>57.915761166165836</v>
      </c>
      <c r="BU33" s="551">
        <f t="shared" si="50"/>
        <v>57.915761166165836</v>
      </c>
      <c r="BV33" s="559">
        <f>IFERROR('Income Statement'!BV8*BV116,"NM")</f>
        <v>54.035956689540789</v>
      </c>
      <c r="BW33" s="116">
        <f>IFERROR('Income Statement'!BW8*BW116,"NM")</f>
        <v>59.457075632652788</v>
      </c>
      <c r="BX33" s="116">
        <f>IFERROR('Income Statement'!BX8*BX116,"NM")</f>
        <v>61.294946090469885</v>
      </c>
      <c r="BY33" s="116">
        <f>IFERROR('Income Statement'!BY8*BY116,"NM")</f>
        <v>62.007451776794284</v>
      </c>
      <c r="BZ33" s="551">
        <f t="shared" si="51"/>
        <v>62.007451776794284</v>
      </c>
    </row>
    <row r="34" spans="1:78" ht="14.1" customHeight="1" x14ac:dyDescent="0.2">
      <c r="C34" s="208" t="s">
        <v>130</v>
      </c>
      <c r="D34" s="116">
        <f t="shared" si="28"/>
        <v>19.806999999999999</v>
      </c>
      <c r="E34" s="116">
        <f t="shared" si="29"/>
        <v>23.138000000000002</v>
      </c>
      <c r="F34" s="116">
        <f t="shared" si="30"/>
        <v>32.643999999999998</v>
      </c>
      <c r="G34" s="116">
        <f t="shared" si="31"/>
        <v>40.570999999999998</v>
      </c>
      <c r="H34" s="116">
        <f t="shared" si="32"/>
        <v>38.551000000000002</v>
      </c>
      <c r="I34" s="116">
        <f t="shared" si="33"/>
        <v>22.684000000000001</v>
      </c>
      <c r="J34" s="570">
        <f t="shared" si="34"/>
        <v>27.094000000000001</v>
      </c>
      <c r="K34" s="116">
        <f t="shared" si="35"/>
        <v>38.660108652025222</v>
      </c>
      <c r="L34" s="116">
        <f t="shared" si="36"/>
        <v>52.553149890109601</v>
      </c>
      <c r="M34" s="116">
        <f t="shared" si="37"/>
        <v>61.724663433219021</v>
      </c>
      <c r="N34" s="116">
        <f t="shared" si="38"/>
        <v>67.000586447133031</v>
      </c>
      <c r="O34" s="116">
        <f t="shared" si="39"/>
        <v>71.734110879036535</v>
      </c>
      <c r="P34" s="559"/>
      <c r="Q34" s="551"/>
      <c r="R34" s="114" t="str">
        <f t="shared" si="13"/>
        <v>Other current liabilities</v>
      </c>
      <c r="S34" s="116">
        <v>19.183</v>
      </c>
      <c r="T34" s="116">
        <v>18.283000000000001</v>
      </c>
      <c r="U34" s="116">
        <v>20.841000000000001</v>
      </c>
      <c r="V34" s="116">
        <v>19.806999999999999</v>
      </c>
      <c r="W34" s="116">
        <f t="shared" si="40"/>
        <v>19.806999999999999</v>
      </c>
      <c r="X34" s="559">
        <v>20.032</v>
      </c>
      <c r="Y34" s="116">
        <v>29.628</v>
      </c>
      <c r="Z34" s="116">
        <v>37.082999999999998</v>
      </c>
      <c r="AA34" s="116">
        <v>23.138000000000002</v>
      </c>
      <c r="AB34" s="551">
        <f t="shared" si="41"/>
        <v>23.138000000000002</v>
      </c>
      <c r="AC34" s="559">
        <v>25.207000000000001</v>
      </c>
      <c r="AD34" s="116">
        <v>29.439</v>
      </c>
      <c r="AE34" s="116">
        <v>32.837000000000003</v>
      </c>
      <c r="AF34" s="116">
        <v>32.643999999999998</v>
      </c>
      <c r="AG34" s="551">
        <f t="shared" si="42"/>
        <v>32.643999999999998</v>
      </c>
      <c r="AH34" s="559">
        <v>35.024000000000001</v>
      </c>
      <c r="AI34" s="116">
        <v>32.953000000000003</v>
      </c>
      <c r="AJ34" s="116">
        <v>39.731000000000002</v>
      </c>
      <c r="AK34" s="116">
        <v>40.570999999999998</v>
      </c>
      <c r="AL34" s="551">
        <f t="shared" si="43"/>
        <v>40.570999999999998</v>
      </c>
      <c r="AM34" s="559">
        <v>48.284999999999997</v>
      </c>
      <c r="AN34" s="116">
        <v>29.263999999999999</v>
      </c>
      <c r="AO34" s="116">
        <v>37.344999999999999</v>
      </c>
      <c r="AP34" s="116">
        <v>38.551000000000002</v>
      </c>
      <c r="AQ34" s="551">
        <f t="shared" si="44"/>
        <v>38.551000000000002</v>
      </c>
      <c r="AR34" s="559">
        <v>61.618000000000002</v>
      </c>
      <c r="AS34" s="116">
        <v>25.594000000000001</v>
      </c>
      <c r="AT34" s="116">
        <v>31.116</v>
      </c>
      <c r="AU34" s="116">
        <v>22.684000000000001</v>
      </c>
      <c r="AV34" s="551">
        <f t="shared" si="45"/>
        <v>22.684000000000001</v>
      </c>
      <c r="AW34" s="559">
        <v>24.478999999999999</v>
      </c>
      <c r="AX34" s="116">
        <v>26.8</v>
      </c>
      <c r="AY34" s="116">
        <v>25.09</v>
      </c>
      <c r="AZ34" s="116">
        <v>27.094000000000001</v>
      </c>
      <c r="BA34" s="551">
        <f t="shared" si="46"/>
        <v>27.094000000000001</v>
      </c>
      <c r="BB34" s="559">
        <v>58.331000000000003</v>
      </c>
      <c r="BC34" s="116">
        <v>36.302999999999997</v>
      </c>
      <c r="BD34" s="116">
        <v>41.58</v>
      </c>
      <c r="BE34" s="116">
        <f>IFERROR('Income Statement'!BE8*BE117,"NM")</f>
        <v>38.660108652025222</v>
      </c>
      <c r="BF34" s="551">
        <f t="shared" si="47"/>
        <v>38.660108652025222</v>
      </c>
      <c r="BG34" s="559">
        <f>IFERROR('Income Statement'!BG8*BG117,"NM")</f>
        <v>64.848680155993975</v>
      </c>
      <c r="BH34" s="116">
        <f>IFERROR('Income Statement'!BH8*BH117,"NM")</f>
        <v>47.829959910002003</v>
      </c>
      <c r="BI34" s="116">
        <f>IFERROR('Income Statement'!BI8*BI117,"NM")</f>
        <v>54.311823693348217</v>
      </c>
      <c r="BJ34" s="116">
        <f>IFERROR('Income Statement'!BJ8*BJ117,"NM")</f>
        <v>52.553149890109601</v>
      </c>
      <c r="BK34" s="551">
        <f t="shared" si="48"/>
        <v>52.553149890109601</v>
      </c>
      <c r="BL34" s="559">
        <f>IFERROR('Income Statement'!BL8*BL117,"NM")</f>
        <v>73.502660001368781</v>
      </c>
      <c r="BM34" s="116">
        <f>IFERROR('Income Statement'!BM8*BM117,"NM")</f>
        <v>54.465277281028044</v>
      </c>
      <c r="BN34" s="116">
        <f>IFERROR('Income Statement'!BN8*BN117,"NM")</f>
        <v>62.25605324948733</v>
      </c>
      <c r="BO34" s="116">
        <f>IFERROR('Income Statement'!BO8*BO117,"NM")</f>
        <v>61.724663433219021</v>
      </c>
      <c r="BP34" s="551">
        <f t="shared" si="49"/>
        <v>61.724663433219021</v>
      </c>
      <c r="BQ34" s="559">
        <f>IFERROR('Income Statement'!BQ8*BQ117,"NM")</f>
        <v>79.756892556948443</v>
      </c>
      <c r="BR34" s="116">
        <f>IFERROR('Income Statement'!BR8*BR117,"NM")</f>
        <v>59.324713981568742</v>
      </c>
      <c r="BS34" s="116">
        <f>IFERROR('Income Statement'!BS8*BS117,"NM")</f>
        <v>68.143883377046706</v>
      </c>
      <c r="BT34" s="116">
        <f>IFERROR('Income Statement'!BT8*BT117,"NM")</f>
        <v>67.000586447133031</v>
      </c>
      <c r="BU34" s="551">
        <f t="shared" si="50"/>
        <v>67.000586447133031</v>
      </c>
      <c r="BV34" s="559">
        <f>IFERROR('Income Statement'!BV8*BV117,"NM")</f>
        <v>86.016420852738392</v>
      </c>
      <c r="BW34" s="116">
        <f>IFERROR('Income Statement'!BW8*BW117,"NM")</f>
        <v>64.41183193537384</v>
      </c>
      <c r="BX34" s="116">
        <f>IFERROR('Income Statement'!BX8*BX117,"NM")</f>
        <v>73.804118761994346</v>
      </c>
      <c r="BY34" s="116">
        <f>IFERROR('Income Statement'!BY8*BY117,"NM")</f>
        <v>71.734110879036535</v>
      </c>
      <c r="BZ34" s="551">
        <f t="shared" si="51"/>
        <v>71.734110879036535</v>
      </c>
    </row>
    <row r="35" spans="1:78" ht="14.1" customHeight="1" x14ac:dyDescent="0.2">
      <c r="C35" s="564" t="s">
        <v>131</v>
      </c>
      <c r="D35" s="119">
        <f t="shared" ref="D35:O35" si="53">IFERROR(SUM(D28:D34),"NM")</f>
        <v>166.92599999999999</v>
      </c>
      <c r="E35" s="119">
        <f t="shared" si="53"/>
        <v>209.31</v>
      </c>
      <c r="F35" s="119">
        <f t="shared" si="53"/>
        <v>241.24610000000001</v>
      </c>
      <c r="G35" s="119">
        <f t="shared" si="53"/>
        <v>275.75400000000002</v>
      </c>
      <c r="H35" s="119">
        <f t="shared" si="53"/>
        <v>321.34799999999996</v>
      </c>
      <c r="I35" s="119">
        <f t="shared" si="53"/>
        <v>274.08499999999998</v>
      </c>
      <c r="J35" s="571">
        <f t="shared" si="53"/>
        <v>322.05600000000004</v>
      </c>
      <c r="K35" s="119">
        <f t="shared" si="53"/>
        <v>331.24237446317409</v>
      </c>
      <c r="L35" s="119">
        <f t="shared" si="53"/>
        <v>387.50708833771796</v>
      </c>
      <c r="M35" s="119">
        <f t="shared" si="53"/>
        <v>465.2946547994718</v>
      </c>
      <c r="N35" s="119">
        <f t="shared" si="53"/>
        <v>527.45606768673633</v>
      </c>
      <c r="O35" s="119">
        <f t="shared" si="53"/>
        <v>579.38409534752702</v>
      </c>
      <c r="P35" s="606"/>
      <c r="Q35" s="607"/>
      <c r="R35" s="120" t="str">
        <f t="shared" si="13"/>
        <v>Total Current Liabilities</v>
      </c>
      <c r="S35" s="119">
        <f t="shared" ref="S35:AU35" si="54">IFERROR(SUM(S28:S34),"NM")</f>
        <v>174.35499999999999</v>
      </c>
      <c r="T35" s="119">
        <f t="shared" si="54"/>
        <v>167.70100000000002</v>
      </c>
      <c r="U35" s="119">
        <f t="shared" si="54"/>
        <v>183.499</v>
      </c>
      <c r="V35" s="119">
        <f t="shared" si="54"/>
        <v>166.92599999999999</v>
      </c>
      <c r="W35" s="119">
        <f t="shared" si="54"/>
        <v>166.92599999999999</v>
      </c>
      <c r="X35" s="560">
        <f t="shared" si="54"/>
        <v>178.67700000000002</v>
      </c>
      <c r="Y35" s="119">
        <f t="shared" si="54"/>
        <v>205.577</v>
      </c>
      <c r="Z35" s="119">
        <f t="shared" si="54"/>
        <v>209.751</v>
      </c>
      <c r="AA35" s="119">
        <f t="shared" si="54"/>
        <v>209.31</v>
      </c>
      <c r="AB35" s="552">
        <f t="shared" si="54"/>
        <v>209.31</v>
      </c>
      <c r="AC35" s="560">
        <f t="shared" si="54"/>
        <v>211.46600000000001</v>
      </c>
      <c r="AD35" s="119">
        <f t="shared" si="54"/>
        <v>237.18999999999997</v>
      </c>
      <c r="AE35" s="119">
        <f t="shared" si="54"/>
        <v>244.08100000000002</v>
      </c>
      <c r="AF35" s="119">
        <f t="shared" si="54"/>
        <v>241.24610000000001</v>
      </c>
      <c r="AG35" s="552">
        <f t="shared" si="54"/>
        <v>241.24610000000001</v>
      </c>
      <c r="AH35" s="560">
        <f t="shared" si="54"/>
        <v>249.047</v>
      </c>
      <c r="AI35" s="119">
        <f t="shared" si="54"/>
        <v>248.09400000000002</v>
      </c>
      <c r="AJ35" s="119">
        <f t="shared" si="54"/>
        <v>275.69100000000003</v>
      </c>
      <c r="AK35" s="119">
        <f t="shared" si="54"/>
        <v>275.75400000000002</v>
      </c>
      <c r="AL35" s="552">
        <f t="shared" si="54"/>
        <v>275.75400000000002</v>
      </c>
      <c r="AM35" s="560">
        <f t="shared" si="54"/>
        <v>307.25800000000004</v>
      </c>
      <c r="AN35" s="119">
        <f t="shared" si="54"/>
        <v>284.89500000000004</v>
      </c>
      <c r="AO35" s="119">
        <f t="shared" si="54"/>
        <v>338.62099999999998</v>
      </c>
      <c r="AP35" s="119">
        <f t="shared" si="54"/>
        <v>321.34799999999996</v>
      </c>
      <c r="AQ35" s="552">
        <f t="shared" si="54"/>
        <v>321.34799999999996</v>
      </c>
      <c r="AR35" s="560">
        <f t="shared" si="54"/>
        <v>339.12099999999998</v>
      </c>
      <c r="AS35" s="119">
        <f t="shared" si="54"/>
        <v>339.14899999999994</v>
      </c>
      <c r="AT35" s="119">
        <f t="shared" si="54"/>
        <v>338.46899999999994</v>
      </c>
      <c r="AU35" s="119">
        <f t="shared" si="54"/>
        <v>274.08499999999998</v>
      </c>
      <c r="AV35" s="552">
        <f t="shared" ref="AV35:BF35" si="55">IFERROR(SUM(AV28:AV34),"NM")</f>
        <v>274.08499999999998</v>
      </c>
      <c r="AW35" s="560">
        <f>IFERROR(SUM(AW28:AW34),"NM")</f>
        <v>270.53100000000001</v>
      </c>
      <c r="AX35" s="119">
        <f t="shared" si="55"/>
        <v>267.29399999999998</v>
      </c>
      <c r="AY35" s="119">
        <f t="shared" si="55"/>
        <v>299.22800000000001</v>
      </c>
      <c r="AZ35" s="119">
        <f t="shared" si="55"/>
        <v>322.05600000000004</v>
      </c>
      <c r="BA35" s="552">
        <f t="shared" si="55"/>
        <v>322.05600000000004</v>
      </c>
      <c r="BB35" s="560">
        <f t="shared" si="55"/>
        <v>337.77200000000005</v>
      </c>
      <c r="BC35" s="119">
        <f t="shared" si="55"/>
        <v>327.82800000000003</v>
      </c>
      <c r="BD35" s="119">
        <f t="shared" si="55"/>
        <v>346.67299999999994</v>
      </c>
      <c r="BE35" s="119">
        <f t="shared" si="55"/>
        <v>331.24237446317409</v>
      </c>
      <c r="BF35" s="552">
        <f t="shared" si="55"/>
        <v>331.24237446317409</v>
      </c>
      <c r="BG35" s="560">
        <f>IFERROR(SUM(BG28:BG34),"NM")</f>
        <v>386.4320725038653</v>
      </c>
      <c r="BH35" s="119">
        <f>IFERROR(SUM(BH28:BH34),"NM")</f>
        <v>394.84974202651023</v>
      </c>
      <c r="BI35" s="119">
        <f>IFERROR(SUM(BI28:BI34),"NM")</f>
        <v>412.02327444240933</v>
      </c>
      <c r="BJ35" s="119">
        <f>IFERROR(SUM(BJ28:BJ34),"NM")</f>
        <v>387.50708833771796</v>
      </c>
      <c r="BK35" s="552">
        <f>IFERROR(SUM(BK28:BK34),"NM")</f>
        <v>387.50708833771796</v>
      </c>
      <c r="BL35" s="560">
        <f t="shared" ref="BL35:BZ35" si="56">IFERROR(SUM(BL28:BL34),"NM")</f>
        <v>453.80503858828797</v>
      </c>
      <c r="BM35" s="119">
        <f t="shared" si="56"/>
        <v>447.65539170425086</v>
      </c>
      <c r="BN35" s="119">
        <f t="shared" si="56"/>
        <v>465.44657739253472</v>
      </c>
      <c r="BO35" s="119">
        <f t="shared" si="56"/>
        <v>465.2946547994718</v>
      </c>
      <c r="BP35" s="552">
        <f t="shared" si="56"/>
        <v>465.2946547994718</v>
      </c>
      <c r="BQ35" s="560">
        <f t="shared" si="56"/>
        <v>457.45894573874625</v>
      </c>
      <c r="BR35" s="119">
        <f t="shared" si="56"/>
        <v>513.87126236957374</v>
      </c>
      <c r="BS35" s="119">
        <f t="shared" si="56"/>
        <v>476.42351547216219</v>
      </c>
      <c r="BT35" s="119">
        <f t="shared" si="56"/>
        <v>527.45606768673633</v>
      </c>
      <c r="BU35" s="552">
        <f t="shared" si="56"/>
        <v>527.45606768673633</v>
      </c>
      <c r="BV35" s="560">
        <f t="shared" si="56"/>
        <v>464.51797106227872</v>
      </c>
      <c r="BW35" s="119">
        <f t="shared" si="56"/>
        <v>578.56768907472406</v>
      </c>
      <c r="BX35" s="119">
        <f t="shared" si="56"/>
        <v>486.59121178739099</v>
      </c>
      <c r="BY35" s="119">
        <f t="shared" si="56"/>
        <v>579.38409534752702</v>
      </c>
      <c r="BZ35" s="552">
        <f t="shared" si="56"/>
        <v>579.38409534752702</v>
      </c>
    </row>
    <row r="36" spans="1:78" ht="2.1" customHeight="1" x14ac:dyDescent="0.2">
      <c r="C36" s="565"/>
      <c r="J36" s="570"/>
      <c r="P36" s="559"/>
      <c r="Q36" s="551"/>
      <c r="R36" s="114"/>
      <c r="X36" s="559"/>
      <c r="AB36" s="551"/>
      <c r="AC36" s="559"/>
      <c r="AG36" s="551"/>
      <c r="AH36" s="559"/>
      <c r="AL36" s="551"/>
      <c r="AM36" s="559"/>
      <c r="AQ36" s="551"/>
      <c r="AR36" s="559"/>
      <c r="AV36" s="551"/>
      <c r="AW36" s="559"/>
      <c r="BA36" s="551"/>
      <c r="BB36" s="559"/>
      <c r="BF36" s="551"/>
      <c r="BG36" s="559"/>
      <c r="BK36" s="551"/>
      <c r="BL36" s="559"/>
      <c r="BP36" s="551"/>
      <c r="BQ36" s="559"/>
      <c r="BU36" s="551"/>
      <c r="BV36" s="559"/>
      <c r="BZ36" s="551"/>
    </row>
    <row r="37" spans="1:78" ht="14.1" customHeight="1" x14ac:dyDescent="0.2">
      <c r="C37" s="208" t="s">
        <v>132</v>
      </c>
      <c r="D37" s="116">
        <f>W37</f>
        <v>118.833</v>
      </c>
      <c r="E37" s="116">
        <f>AB37</f>
        <v>104.777</v>
      </c>
      <c r="F37" s="116">
        <f>AG37</f>
        <v>117.02500000000001</v>
      </c>
      <c r="G37" s="116">
        <f>AL37</f>
        <v>50.387999999999998</v>
      </c>
      <c r="H37" s="116">
        <f>AQ37</f>
        <v>31.007999999999999</v>
      </c>
      <c r="I37" s="116">
        <f>AV37</f>
        <v>16.489000000000001</v>
      </c>
      <c r="J37" s="570">
        <f>BA37</f>
        <v>6.3150000000000004</v>
      </c>
      <c r="K37" s="116">
        <f>BF37</f>
        <v>183.80530552290958</v>
      </c>
      <c r="L37" s="116">
        <f>BK37</f>
        <v>236.6208133440235</v>
      </c>
      <c r="M37" s="116">
        <f>BP37</f>
        <v>192.33953703706646</v>
      </c>
      <c r="N37" s="116">
        <f>BU37</f>
        <v>188.34498557671125</v>
      </c>
      <c r="O37" s="116">
        <f>BZ37</f>
        <v>204.82498833867058</v>
      </c>
      <c r="P37" s="559"/>
      <c r="Q37" s="551"/>
      <c r="R37" s="114" t="str">
        <f t="shared" si="13"/>
        <v>Long-term debt, less current portion</v>
      </c>
      <c r="S37" s="116">
        <v>137.738</v>
      </c>
      <c r="T37" s="116">
        <v>131.69900000000001</v>
      </c>
      <c r="U37" s="116">
        <v>110.161</v>
      </c>
      <c r="V37" s="116">
        <v>118.833</v>
      </c>
      <c r="W37" s="116">
        <f>V37</f>
        <v>118.833</v>
      </c>
      <c r="X37" s="559">
        <v>127.782</v>
      </c>
      <c r="Y37" s="116">
        <v>138.161</v>
      </c>
      <c r="Z37" s="116">
        <v>103.715</v>
      </c>
      <c r="AA37" s="116">
        <v>104.777</v>
      </c>
      <c r="AB37" s="551">
        <f>AA37</f>
        <v>104.777</v>
      </c>
      <c r="AC37" s="559">
        <v>130.964</v>
      </c>
      <c r="AD37" s="116">
        <v>160.91999999999999</v>
      </c>
      <c r="AE37" s="116">
        <v>146.02000000000001</v>
      </c>
      <c r="AF37" s="116">
        <v>117.02500000000001</v>
      </c>
      <c r="AG37" s="551">
        <f>AF37</f>
        <v>117.02500000000001</v>
      </c>
      <c r="AH37" s="559">
        <v>216.202</v>
      </c>
      <c r="AI37" s="116">
        <v>141.11199999999999</v>
      </c>
      <c r="AJ37" s="116">
        <v>100.18600000000001</v>
      </c>
      <c r="AK37" s="116">
        <v>50.387999999999998</v>
      </c>
      <c r="AL37" s="551">
        <f>AK37</f>
        <v>50.387999999999998</v>
      </c>
      <c r="AM37" s="559">
        <v>44.962000000000003</v>
      </c>
      <c r="AN37" s="116">
        <v>39.378</v>
      </c>
      <c r="AO37" s="116">
        <v>34.926000000000002</v>
      </c>
      <c r="AP37" s="116">
        <v>31.007999999999999</v>
      </c>
      <c r="AQ37" s="551">
        <f>AP37</f>
        <v>31.007999999999999</v>
      </c>
      <c r="AR37" s="559">
        <v>26.506</v>
      </c>
      <c r="AS37" s="116">
        <v>21.36</v>
      </c>
      <c r="AT37" s="116">
        <v>18.936</v>
      </c>
      <c r="AU37" s="116">
        <v>16.489000000000001</v>
      </c>
      <c r="AV37" s="551">
        <f>AU37</f>
        <v>16.489000000000001</v>
      </c>
      <c r="AW37" s="559">
        <v>12.052</v>
      </c>
      <c r="AX37" s="116">
        <v>9.6769999999999996</v>
      </c>
      <c r="AY37" s="116">
        <v>7.9630000000000001</v>
      </c>
      <c r="AZ37" s="116">
        <v>6.3150000000000004</v>
      </c>
      <c r="BA37" s="551">
        <f>AZ37</f>
        <v>6.3150000000000004</v>
      </c>
      <c r="BB37" s="559">
        <v>76.552999999999997</v>
      </c>
      <c r="BC37" s="116">
        <v>169.09800000000001</v>
      </c>
      <c r="BD37" s="116">
        <v>184.202</v>
      </c>
      <c r="BE37" s="116">
        <f>BE133+BD37</f>
        <v>183.80530552290958</v>
      </c>
      <c r="BF37" s="551">
        <f>BE37</f>
        <v>183.80530552290958</v>
      </c>
      <c r="BG37" s="559">
        <f>BF37+BG133</f>
        <v>196.99219372560219</v>
      </c>
      <c r="BH37" s="116">
        <f>BG37+BH133</f>
        <v>210.17908192829481</v>
      </c>
      <c r="BI37" s="116">
        <f>BH37+BI133</f>
        <v>223.36597013098742</v>
      </c>
      <c r="BJ37" s="116">
        <f>BI37+BJ133</f>
        <v>236.6208133440235</v>
      </c>
      <c r="BK37" s="551">
        <f>BJ37</f>
        <v>236.6208133440235</v>
      </c>
      <c r="BL37" s="559">
        <f>BK37+BL133</f>
        <v>225.58661004191154</v>
      </c>
      <c r="BM37" s="116">
        <f>BL37+BM133</f>
        <v>214.55240673979958</v>
      </c>
      <c r="BN37" s="116">
        <f>BM37+BN133</f>
        <v>203.51820343768762</v>
      </c>
      <c r="BO37" s="116">
        <f>BN37+BO133</f>
        <v>192.33953703706646</v>
      </c>
      <c r="BP37" s="551">
        <f>BO37</f>
        <v>192.33953703706646</v>
      </c>
      <c r="BQ37" s="559">
        <f>BP37+BQ133</f>
        <v>191.37115710875233</v>
      </c>
      <c r="BR37" s="116">
        <f>BQ37+BR133</f>
        <v>190.40277718043819</v>
      </c>
      <c r="BS37" s="116">
        <f>BR37+BS133</f>
        <v>189.43439725212406</v>
      </c>
      <c r="BT37" s="116">
        <f>BS37+BT133</f>
        <v>188.34498557671125</v>
      </c>
      <c r="BU37" s="551">
        <f>BT37</f>
        <v>188.34498557671125</v>
      </c>
      <c r="BV37" s="559">
        <f>BU37+BV133</f>
        <v>192.49820769137287</v>
      </c>
      <c r="BW37" s="116">
        <f>BV37+BW133</f>
        <v>196.65142980603449</v>
      </c>
      <c r="BX37" s="116">
        <f>BW37+BX133</f>
        <v>200.8046519206961</v>
      </c>
      <c r="BY37" s="116">
        <f>BX37+BY133</f>
        <v>204.82498833867058</v>
      </c>
      <c r="BZ37" s="551">
        <f>BY37</f>
        <v>204.82498833867058</v>
      </c>
    </row>
    <row r="38" spans="1:78" ht="14.1" customHeight="1" x14ac:dyDescent="0.2">
      <c r="C38" s="208" t="s">
        <v>133</v>
      </c>
      <c r="D38" s="116">
        <f>W38</f>
        <v>0</v>
      </c>
      <c r="E38" s="116">
        <f>AB38</f>
        <v>0</v>
      </c>
      <c r="F38" s="116">
        <f>AG38</f>
        <v>86.239000000000004</v>
      </c>
      <c r="G38" s="116">
        <f>AL38</f>
        <v>95.320999999999998</v>
      </c>
      <c r="H38" s="116">
        <f>AQ38</f>
        <v>88.409000000000006</v>
      </c>
      <c r="I38" s="116">
        <f>AV38</f>
        <v>98.581000000000003</v>
      </c>
      <c r="J38" s="570">
        <f>BA38</f>
        <v>96.462000000000003</v>
      </c>
      <c r="K38" s="116">
        <f>BF38</f>
        <v>91.399751422274065</v>
      </c>
      <c r="L38" s="116">
        <f>BK38</f>
        <v>97.491823221108334</v>
      </c>
      <c r="M38" s="116">
        <f>BP38</f>
        <v>114.5059808669301</v>
      </c>
      <c r="N38" s="116">
        <f>BU38</f>
        <v>124.29339332224865</v>
      </c>
      <c r="O38" s="116">
        <f>BZ38</f>
        <v>133.07459726707216</v>
      </c>
      <c r="P38" s="559"/>
      <c r="Q38" s="551"/>
      <c r="R38" s="114" t="str">
        <f t="shared" si="13"/>
        <v>Operating lease liability, less current portion</v>
      </c>
      <c r="W38" s="116">
        <f>V38</f>
        <v>0</v>
      </c>
      <c r="X38" s="559"/>
      <c r="AB38" s="551">
        <f>AA38</f>
        <v>0</v>
      </c>
      <c r="AC38" s="559">
        <v>58.034999999999997</v>
      </c>
      <c r="AD38" s="116">
        <v>55.96</v>
      </c>
      <c r="AE38" s="116">
        <v>86.552000000000007</v>
      </c>
      <c r="AF38" s="116">
        <v>86.239000000000004</v>
      </c>
      <c r="AG38" s="551">
        <f>AF38</f>
        <v>86.239000000000004</v>
      </c>
      <c r="AH38" s="559">
        <v>105.282</v>
      </c>
      <c r="AI38" s="116">
        <v>104.958</v>
      </c>
      <c r="AJ38" s="116">
        <v>99.474000000000004</v>
      </c>
      <c r="AK38" s="116">
        <v>95.320999999999998</v>
      </c>
      <c r="AL38" s="551">
        <f>AK38</f>
        <v>95.320999999999998</v>
      </c>
      <c r="AM38" s="559">
        <v>93.366</v>
      </c>
      <c r="AN38" s="116">
        <v>88.207999999999998</v>
      </c>
      <c r="AO38" s="116">
        <v>86.978999999999999</v>
      </c>
      <c r="AP38" s="116">
        <v>88.409000000000006</v>
      </c>
      <c r="AQ38" s="551">
        <f>AP38</f>
        <v>88.409000000000006</v>
      </c>
      <c r="AR38" s="559">
        <v>84.061999999999998</v>
      </c>
      <c r="AS38" s="116">
        <v>85.522000000000006</v>
      </c>
      <c r="AT38" s="116">
        <v>87.388000000000005</v>
      </c>
      <c r="AU38" s="116">
        <v>98.581000000000003</v>
      </c>
      <c r="AV38" s="551">
        <f>AU38</f>
        <v>98.581000000000003</v>
      </c>
      <c r="AW38" s="559">
        <v>93.649000000000001</v>
      </c>
      <c r="AX38" s="116">
        <v>88.506</v>
      </c>
      <c r="AY38" s="116">
        <v>102.848</v>
      </c>
      <c r="AZ38" s="116">
        <v>96.462000000000003</v>
      </c>
      <c r="BA38" s="551">
        <f>AZ38</f>
        <v>96.462000000000003</v>
      </c>
      <c r="BB38" s="559">
        <v>98.19</v>
      </c>
      <c r="BC38" s="116">
        <v>97.48</v>
      </c>
      <c r="BD38" s="116">
        <v>92.325000000000003</v>
      </c>
      <c r="BE38" s="116">
        <f>(BE163*BE21)-BE30</f>
        <v>91.399751422274065</v>
      </c>
      <c r="BF38" s="551">
        <f>BE38</f>
        <v>91.399751422274065</v>
      </c>
      <c r="BG38" s="116">
        <f>(BG163*BG21)-BG30</f>
        <v>108.41020256517292</v>
      </c>
      <c r="BH38" s="116">
        <f>(BH163*BH21)-BH30</f>
        <v>108.00880287530762</v>
      </c>
      <c r="BI38" s="116">
        <f>(BI163*BI21)-BI30</f>
        <v>100.94799549565609</v>
      </c>
      <c r="BJ38" s="116">
        <f>(BJ163*BJ21)-BJ30</f>
        <v>97.491823221108334</v>
      </c>
      <c r="BK38" s="551">
        <f>BJ38</f>
        <v>97.491823221108334</v>
      </c>
      <c r="BL38" s="116">
        <f>(BL163*BL21)-BL30</f>
        <v>122.8774161734562</v>
      </c>
      <c r="BM38" s="116">
        <f>(BM163*BM21)-BM30</f>
        <v>122.99256383372708</v>
      </c>
      <c r="BN38" s="116">
        <f>(BN163*BN21)-BN30</f>
        <v>115.71373147936245</v>
      </c>
      <c r="BO38" s="116">
        <f>(BO163*BO21)-BO30</f>
        <v>114.5059808669301</v>
      </c>
      <c r="BP38" s="551">
        <f>BO38</f>
        <v>114.5059808669301</v>
      </c>
      <c r="BQ38" s="116">
        <f t="shared" ref="BQ38:BY38" si="57">(BQ163*BQ21)-BQ30</f>
        <v>133.33287365707963</v>
      </c>
      <c r="BR38" s="116">
        <f t="shared" si="57"/>
        <v>133.96606123287458</v>
      </c>
      <c r="BS38" s="116">
        <f t="shared" si="57"/>
        <v>126.65729052005892</v>
      </c>
      <c r="BT38" s="116">
        <f t="shared" si="57"/>
        <v>124.29339332224865</v>
      </c>
      <c r="BU38" s="551">
        <f>BT38</f>
        <v>124.29339332224865</v>
      </c>
      <c r="BV38" s="116">
        <f t="shared" si="57"/>
        <v>143.79718424715873</v>
      </c>
      <c r="BW38" s="116">
        <f t="shared" si="57"/>
        <v>145.45370457001803</v>
      </c>
      <c r="BX38" s="116">
        <f t="shared" si="57"/>
        <v>137.17782504252656</v>
      </c>
      <c r="BY38" s="116">
        <f t="shared" si="57"/>
        <v>133.07459726707216</v>
      </c>
      <c r="BZ38" s="551">
        <f>BY38</f>
        <v>133.07459726707216</v>
      </c>
    </row>
    <row r="39" spans="1:78" ht="14.1" customHeight="1" x14ac:dyDescent="0.2">
      <c r="C39" s="208" t="s">
        <v>134</v>
      </c>
      <c r="D39" s="116">
        <f>W39</f>
        <v>59.423000000000002</v>
      </c>
      <c r="E39" s="116">
        <f>AB39</f>
        <v>86.893000000000001</v>
      </c>
      <c r="F39" s="116">
        <f>AG39</f>
        <v>111.55500000000001</v>
      </c>
      <c r="G39" s="116">
        <f>AL39</f>
        <v>119.818</v>
      </c>
      <c r="H39" s="116">
        <f>AQ39</f>
        <v>124.137</v>
      </c>
      <c r="I39" s="116">
        <f>AV39</f>
        <v>145.77099999999999</v>
      </c>
      <c r="J39" s="570">
        <f>BA39</f>
        <v>155.84100000000001</v>
      </c>
      <c r="K39" s="116">
        <f>BF39</f>
        <v>151.48450737120086</v>
      </c>
      <c r="L39" s="116">
        <f>BK39</f>
        <v>186.16285300055776</v>
      </c>
      <c r="M39" s="116">
        <f>BP39</f>
        <v>218.6517738566572</v>
      </c>
      <c r="N39" s="116">
        <f>BU39</f>
        <v>237.34106046526784</v>
      </c>
      <c r="O39" s="116">
        <f>BZ39</f>
        <v>254.10896904607856</v>
      </c>
      <c r="P39" s="559"/>
      <c r="Q39" s="551"/>
      <c r="R39" s="114" t="str">
        <f t="shared" si="13"/>
        <v>Deferred income taxes</v>
      </c>
      <c r="S39" s="116">
        <v>82.738</v>
      </c>
      <c r="T39" s="116">
        <v>87.075000000000003</v>
      </c>
      <c r="U39" s="116">
        <v>90.063999999999993</v>
      </c>
      <c r="V39" s="116">
        <v>59.423000000000002</v>
      </c>
      <c r="W39" s="116">
        <f>V39</f>
        <v>59.423000000000002</v>
      </c>
      <c r="X39" s="559">
        <v>61.030999999999999</v>
      </c>
      <c r="Y39" s="116">
        <v>63.418999999999997</v>
      </c>
      <c r="Z39" s="116">
        <v>65.894999999999996</v>
      </c>
      <c r="AA39" s="116">
        <v>86.893000000000001</v>
      </c>
      <c r="AB39" s="551">
        <f>AA39</f>
        <v>86.893000000000001</v>
      </c>
      <c r="AC39" s="559">
        <v>92.207999999999998</v>
      </c>
      <c r="AD39" s="116">
        <v>100.244</v>
      </c>
      <c r="AE39" s="116">
        <v>108.711</v>
      </c>
      <c r="AF39" s="116">
        <v>111.55500000000001</v>
      </c>
      <c r="AG39" s="551">
        <f>AF39</f>
        <v>111.55500000000001</v>
      </c>
      <c r="AH39" s="559">
        <v>118.624</v>
      </c>
      <c r="AI39" s="116">
        <v>119.125</v>
      </c>
      <c r="AJ39" s="116">
        <v>122.16200000000001</v>
      </c>
      <c r="AK39" s="116">
        <v>119.818</v>
      </c>
      <c r="AL39" s="551">
        <f>AK39</f>
        <v>119.818</v>
      </c>
      <c r="AM39" s="559">
        <v>121.14400000000001</v>
      </c>
      <c r="AN39" s="116">
        <v>123</v>
      </c>
      <c r="AO39" s="116">
        <v>124.90300000000001</v>
      </c>
      <c r="AP39" s="116">
        <v>124.137</v>
      </c>
      <c r="AQ39" s="551">
        <f>AP39</f>
        <v>124.137</v>
      </c>
      <c r="AR39" s="559">
        <v>122.10599999999999</v>
      </c>
      <c r="AS39" s="116">
        <v>123.229</v>
      </c>
      <c r="AT39" s="116">
        <v>124.96</v>
      </c>
      <c r="AU39" s="116">
        <v>145.77099999999999</v>
      </c>
      <c r="AV39" s="551">
        <f>AU39</f>
        <v>145.77099999999999</v>
      </c>
      <c r="AW39" s="559">
        <v>151.50899999999999</v>
      </c>
      <c r="AX39" s="116">
        <v>158.54300000000001</v>
      </c>
      <c r="AY39" s="116">
        <v>163.267</v>
      </c>
      <c r="AZ39" s="116">
        <v>155.84100000000001</v>
      </c>
      <c r="BA39" s="551">
        <f>AZ39</f>
        <v>155.84100000000001</v>
      </c>
      <c r="BB39" s="559">
        <v>157.626</v>
      </c>
      <c r="BC39" s="116">
        <v>159.92500000000001</v>
      </c>
      <c r="BD39" s="116">
        <v>161.86699999999999</v>
      </c>
      <c r="BE39" s="116">
        <f>IFERROR('Income Statement'!BE8*BE123,"NM")</f>
        <v>151.48450737120086</v>
      </c>
      <c r="BF39" s="551">
        <f>BE39</f>
        <v>151.48450737120086</v>
      </c>
      <c r="BG39" s="559">
        <f>IFERROR('Income Statement'!BG8*BG123,"NM")</f>
        <v>179.5809604319833</v>
      </c>
      <c r="BH39" s="116">
        <f>IFERROR('Income Statement'!BH8*BH123,"NM")</f>
        <v>192.23964656135422</v>
      </c>
      <c r="BI39" s="116">
        <f>IFERROR('Income Statement'!BI8*BI123,"NM")</f>
        <v>190.55165261903525</v>
      </c>
      <c r="BJ39" s="116">
        <f>IFERROR('Income Statement'!BJ8*BJ123,"NM")</f>
        <v>186.16285300055776</v>
      </c>
      <c r="BK39" s="551">
        <f>BJ39</f>
        <v>186.16285300055776</v>
      </c>
      <c r="BL39" s="559">
        <f>IFERROR('Income Statement'!BL8*BL123,"NM")</f>
        <v>203.54582769609814</v>
      </c>
      <c r="BM39" s="116">
        <f>IFERROR('Income Statement'!BM8*BM123,"NM")</f>
        <v>218.90851830259348</v>
      </c>
      <c r="BN39" s="116">
        <f>IFERROR('Income Statement'!BN8*BN123,"NM")</f>
        <v>218.42378004481148</v>
      </c>
      <c r="BO39" s="116">
        <f>IFERROR('Income Statement'!BO8*BO123,"NM")</f>
        <v>218.6517738566572</v>
      </c>
      <c r="BP39" s="551">
        <f>BO39</f>
        <v>218.6517738566572</v>
      </c>
      <c r="BQ39" s="559">
        <f>IFERROR('Income Statement'!BQ8*BQ123,"NM")</f>
        <v>220.86524092693415</v>
      </c>
      <c r="BR39" s="116">
        <f>IFERROR('Income Statement'!BR8*BR123,"NM")</f>
        <v>238.43971581053592</v>
      </c>
      <c r="BS39" s="116">
        <f>IFERROR('Income Statement'!BS8*BS123,"NM")</f>
        <v>239.08108235675712</v>
      </c>
      <c r="BT39" s="116">
        <f>IFERROR('Income Statement'!BT8*BT123,"NM")</f>
        <v>237.34106046526784</v>
      </c>
      <c r="BU39" s="551">
        <f>BT39</f>
        <v>237.34106046526784</v>
      </c>
      <c r="BV39" s="559">
        <f>IFERROR('Income Statement'!BV8*BV123,"NM")</f>
        <v>238.19931928450632</v>
      </c>
      <c r="BW39" s="116">
        <f>IFERROR('Income Statement'!BW8*BW123,"NM")</f>
        <v>258.88601681717563</v>
      </c>
      <c r="BX39" s="116">
        <f>IFERROR('Income Statement'!BX8*BX123,"NM")</f>
        <v>258.93987430055643</v>
      </c>
      <c r="BY39" s="116">
        <f>IFERROR('Income Statement'!BY8*BY123,"NM")</f>
        <v>254.10896904607856</v>
      </c>
      <c r="BZ39" s="551">
        <f>BY39</f>
        <v>254.10896904607856</v>
      </c>
    </row>
    <row r="40" spans="1:78" ht="14.1" customHeight="1" x14ac:dyDescent="0.2">
      <c r="C40" s="208" t="s">
        <v>135</v>
      </c>
      <c r="D40" s="116">
        <f>W40</f>
        <v>39.639000000000003</v>
      </c>
      <c r="E40" s="116">
        <f>AB40</f>
        <v>36.899000000000001</v>
      </c>
      <c r="F40" s="116">
        <f>AG40</f>
        <v>44.402000000000001</v>
      </c>
      <c r="G40" s="116">
        <f>AL40</f>
        <v>46.204999999999998</v>
      </c>
      <c r="H40" s="116">
        <f>AQ40</f>
        <v>60.015000000000001</v>
      </c>
      <c r="I40" s="116">
        <f>AV40</f>
        <v>60.442999999999998</v>
      </c>
      <c r="J40" s="570">
        <f>BA40</f>
        <v>61.396999999999998</v>
      </c>
      <c r="K40" s="116">
        <f>BF40</f>
        <v>61.540581119550346</v>
      </c>
      <c r="L40" s="116">
        <f>BK40</f>
        <v>88.182404052895791</v>
      </c>
      <c r="M40" s="116">
        <f>BP40</f>
        <v>103.57189287946922</v>
      </c>
      <c r="N40" s="116">
        <f>BU40</f>
        <v>112.42471285196899</v>
      </c>
      <c r="O40" s="116">
        <f>BZ40</f>
        <v>120.36740639024775</v>
      </c>
      <c r="P40" s="559"/>
      <c r="Q40" s="551"/>
      <c r="R40" s="114" t="str">
        <f t="shared" si="13"/>
        <v>Claims, insurance and other</v>
      </c>
      <c r="S40" s="116">
        <v>36.898000000000003</v>
      </c>
      <c r="T40" s="116">
        <v>38.854999999999997</v>
      </c>
      <c r="U40" s="116">
        <v>37.241999999999997</v>
      </c>
      <c r="V40" s="116">
        <v>39.639000000000003</v>
      </c>
      <c r="W40" s="116">
        <f>V40</f>
        <v>39.639000000000003</v>
      </c>
      <c r="X40" s="559">
        <v>40.662999999999997</v>
      </c>
      <c r="Y40" s="116">
        <v>38.826999999999998</v>
      </c>
      <c r="Z40" s="116">
        <v>39.44</v>
      </c>
      <c r="AA40" s="116">
        <v>36.899000000000001</v>
      </c>
      <c r="AB40" s="551">
        <f>AA40</f>
        <v>36.899000000000001</v>
      </c>
      <c r="AC40" s="559">
        <v>36.533999999999999</v>
      </c>
      <c r="AD40" s="116">
        <v>40.304000000000002</v>
      </c>
      <c r="AE40" s="116">
        <v>44.536999999999999</v>
      </c>
      <c r="AF40" s="116">
        <v>44.402000000000001</v>
      </c>
      <c r="AG40" s="551">
        <f>AF40</f>
        <v>44.402000000000001</v>
      </c>
      <c r="AH40" s="559">
        <v>44.716999999999999</v>
      </c>
      <c r="AI40" s="116">
        <v>49.820999999999998</v>
      </c>
      <c r="AJ40" s="116">
        <v>49.701000000000001</v>
      </c>
      <c r="AK40" s="116">
        <v>46.204999999999998</v>
      </c>
      <c r="AL40" s="551">
        <f>AK40</f>
        <v>46.204999999999998</v>
      </c>
      <c r="AM40" s="559">
        <v>46.237000000000002</v>
      </c>
      <c r="AN40" s="116">
        <v>48.756</v>
      </c>
      <c r="AO40" s="116">
        <v>59.103999999999999</v>
      </c>
      <c r="AP40" s="116">
        <v>60.015000000000001</v>
      </c>
      <c r="AQ40" s="551">
        <f>AP40</f>
        <v>60.015000000000001</v>
      </c>
      <c r="AR40" s="559">
        <v>69.063999999999993</v>
      </c>
      <c r="AS40" s="116">
        <v>74.832999999999998</v>
      </c>
      <c r="AT40" s="116">
        <v>64.088999999999999</v>
      </c>
      <c r="AU40" s="116">
        <v>60.442999999999998</v>
      </c>
      <c r="AV40" s="551">
        <f>AU40</f>
        <v>60.442999999999998</v>
      </c>
      <c r="AW40" s="559">
        <v>64.117999999999995</v>
      </c>
      <c r="AX40" s="116">
        <v>66.869</v>
      </c>
      <c r="AY40" s="116">
        <v>62.55</v>
      </c>
      <c r="AZ40" s="116">
        <v>61.396999999999998</v>
      </c>
      <c r="BA40" s="551">
        <f>AZ40</f>
        <v>61.396999999999998</v>
      </c>
      <c r="BB40" s="559">
        <v>66.635000000000005</v>
      </c>
      <c r="BC40" s="116">
        <v>66.704999999999998</v>
      </c>
      <c r="BD40" s="116">
        <v>65.572000000000003</v>
      </c>
      <c r="BE40" s="116">
        <f>IFERROR('Income Statement'!BE8*BE124,"NM")</f>
        <v>61.540581119550346</v>
      </c>
      <c r="BF40" s="551">
        <f>BE40</f>
        <v>61.540581119550346</v>
      </c>
      <c r="BG40" s="559">
        <f>IFERROR('Income Statement'!BG8*BG124,"NM")</f>
        <v>81.725964863259065</v>
      </c>
      <c r="BH40" s="116">
        <f>IFERROR('Income Statement'!BH8*BH124,"NM")</f>
        <v>89.221271370580666</v>
      </c>
      <c r="BI40" s="116">
        <f>IFERROR('Income Statement'!BI8*BI124,"NM")</f>
        <v>86.530702155503946</v>
      </c>
      <c r="BJ40" s="116">
        <f>IFERROR('Income Statement'!BJ8*BJ124,"NM")</f>
        <v>88.182404052895791</v>
      </c>
      <c r="BK40" s="551">
        <f>BJ40</f>
        <v>88.182404052895791</v>
      </c>
      <c r="BL40" s="559">
        <f>IFERROR('Income Statement'!BL8*BL124,"NM")</f>
        <v>92.632198437622449</v>
      </c>
      <c r="BM40" s="116">
        <f>IFERROR('Income Statement'!BM8*BM124,"NM")</f>
        <v>101.59869031268694</v>
      </c>
      <c r="BN40" s="116">
        <f>IFERROR('Income Statement'!BN8*BN124,"NM")</f>
        <v>99.187610261895074</v>
      </c>
      <c r="BO40" s="116">
        <f>IFERROR('Income Statement'!BO8*BO124,"NM")</f>
        <v>103.57189287946922</v>
      </c>
      <c r="BP40" s="551">
        <f>BO40</f>
        <v>103.57189287946922</v>
      </c>
      <c r="BQ40" s="559">
        <f>IFERROR('Income Statement'!BQ8*BQ124,"NM")</f>
        <v>100.51413510702605</v>
      </c>
      <c r="BR40" s="116">
        <f>IFERROR('Income Statement'!BR8*BR124,"NM")</f>
        <v>110.66340877331093</v>
      </c>
      <c r="BS40" s="116">
        <f>IFERROR('Income Statement'!BS8*BS124,"NM")</f>
        <v>108.56822097359985</v>
      </c>
      <c r="BT40" s="116">
        <f>IFERROR('Income Statement'!BT8*BT124,"NM")</f>
        <v>112.42471285196899</v>
      </c>
      <c r="BU40" s="551">
        <f>BT40</f>
        <v>112.42471285196899</v>
      </c>
      <c r="BV40" s="559">
        <f>IFERROR('Income Statement'!BV8*BV124,"NM")</f>
        <v>108.40274576697672</v>
      </c>
      <c r="BW40" s="116">
        <f>IFERROR('Income Statement'!BW8*BW124,"NM")</f>
        <v>120.15284034098583</v>
      </c>
      <c r="BX40" s="116">
        <f>IFERROR('Income Statement'!BX8*BX124,"NM")</f>
        <v>117.58622311232998</v>
      </c>
      <c r="BY40" s="116">
        <f>IFERROR('Income Statement'!BY8*BY124,"NM")</f>
        <v>120.36740639024775</v>
      </c>
      <c r="BZ40" s="551">
        <f>BY40</f>
        <v>120.36740639024775</v>
      </c>
    </row>
    <row r="41" spans="1:78" ht="14.1" customHeight="1" x14ac:dyDescent="0.2">
      <c r="C41" s="564" t="s">
        <v>136</v>
      </c>
      <c r="D41" s="119">
        <f t="shared" ref="D41:O41" si="58">IFERROR(SUM(D37:D40),"NM")</f>
        <v>217.89500000000001</v>
      </c>
      <c r="E41" s="119">
        <f t="shared" si="58"/>
        <v>228.56900000000002</v>
      </c>
      <c r="F41" s="119">
        <f t="shared" si="58"/>
        <v>359.221</v>
      </c>
      <c r="G41" s="119">
        <f t="shared" si="58"/>
        <v>311.73199999999997</v>
      </c>
      <c r="H41" s="119">
        <f t="shared" si="58"/>
        <v>303.56900000000002</v>
      </c>
      <c r="I41" s="119">
        <f t="shared" si="58"/>
        <v>321.28399999999999</v>
      </c>
      <c r="J41" s="571">
        <f t="shared" si="58"/>
        <v>320.01499999999999</v>
      </c>
      <c r="K41" s="119">
        <f t="shared" si="58"/>
        <v>488.23014543593479</v>
      </c>
      <c r="L41" s="119">
        <f t="shared" si="58"/>
        <v>608.45789361858533</v>
      </c>
      <c r="M41" s="119">
        <f t="shared" si="58"/>
        <v>629.06918464012301</v>
      </c>
      <c r="N41" s="119">
        <f t="shared" si="58"/>
        <v>662.40415221619674</v>
      </c>
      <c r="O41" s="119">
        <f t="shared" si="58"/>
        <v>712.37596104206909</v>
      </c>
      <c r="P41" s="606"/>
      <c r="Q41" s="607"/>
      <c r="R41" s="120" t="str">
        <f t="shared" si="13"/>
        <v>Total Long-Term Liabilities</v>
      </c>
      <c r="S41" s="119">
        <f t="shared" ref="S41:AV41" si="59">IFERROR(SUM(S37:S40),"NM")</f>
        <v>257.37400000000002</v>
      </c>
      <c r="T41" s="119">
        <f t="shared" si="59"/>
        <v>257.62900000000002</v>
      </c>
      <c r="U41" s="119">
        <f>IFERROR(SUM(U37:U40),"NM")</f>
        <v>237.46699999999998</v>
      </c>
      <c r="V41" s="119">
        <f t="shared" si="59"/>
        <v>217.89500000000001</v>
      </c>
      <c r="W41" s="119">
        <f t="shared" si="59"/>
        <v>217.89500000000001</v>
      </c>
      <c r="X41" s="560">
        <f t="shared" si="59"/>
        <v>229.476</v>
      </c>
      <c r="Y41" s="119">
        <f t="shared" si="59"/>
        <v>240.40699999999998</v>
      </c>
      <c r="Z41" s="119">
        <f t="shared" si="59"/>
        <v>209.05</v>
      </c>
      <c r="AA41" s="119">
        <f t="shared" si="59"/>
        <v>228.56900000000002</v>
      </c>
      <c r="AB41" s="552">
        <f t="shared" si="59"/>
        <v>228.56900000000002</v>
      </c>
      <c r="AC41" s="560">
        <f t="shared" si="59"/>
        <v>317.74099999999999</v>
      </c>
      <c r="AD41" s="119">
        <f t="shared" si="59"/>
        <v>357.428</v>
      </c>
      <c r="AE41" s="119">
        <f t="shared" si="59"/>
        <v>385.82</v>
      </c>
      <c r="AF41" s="119">
        <f t="shared" si="59"/>
        <v>359.221</v>
      </c>
      <c r="AG41" s="552">
        <f t="shared" si="59"/>
        <v>359.221</v>
      </c>
      <c r="AH41" s="560">
        <f t="shared" si="59"/>
        <v>484.82499999999993</v>
      </c>
      <c r="AI41" s="119">
        <f t="shared" si="59"/>
        <v>415.01599999999996</v>
      </c>
      <c r="AJ41" s="119">
        <f t="shared" si="59"/>
        <v>371.52300000000002</v>
      </c>
      <c r="AK41" s="119">
        <f t="shared" si="59"/>
        <v>311.73199999999997</v>
      </c>
      <c r="AL41" s="552">
        <f t="shared" si="59"/>
        <v>311.73199999999997</v>
      </c>
      <c r="AM41" s="560">
        <f t="shared" si="59"/>
        <v>305.709</v>
      </c>
      <c r="AN41" s="119">
        <f t="shared" si="59"/>
        <v>299.34199999999998</v>
      </c>
      <c r="AO41" s="119">
        <f t="shared" si="59"/>
        <v>305.91199999999998</v>
      </c>
      <c r="AP41" s="119">
        <f t="shared" si="59"/>
        <v>303.56900000000002</v>
      </c>
      <c r="AQ41" s="552">
        <f t="shared" si="59"/>
        <v>303.56900000000002</v>
      </c>
      <c r="AR41" s="560">
        <f t="shared" si="59"/>
        <v>301.73799999999994</v>
      </c>
      <c r="AS41" s="119">
        <f t="shared" si="59"/>
        <v>304.94399999999996</v>
      </c>
      <c r="AT41" s="119">
        <f t="shared" si="59"/>
        <v>295.37299999999999</v>
      </c>
      <c r="AU41" s="119">
        <f t="shared" si="59"/>
        <v>321.28399999999999</v>
      </c>
      <c r="AV41" s="552">
        <f t="shared" si="59"/>
        <v>321.28399999999999</v>
      </c>
      <c r="AW41" s="560">
        <f>IFERROR(SUM(AW37:AW40),"NM")</f>
        <v>321.32799999999997</v>
      </c>
      <c r="AX41" s="119">
        <f t="shared" ref="AX41:BF41" si="60">IFERROR(SUM(AX37:AX40),"NM")</f>
        <v>323.59500000000003</v>
      </c>
      <c r="AY41" s="119">
        <f t="shared" si="60"/>
        <v>336.62799999999999</v>
      </c>
      <c r="AZ41" s="119">
        <f t="shared" si="60"/>
        <v>320.01499999999999</v>
      </c>
      <c r="BA41" s="552">
        <f t="shared" si="60"/>
        <v>320.01499999999999</v>
      </c>
      <c r="BB41" s="560">
        <f t="shared" si="60"/>
        <v>399.00400000000002</v>
      </c>
      <c r="BC41" s="119">
        <f t="shared" si="60"/>
        <v>493.20800000000003</v>
      </c>
      <c r="BD41" s="119">
        <f t="shared" si="60"/>
        <v>503.96600000000001</v>
      </c>
      <c r="BE41" s="119">
        <f t="shared" si="60"/>
        <v>488.23014543593479</v>
      </c>
      <c r="BF41" s="552">
        <f t="shared" si="60"/>
        <v>488.23014543593479</v>
      </c>
      <c r="BG41" s="560">
        <f>IFERROR(SUM(BG37:BG40),"NM")</f>
        <v>566.7093215860175</v>
      </c>
      <c r="BH41" s="119">
        <f>IFERROR(SUM(BH37:BH40),"NM")</f>
        <v>599.64880273553729</v>
      </c>
      <c r="BI41" s="119">
        <f>IFERROR(SUM(BI37:BI40),"NM")</f>
        <v>601.39632040118272</v>
      </c>
      <c r="BJ41" s="119">
        <f>IFERROR(SUM(BJ37:BJ40),"NM")</f>
        <v>608.45789361858533</v>
      </c>
      <c r="BK41" s="552">
        <f>IFERROR(SUM(BK37:BK40),"NM")</f>
        <v>608.45789361858533</v>
      </c>
      <c r="BL41" s="560">
        <f t="shared" ref="BL41:BZ41" si="61">IFERROR(SUM(BL37:BL40),"NM")</f>
        <v>644.64205234908843</v>
      </c>
      <c r="BM41" s="119">
        <f t="shared" si="61"/>
        <v>658.05217918880703</v>
      </c>
      <c r="BN41" s="119">
        <f t="shared" si="61"/>
        <v>636.84332522375666</v>
      </c>
      <c r="BO41" s="119">
        <f t="shared" si="61"/>
        <v>629.06918464012301</v>
      </c>
      <c r="BP41" s="552">
        <f t="shared" si="61"/>
        <v>629.06918464012301</v>
      </c>
      <c r="BQ41" s="560">
        <f t="shared" si="61"/>
        <v>646.0834067997921</v>
      </c>
      <c r="BR41" s="119">
        <f t="shared" si="61"/>
        <v>673.47196299715961</v>
      </c>
      <c r="BS41" s="119">
        <f t="shared" si="61"/>
        <v>663.74099110253997</v>
      </c>
      <c r="BT41" s="119">
        <f t="shared" si="61"/>
        <v>662.40415221619674</v>
      </c>
      <c r="BU41" s="552">
        <f t="shared" si="61"/>
        <v>662.40415221619674</v>
      </c>
      <c r="BV41" s="560">
        <f t="shared" si="61"/>
        <v>682.89745699001469</v>
      </c>
      <c r="BW41" s="119">
        <f t="shared" si="61"/>
        <v>721.14399153421402</v>
      </c>
      <c r="BX41" s="119">
        <f t="shared" si="61"/>
        <v>714.5085743761091</v>
      </c>
      <c r="BY41" s="119">
        <f t="shared" si="61"/>
        <v>712.37596104206909</v>
      </c>
      <c r="BZ41" s="552">
        <f t="shared" si="61"/>
        <v>712.37596104206909</v>
      </c>
    </row>
    <row r="42" spans="1:78" s="115" customFormat="1" ht="2.1" customHeight="1" x14ac:dyDescent="0.2">
      <c r="A42"/>
      <c r="B42"/>
      <c r="C42" s="565"/>
      <c r="J42" s="569"/>
      <c r="P42" s="558"/>
      <c r="Q42" s="480"/>
      <c r="R42" s="114"/>
      <c r="X42" s="558"/>
      <c r="AB42" s="480"/>
      <c r="AC42" s="558"/>
      <c r="AG42" s="480"/>
      <c r="AH42" s="558"/>
      <c r="AL42" s="480"/>
      <c r="AM42" s="558"/>
      <c r="AQ42" s="480"/>
      <c r="AR42" s="558"/>
      <c r="AV42" s="480"/>
      <c r="AW42" s="558"/>
      <c r="BA42" s="480"/>
      <c r="BB42" s="558"/>
      <c r="BF42" s="480"/>
      <c r="BG42" s="558"/>
      <c r="BK42" s="480"/>
      <c r="BL42" s="558"/>
      <c r="BP42" s="480"/>
      <c r="BQ42" s="558"/>
      <c r="BU42" s="480"/>
      <c r="BV42" s="558"/>
      <c r="BZ42" s="480"/>
    </row>
    <row r="43" spans="1:78" ht="14.1" customHeight="1" x14ac:dyDescent="0.2">
      <c r="C43" s="566" t="s">
        <v>137</v>
      </c>
      <c r="J43" s="570"/>
      <c r="P43" s="559"/>
      <c r="Q43" s="551"/>
      <c r="R43" s="114" t="str">
        <f t="shared" si="13"/>
        <v>Stockholders’ Equity:</v>
      </c>
      <c r="X43" s="559"/>
      <c r="AB43" s="551"/>
      <c r="AC43" s="559"/>
      <c r="AG43" s="551"/>
      <c r="AH43" s="559"/>
      <c r="AL43" s="551"/>
      <c r="AM43" s="559"/>
      <c r="AQ43" s="551"/>
      <c r="AR43" s="559"/>
      <c r="AV43" s="551"/>
      <c r="AW43" s="559"/>
      <c r="BA43" s="551"/>
      <c r="BB43" s="559"/>
      <c r="BF43" s="551"/>
      <c r="BG43" s="559"/>
      <c r="BK43" s="551"/>
      <c r="BL43" s="559"/>
      <c r="BP43" s="551"/>
      <c r="BQ43" s="559"/>
      <c r="BU43" s="551"/>
      <c r="BV43" s="559"/>
      <c r="BZ43" s="551"/>
    </row>
    <row r="44" spans="1:78" ht="14.1" customHeight="1" outlineLevel="1" x14ac:dyDescent="0.2">
      <c r="C44" s="208" t="s">
        <v>138</v>
      </c>
      <c r="D44" s="116">
        <f t="shared" ref="D44:D50" si="62">W44</f>
        <v>0</v>
      </c>
      <c r="E44" s="116">
        <f t="shared" ref="E44:E50" si="63">AB44</f>
        <v>0</v>
      </c>
      <c r="F44" s="116">
        <f t="shared" ref="F44:F50" si="64">AG44</f>
        <v>0</v>
      </c>
      <c r="G44" s="116">
        <f t="shared" ref="G44:G50" si="65">AL44</f>
        <v>0</v>
      </c>
      <c r="H44" s="116">
        <f t="shared" ref="H44:H50" si="66">AQ44</f>
        <v>0</v>
      </c>
      <c r="I44" s="116">
        <f t="shared" ref="I44:I50" si="67">AV44</f>
        <v>0</v>
      </c>
      <c r="J44" s="570">
        <f t="shared" ref="J44:J50" si="68">BA44</f>
        <v>0</v>
      </c>
      <c r="K44" s="116">
        <f t="shared" ref="K44:K50" si="69">BF44</f>
        <v>0</v>
      </c>
      <c r="L44" s="116">
        <f t="shared" ref="L44:L50" si="70">BK44</f>
        <v>0</v>
      </c>
      <c r="M44" s="116">
        <f t="shared" ref="M44:M50" si="71">BP44</f>
        <v>0</v>
      </c>
      <c r="N44" s="116">
        <f t="shared" ref="N44:N50" si="72">BU44</f>
        <v>0</v>
      </c>
      <c r="O44" s="116">
        <f t="shared" ref="O44:O50" si="73">BZ44</f>
        <v>0</v>
      </c>
      <c r="P44" s="559"/>
      <c r="Q44" s="551"/>
      <c r="R44" s="114" t="str">
        <f t="shared" si="13"/>
        <v>Preferred Stock</v>
      </c>
      <c r="W44" s="116">
        <f t="shared" ref="W44:W49" si="74">V44</f>
        <v>0</v>
      </c>
      <c r="X44" s="559"/>
      <c r="AB44" s="551">
        <f t="shared" ref="AB44:AB49" si="75">AA44</f>
        <v>0</v>
      </c>
      <c r="AC44" s="559"/>
      <c r="AG44" s="551">
        <f t="shared" ref="AG44:AG50" si="76">AF44</f>
        <v>0</v>
      </c>
      <c r="AH44" s="559"/>
      <c r="AL44" s="551">
        <f t="shared" ref="AL44:AL50" si="77">AK44</f>
        <v>0</v>
      </c>
      <c r="AM44" s="559"/>
      <c r="AQ44" s="551">
        <f t="shared" ref="AQ44:AQ50" si="78">AP44</f>
        <v>0</v>
      </c>
      <c r="AR44" s="559"/>
      <c r="AV44" s="551">
        <f t="shared" ref="AV44:AV50" si="79">AU44</f>
        <v>0</v>
      </c>
      <c r="AW44" s="559">
        <v>0</v>
      </c>
      <c r="BA44" s="551">
        <f t="shared" ref="BA44:BA50" si="80">AZ44</f>
        <v>0</v>
      </c>
      <c r="BB44" s="559"/>
      <c r="BF44" s="551">
        <f t="shared" ref="BF44:BF50" si="81">BE44</f>
        <v>0</v>
      </c>
      <c r="BG44" s="559"/>
      <c r="BK44" s="551">
        <f t="shared" ref="BK44:BK50" si="82">BJ44</f>
        <v>0</v>
      </c>
      <c r="BL44" s="559"/>
      <c r="BP44" s="551">
        <f t="shared" ref="BP44:BP50" si="83">BO44</f>
        <v>0</v>
      </c>
      <c r="BQ44" s="559"/>
      <c r="BU44" s="551">
        <f t="shared" ref="BU44:BU50" si="84">BT44</f>
        <v>0</v>
      </c>
      <c r="BV44" s="559"/>
      <c r="BZ44" s="551">
        <f t="shared" ref="BZ44:BZ50" si="85">BY44</f>
        <v>0</v>
      </c>
    </row>
    <row r="45" spans="1:78" ht="14.1" customHeight="1" outlineLevel="1" x14ac:dyDescent="0.2">
      <c r="C45" s="208" t="s">
        <v>139</v>
      </c>
      <c r="D45" s="116">
        <f t="shared" si="62"/>
        <v>0</v>
      </c>
      <c r="E45" s="116">
        <f t="shared" si="63"/>
        <v>0</v>
      </c>
      <c r="F45" s="116">
        <f t="shared" si="64"/>
        <v>0</v>
      </c>
      <c r="G45" s="116">
        <f t="shared" si="65"/>
        <v>0</v>
      </c>
      <c r="H45" s="116">
        <f t="shared" si="66"/>
        <v>0</v>
      </c>
      <c r="I45" s="116">
        <f t="shared" si="67"/>
        <v>0</v>
      </c>
      <c r="J45" s="570">
        <f t="shared" si="68"/>
        <v>0</v>
      </c>
      <c r="K45" s="116">
        <f t="shared" si="69"/>
        <v>0</v>
      </c>
      <c r="L45" s="116">
        <f t="shared" si="70"/>
        <v>0</v>
      </c>
      <c r="M45" s="116">
        <f t="shared" si="71"/>
        <v>0</v>
      </c>
      <c r="N45" s="116">
        <f t="shared" si="72"/>
        <v>0</v>
      </c>
      <c r="O45" s="116">
        <f t="shared" si="73"/>
        <v>0</v>
      </c>
      <c r="P45" s="559"/>
      <c r="Q45" s="551"/>
      <c r="R45" s="114" t="str">
        <f t="shared" si="13"/>
        <v>Non-Controlling Interest</v>
      </c>
      <c r="W45" s="116">
        <f t="shared" si="74"/>
        <v>0</v>
      </c>
      <c r="X45" s="559"/>
      <c r="AB45" s="551">
        <f t="shared" si="75"/>
        <v>0</v>
      </c>
      <c r="AC45" s="559"/>
      <c r="AG45" s="551">
        <f t="shared" si="76"/>
        <v>0</v>
      </c>
      <c r="AH45" s="559"/>
      <c r="AL45" s="551">
        <f t="shared" si="77"/>
        <v>0</v>
      </c>
      <c r="AM45" s="559"/>
      <c r="AQ45" s="551">
        <f t="shared" si="78"/>
        <v>0</v>
      </c>
      <c r="AR45" s="559"/>
      <c r="AV45" s="551">
        <f t="shared" si="79"/>
        <v>0</v>
      </c>
      <c r="AW45" s="559"/>
      <c r="BA45" s="551">
        <f t="shared" si="80"/>
        <v>0</v>
      </c>
      <c r="BB45" s="559"/>
      <c r="BF45" s="551">
        <f t="shared" si="81"/>
        <v>0</v>
      </c>
      <c r="BG45" s="559"/>
      <c r="BK45" s="551">
        <f t="shared" si="82"/>
        <v>0</v>
      </c>
      <c r="BL45" s="559"/>
      <c r="BP45" s="551">
        <f t="shared" si="83"/>
        <v>0</v>
      </c>
      <c r="BQ45" s="559"/>
      <c r="BU45" s="551">
        <f t="shared" si="84"/>
        <v>0</v>
      </c>
      <c r="BV45" s="559"/>
      <c r="BZ45" s="551">
        <f t="shared" si="85"/>
        <v>0</v>
      </c>
    </row>
    <row r="46" spans="1:78" ht="14.1" customHeight="1" outlineLevel="1" x14ac:dyDescent="0.2">
      <c r="C46" s="208" t="s">
        <v>140</v>
      </c>
      <c r="D46" s="116">
        <f t="shared" si="62"/>
        <v>2.5999999999999999E-2</v>
      </c>
      <c r="E46" s="116">
        <f t="shared" si="63"/>
        <v>2.5999999999999999E-2</v>
      </c>
      <c r="F46" s="116">
        <f t="shared" si="64"/>
        <v>2.5999999999999999E-2</v>
      </c>
      <c r="G46" s="116">
        <f t="shared" si="65"/>
        <v>2.5999999999999999E-2</v>
      </c>
      <c r="H46" s="116">
        <f t="shared" si="66"/>
        <v>2.5999999999999999E-2</v>
      </c>
      <c r="I46" s="116">
        <f t="shared" si="67"/>
        <v>2.5999999999999999E-2</v>
      </c>
      <c r="J46" s="570">
        <f t="shared" si="68"/>
        <v>2.7E-2</v>
      </c>
      <c r="K46" s="116">
        <f t="shared" si="69"/>
        <v>0</v>
      </c>
      <c r="L46" s="116">
        <f t="shared" si="70"/>
        <v>0</v>
      </c>
      <c r="M46" s="116">
        <f t="shared" si="71"/>
        <v>0</v>
      </c>
      <c r="N46" s="116">
        <f t="shared" si="72"/>
        <v>0</v>
      </c>
      <c r="O46" s="116">
        <f t="shared" si="73"/>
        <v>0</v>
      </c>
      <c r="P46" s="559"/>
      <c r="Q46" s="551"/>
      <c r="R46" s="114" t="str">
        <f t="shared" si="13"/>
        <v>Common Stock</v>
      </c>
      <c r="S46" s="116">
        <v>2.5000000000000001E-2</v>
      </c>
      <c r="T46" s="116">
        <v>2.5000000000000001E-2</v>
      </c>
      <c r="U46" s="116">
        <v>2.5000000000000001E-2</v>
      </c>
      <c r="V46" s="116">
        <v>2.5999999999999999E-2</v>
      </c>
      <c r="W46" s="116">
        <f t="shared" si="74"/>
        <v>2.5999999999999999E-2</v>
      </c>
      <c r="X46" s="559">
        <v>2.5999999999999999E-2</v>
      </c>
      <c r="Y46" s="116">
        <v>2.5999999999999999E-2</v>
      </c>
      <c r="Z46" s="116">
        <v>2.5999999999999999E-2</v>
      </c>
      <c r="AA46" s="116">
        <v>2.5999999999999999E-2</v>
      </c>
      <c r="AB46" s="551">
        <f t="shared" si="75"/>
        <v>2.5999999999999999E-2</v>
      </c>
      <c r="AC46" s="559">
        <v>2.5999999999999999E-2</v>
      </c>
      <c r="AD46" s="116">
        <v>2.5999999999999999E-2</v>
      </c>
      <c r="AE46" s="116">
        <v>2.5999999999999999E-2</v>
      </c>
      <c r="AF46" s="116">
        <v>2.5999999999999999E-2</v>
      </c>
      <c r="AG46" s="551">
        <f t="shared" si="76"/>
        <v>2.5999999999999999E-2</v>
      </c>
      <c r="AH46" s="559">
        <v>2.5999999999999999E-2</v>
      </c>
      <c r="AI46" s="116">
        <v>2.5999999999999999E-2</v>
      </c>
      <c r="AJ46" s="116">
        <v>2.5999999999999999E-2</v>
      </c>
      <c r="AK46" s="116">
        <v>2.5999999999999999E-2</v>
      </c>
      <c r="AL46" s="551">
        <f t="shared" si="77"/>
        <v>2.5999999999999999E-2</v>
      </c>
      <c r="AM46" s="559">
        <v>2.5999999999999999E-2</v>
      </c>
      <c r="AN46" s="116">
        <v>2.5999999999999999E-2</v>
      </c>
      <c r="AO46" s="116">
        <v>2.5999999999999999E-2</v>
      </c>
      <c r="AP46" s="116">
        <v>2.5999999999999999E-2</v>
      </c>
      <c r="AQ46" s="551">
        <f t="shared" si="78"/>
        <v>2.5999999999999999E-2</v>
      </c>
      <c r="AR46" s="559">
        <v>2.5999999999999999E-2</v>
      </c>
      <c r="AS46" s="116">
        <v>2.5999999999999999E-2</v>
      </c>
      <c r="AT46" s="116">
        <v>2.5999999999999999E-2</v>
      </c>
      <c r="AU46" s="116">
        <v>2.5999999999999999E-2</v>
      </c>
      <c r="AV46" s="551">
        <f t="shared" si="79"/>
        <v>2.5999999999999999E-2</v>
      </c>
      <c r="AW46" s="559">
        <v>2.7E-2</v>
      </c>
      <c r="AX46" s="116">
        <v>2.7E-2</v>
      </c>
      <c r="AY46" s="116">
        <v>2.7E-2</v>
      </c>
      <c r="AZ46" s="116">
        <v>2.7E-2</v>
      </c>
      <c r="BA46" s="551">
        <f t="shared" si="80"/>
        <v>2.7E-2</v>
      </c>
      <c r="BB46" s="559">
        <v>2.7E-2</v>
      </c>
      <c r="BC46" s="116">
        <v>2.7E-2</v>
      </c>
      <c r="BD46" s="116">
        <v>2.7E-2</v>
      </c>
      <c r="BF46" s="551">
        <f t="shared" si="81"/>
        <v>0</v>
      </c>
      <c r="BG46" s="559"/>
      <c r="BK46" s="551">
        <f t="shared" si="82"/>
        <v>0</v>
      </c>
      <c r="BL46" s="559"/>
      <c r="BP46" s="551">
        <f t="shared" si="83"/>
        <v>0</v>
      </c>
      <c r="BQ46" s="559"/>
      <c r="BU46" s="551">
        <f t="shared" si="84"/>
        <v>0</v>
      </c>
      <c r="BV46" s="559"/>
      <c r="BZ46" s="551">
        <f t="shared" si="85"/>
        <v>0</v>
      </c>
    </row>
    <row r="47" spans="1:78" ht="14.1" customHeight="1" outlineLevel="1" x14ac:dyDescent="0.2">
      <c r="C47" s="208" t="s">
        <v>141</v>
      </c>
      <c r="D47" s="116">
        <f t="shared" si="62"/>
        <v>246.45400000000001</v>
      </c>
      <c r="E47" s="116">
        <f t="shared" si="63"/>
        <v>254.738</v>
      </c>
      <c r="F47" s="116">
        <f t="shared" si="64"/>
        <v>260.87099999999998</v>
      </c>
      <c r="G47" s="116">
        <f t="shared" si="65"/>
        <v>267.666</v>
      </c>
      <c r="H47" s="116">
        <f t="shared" si="66"/>
        <v>274.63299999999998</v>
      </c>
      <c r="I47" s="116">
        <f t="shared" si="67"/>
        <v>277.36599999999999</v>
      </c>
      <c r="J47" s="570">
        <f t="shared" si="68"/>
        <v>285.09199999999998</v>
      </c>
      <c r="K47" s="116">
        <f t="shared" si="69"/>
        <v>294.00574462958923</v>
      </c>
      <c r="L47" s="116">
        <f t="shared" si="70"/>
        <v>294.39739753858601</v>
      </c>
      <c r="M47" s="116">
        <f t="shared" si="71"/>
        <v>298.44169721262335</v>
      </c>
      <c r="N47" s="116">
        <f t="shared" si="72"/>
        <v>302.67269705533556</v>
      </c>
      <c r="O47" s="116">
        <f t="shared" si="73"/>
        <v>307.22444915253357</v>
      </c>
      <c r="P47" s="559"/>
      <c r="Q47" s="551"/>
      <c r="R47" s="114" t="str">
        <f t="shared" si="13"/>
        <v>Additional Paid-in-capital</v>
      </c>
      <c r="S47" s="116">
        <v>238.995</v>
      </c>
      <c r="T47" s="116">
        <v>241.05699999999999</v>
      </c>
      <c r="U47" s="116">
        <v>243.38200000000001</v>
      </c>
      <c r="V47" s="116">
        <v>246.45400000000001</v>
      </c>
      <c r="W47" s="116">
        <f t="shared" si="74"/>
        <v>246.45400000000001</v>
      </c>
      <c r="X47" s="559">
        <v>250.233</v>
      </c>
      <c r="Y47" s="116">
        <v>252.536</v>
      </c>
      <c r="Z47" s="116">
        <v>253.36600000000001</v>
      </c>
      <c r="AA47" s="116">
        <v>254.738</v>
      </c>
      <c r="AB47" s="551">
        <f t="shared" si="75"/>
        <v>254.738</v>
      </c>
      <c r="AC47" s="559">
        <v>254.57499999999999</v>
      </c>
      <c r="AD47" s="116">
        <v>257.58300000000003</v>
      </c>
      <c r="AE47" s="116">
        <v>259.38799999999998</v>
      </c>
      <c r="AF47" s="116">
        <v>260.87099999999998</v>
      </c>
      <c r="AG47" s="551">
        <f t="shared" si="76"/>
        <v>260.87099999999998</v>
      </c>
      <c r="AH47" s="559">
        <v>262.00799999999998</v>
      </c>
      <c r="AI47" s="116">
        <v>265.26400000000001</v>
      </c>
      <c r="AJ47" s="116">
        <v>267.07499999999999</v>
      </c>
      <c r="AK47" s="116">
        <v>267.666</v>
      </c>
      <c r="AL47" s="551">
        <f t="shared" si="77"/>
        <v>267.666</v>
      </c>
      <c r="AM47" s="559">
        <v>267.43</v>
      </c>
      <c r="AN47" s="116">
        <v>270.608</v>
      </c>
      <c r="AO47" s="116">
        <v>272.54500000000002</v>
      </c>
      <c r="AP47" s="116">
        <v>274.63299999999998</v>
      </c>
      <c r="AQ47" s="551">
        <f t="shared" si="78"/>
        <v>274.63299999999998</v>
      </c>
      <c r="AR47" s="559">
        <v>267.745</v>
      </c>
      <c r="AS47" s="116">
        <v>271.39499999999998</v>
      </c>
      <c r="AT47" s="116">
        <v>275.358</v>
      </c>
      <c r="AU47" s="116">
        <v>277.36599999999999</v>
      </c>
      <c r="AV47" s="551">
        <f t="shared" si="79"/>
        <v>277.36599999999999</v>
      </c>
      <c r="AW47" s="559">
        <v>273.274</v>
      </c>
      <c r="AX47" s="116">
        <v>277.20800000000003</v>
      </c>
      <c r="AY47" s="116">
        <v>282.17500000000001</v>
      </c>
      <c r="AZ47" s="116">
        <v>285.09199999999998</v>
      </c>
      <c r="BA47" s="551">
        <f t="shared" si="80"/>
        <v>285.09199999999998</v>
      </c>
      <c r="BB47" s="559">
        <v>282.08999999999997</v>
      </c>
      <c r="BC47" s="116">
        <v>287.61099999999999</v>
      </c>
      <c r="BD47" s="116">
        <v>291.31900000000002</v>
      </c>
      <c r="BE47" s="116">
        <f>SUM(BD46:BD47)+BE71</f>
        <v>294.00574462958923</v>
      </c>
      <c r="BF47" s="551">
        <f t="shared" si="81"/>
        <v>294.00574462958923</v>
      </c>
      <c r="BG47" s="559">
        <f>SUM(BF46:BF47)+BG71</f>
        <v>294.00574462958923</v>
      </c>
      <c r="BH47" s="116">
        <f>SUM(BG46:BG47)+BH71</f>
        <v>294.00574462958923</v>
      </c>
      <c r="BI47" s="116">
        <f>SUM(BH46:BH47)+BI71</f>
        <v>294.00574462958923</v>
      </c>
      <c r="BJ47" s="116">
        <f>SUM(BI46:BI47)+BJ71</f>
        <v>294.39739753858601</v>
      </c>
      <c r="BK47" s="551">
        <f t="shared" si="82"/>
        <v>294.39739753858601</v>
      </c>
      <c r="BL47" s="559">
        <f>SUM(BK46:BK47)+BL71</f>
        <v>295.40847245709534</v>
      </c>
      <c r="BM47" s="116">
        <f>SUM(BL46:BL47)+BM71</f>
        <v>296.41954737560468</v>
      </c>
      <c r="BN47" s="116">
        <f>SUM(BM46:BM47)+BN71</f>
        <v>297.43062229411402</v>
      </c>
      <c r="BO47" s="116">
        <f>SUM(BN46:BN47)+BO71</f>
        <v>298.44169721262335</v>
      </c>
      <c r="BP47" s="551">
        <f t="shared" si="83"/>
        <v>298.44169721262335</v>
      </c>
      <c r="BQ47" s="559">
        <f>SUM(BP46:BP47)+BQ71</f>
        <v>299.49944717330141</v>
      </c>
      <c r="BR47" s="116">
        <f>SUM(BQ46:BQ47)+BR71</f>
        <v>300.55719713397946</v>
      </c>
      <c r="BS47" s="116">
        <f>SUM(BR46:BR47)+BS71</f>
        <v>301.61494709465751</v>
      </c>
      <c r="BT47" s="116">
        <f>SUM(BS46:BS47)+BT71</f>
        <v>302.67269705533556</v>
      </c>
      <c r="BU47" s="551">
        <f t="shared" si="84"/>
        <v>302.67269705533556</v>
      </c>
      <c r="BV47" s="559">
        <f>SUM(BU46:BU47)+BV71</f>
        <v>303.81063507963506</v>
      </c>
      <c r="BW47" s="116">
        <f>SUM(BV46:BV47)+BW71</f>
        <v>304.94857310393456</v>
      </c>
      <c r="BX47" s="116">
        <f>SUM(BW46:BW47)+BX71</f>
        <v>306.08651112823406</v>
      </c>
      <c r="BY47" s="116">
        <f>SUM(BX46:BX47)+BY71</f>
        <v>307.22444915253357</v>
      </c>
      <c r="BZ47" s="551">
        <f t="shared" si="85"/>
        <v>307.22444915253357</v>
      </c>
    </row>
    <row r="48" spans="1:78" ht="14.1" customHeight="1" outlineLevel="1" x14ac:dyDescent="0.2">
      <c r="C48" s="208" t="s">
        <v>142</v>
      </c>
      <c r="D48" s="115">
        <f t="shared" si="62"/>
        <v>0</v>
      </c>
      <c r="E48" s="115">
        <f t="shared" si="63"/>
        <v>0</v>
      </c>
      <c r="F48" s="115">
        <f t="shared" si="64"/>
        <v>0</v>
      </c>
      <c r="G48" s="115">
        <f t="shared" si="65"/>
        <v>0</v>
      </c>
      <c r="H48" s="115">
        <f t="shared" si="66"/>
        <v>0</v>
      </c>
      <c r="I48" s="115">
        <f t="shared" si="67"/>
        <v>0</v>
      </c>
      <c r="J48" s="569">
        <f t="shared" si="68"/>
        <v>0</v>
      </c>
      <c r="K48" s="115">
        <f t="shared" si="69"/>
        <v>1.0496041131392799</v>
      </c>
      <c r="L48" s="115">
        <f t="shared" si="70"/>
        <v>-55.11519764091112</v>
      </c>
      <c r="M48" s="115">
        <f t="shared" si="71"/>
        <v>-106.49784884512771</v>
      </c>
      <c r="N48" s="115">
        <f t="shared" si="72"/>
        <v>-515.49307876885075</v>
      </c>
      <c r="O48" s="115">
        <f t="shared" si="73"/>
        <v>-1137.5437747005637</v>
      </c>
      <c r="P48" s="558"/>
      <c r="Q48" s="480"/>
      <c r="R48" s="114" t="str">
        <f t="shared" si="13"/>
        <v>Treasury Stock</v>
      </c>
      <c r="S48" s="115"/>
      <c r="T48" s="115"/>
      <c r="U48" s="115"/>
      <c r="V48" s="115"/>
      <c r="W48" s="115"/>
      <c r="X48" s="558"/>
      <c r="Y48" s="115"/>
      <c r="Z48" s="115"/>
      <c r="AA48" s="115"/>
      <c r="AB48" s="480"/>
      <c r="AC48" s="558"/>
      <c r="AD48" s="115"/>
      <c r="AE48" s="115"/>
      <c r="AF48" s="115"/>
      <c r="AG48" s="480"/>
      <c r="AH48" s="558"/>
      <c r="AI48" s="115"/>
      <c r="AJ48" s="115"/>
      <c r="AK48" s="115"/>
      <c r="AL48" s="480"/>
      <c r="AM48" s="558"/>
      <c r="AN48" s="115"/>
      <c r="AO48" s="115"/>
      <c r="AP48" s="115"/>
      <c r="AQ48" s="480"/>
      <c r="AR48" s="558"/>
      <c r="AS48" s="115"/>
      <c r="AT48" s="115"/>
      <c r="AU48" s="115"/>
      <c r="AV48" s="480"/>
      <c r="AW48" s="558"/>
      <c r="AX48" s="115"/>
      <c r="AY48" s="115"/>
      <c r="AZ48" s="115"/>
      <c r="BA48" s="480"/>
      <c r="BB48" s="558"/>
      <c r="BC48" s="115"/>
      <c r="BD48" s="115"/>
      <c r="BE48" s="115">
        <f>BD48+BE73</f>
        <v>1.0496041131392799</v>
      </c>
      <c r="BF48" s="480">
        <f t="shared" si="81"/>
        <v>1.0496041131392799</v>
      </c>
      <c r="BG48" s="558">
        <f>BF48+BG73</f>
        <v>-12.991596325373321</v>
      </c>
      <c r="BH48" s="115">
        <f>BG48+BH73</f>
        <v>-27.032796763885919</v>
      </c>
      <c r="BI48" s="115">
        <f>BH48+BI73</f>
        <v>-41.073997202398516</v>
      </c>
      <c r="BJ48" s="115">
        <f>BI48+BJ73</f>
        <v>-55.11519764091112</v>
      </c>
      <c r="BK48" s="480">
        <f t="shared" si="82"/>
        <v>-55.11519764091112</v>
      </c>
      <c r="BL48" s="558">
        <f>BK48+BL73</f>
        <v>-67.960860441965266</v>
      </c>
      <c r="BM48" s="115">
        <f>BL48+BM73</f>
        <v>-80.806523243019413</v>
      </c>
      <c r="BN48" s="115">
        <f>BM48+BN73</f>
        <v>-93.652186044073559</v>
      </c>
      <c r="BO48" s="115">
        <f>BN48+BO73</f>
        <v>-106.49784884512771</v>
      </c>
      <c r="BP48" s="480">
        <f t="shared" si="83"/>
        <v>-106.49784884512771</v>
      </c>
      <c r="BQ48" s="558">
        <f>BP48+BQ73</f>
        <v>-208.74665632605846</v>
      </c>
      <c r="BR48" s="115">
        <f>BQ48+BR73</f>
        <v>-310.99546380698922</v>
      </c>
      <c r="BS48" s="115">
        <f>BR48+BS73</f>
        <v>-413.24427128791996</v>
      </c>
      <c r="BT48" s="115">
        <f>BS48+BT73</f>
        <v>-515.49307876885075</v>
      </c>
      <c r="BU48" s="480">
        <f t="shared" si="84"/>
        <v>-515.49307876885075</v>
      </c>
      <c r="BV48" s="558">
        <f>BU48+BV73</f>
        <v>-671.00575275177903</v>
      </c>
      <c r="BW48" s="115">
        <f>BV48+BW73</f>
        <v>-826.5184267347073</v>
      </c>
      <c r="BX48" s="115">
        <f>BW48+BX73</f>
        <v>-982.03110071763558</v>
      </c>
      <c r="BY48" s="115">
        <f>BX48+BY73</f>
        <v>-1137.5437747005637</v>
      </c>
      <c r="BZ48" s="480">
        <f t="shared" si="85"/>
        <v>-1137.5437747005637</v>
      </c>
    </row>
    <row r="49" spans="1:78" ht="14.1" customHeight="1" outlineLevel="1" x14ac:dyDescent="0.2">
      <c r="C49" s="208" t="s">
        <v>143</v>
      </c>
      <c r="D49" s="115">
        <f t="shared" si="62"/>
        <v>-3.4860000000000002</v>
      </c>
      <c r="E49" s="115">
        <f t="shared" si="63"/>
        <v>-3.3809999999999998</v>
      </c>
      <c r="F49" s="115">
        <f t="shared" si="64"/>
        <v>-3.871</v>
      </c>
      <c r="G49" s="115">
        <f t="shared" si="65"/>
        <v>-2.944</v>
      </c>
      <c r="H49" s="115">
        <f t="shared" si="66"/>
        <v>-4.101</v>
      </c>
      <c r="I49" s="115">
        <f t="shared" si="67"/>
        <v>-5.2480000000000002</v>
      </c>
      <c r="J49" s="569">
        <f t="shared" si="68"/>
        <v>-5.6790000000000003</v>
      </c>
      <c r="K49" s="115">
        <f t="shared" si="69"/>
        <v>-8.5496682292874588</v>
      </c>
      <c r="L49" s="115">
        <f t="shared" si="70"/>
        <v>-8.5496682292874588</v>
      </c>
      <c r="M49" s="115">
        <f t="shared" si="71"/>
        <v>-8.5496682292874588</v>
      </c>
      <c r="N49" s="115">
        <f t="shared" si="72"/>
        <v>-8.5496682292874588</v>
      </c>
      <c r="O49" s="115">
        <f t="shared" si="73"/>
        <v>-8.5496682292874588</v>
      </c>
      <c r="P49" s="558"/>
      <c r="Q49" s="480"/>
      <c r="R49" s="114" t="str">
        <f t="shared" si="13"/>
        <v>Deferred Compensation Trust</v>
      </c>
      <c r="S49" s="115">
        <v>-3.3370000000000002</v>
      </c>
      <c r="T49" s="115">
        <v>-3.4689999999999999</v>
      </c>
      <c r="U49" s="115">
        <v>-3.448</v>
      </c>
      <c r="V49" s="115">
        <v>-3.4860000000000002</v>
      </c>
      <c r="W49" s="115">
        <f t="shared" si="74"/>
        <v>-3.4860000000000002</v>
      </c>
      <c r="X49" s="558">
        <v>-3.49</v>
      </c>
      <c r="Y49" s="115">
        <v>-3.4940000000000002</v>
      </c>
      <c r="Z49" s="115">
        <v>-3.202</v>
      </c>
      <c r="AA49" s="115">
        <v>-3.3809999999999998</v>
      </c>
      <c r="AB49" s="480">
        <f t="shared" si="75"/>
        <v>-3.3809999999999998</v>
      </c>
      <c r="AC49" s="558">
        <v>-3.6909999999999998</v>
      </c>
      <c r="AD49" s="115">
        <v>-3.92</v>
      </c>
      <c r="AE49" s="115">
        <v>-3.8239999999999998</v>
      </c>
      <c r="AF49" s="115">
        <v>-3.871</v>
      </c>
      <c r="AG49" s="480">
        <f t="shared" si="76"/>
        <v>-3.871</v>
      </c>
      <c r="AH49" s="558">
        <v>-4.9580000000000002</v>
      </c>
      <c r="AI49" s="115">
        <v>-4.9649999999999999</v>
      </c>
      <c r="AJ49" s="115">
        <v>-4.9390000000000001</v>
      </c>
      <c r="AK49" s="115">
        <v>-2.944</v>
      </c>
      <c r="AL49" s="480">
        <f t="shared" si="77"/>
        <v>-2.944</v>
      </c>
      <c r="AM49" s="558">
        <v>-3.669</v>
      </c>
      <c r="AN49" s="115">
        <v>-3.7810000000000001</v>
      </c>
      <c r="AO49" s="115">
        <v>-3.859</v>
      </c>
      <c r="AP49" s="115">
        <v>-4.101</v>
      </c>
      <c r="AQ49" s="480">
        <f t="shared" si="78"/>
        <v>-4.101</v>
      </c>
      <c r="AR49" s="558">
        <v>-5.48</v>
      </c>
      <c r="AS49" s="115">
        <v>-6.1029999999999998</v>
      </c>
      <c r="AT49" s="115">
        <v>-5.2370000000000001</v>
      </c>
      <c r="AU49" s="115">
        <v>-5.2480000000000002</v>
      </c>
      <c r="AV49" s="480">
        <f t="shared" si="79"/>
        <v>-5.2480000000000002</v>
      </c>
      <c r="AW49" s="558">
        <v>-5.6550000000000002</v>
      </c>
      <c r="AX49" s="115">
        <v>-5.6260000000000003</v>
      </c>
      <c r="AY49" s="115">
        <v>-5.5650000000000004</v>
      </c>
      <c r="AZ49" s="115">
        <v>-5.6790000000000003</v>
      </c>
      <c r="BA49" s="480">
        <f t="shared" si="80"/>
        <v>-5.6790000000000003</v>
      </c>
      <c r="BB49" s="558">
        <v>-5.9279999999999999</v>
      </c>
      <c r="BC49" s="115">
        <v>-6.82</v>
      </c>
      <c r="BD49" s="115">
        <v>-7.8769999999999998</v>
      </c>
      <c r="BE49" s="115">
        <f>BD49+BE72</f>
        <v>-8.5496682292874588</v>
      </c>
      <c r="BF49" s="480">
        <f t="shared" si="81"/>
        <v>-8.5496682292874588</v>
      </c>
      <c r="BG49" s="558">
        <f>BF49+BG72</f>
        <v>-8.5496682292874588</v>
      </c>
      <c r="BH49" s="115">
        <f>BG49+BH72</f>
        <v>-8.5496682292874588</v>
      </c>
      <c r="BI49" s="115">
        <f>BH49+BI72</f>
        <v>-8.5496682292874588</v>
      </c>
      <c r="BJ49" s="115">
        <f>BI49+BJ72</f>
        <v>-8.5496682292874588</v>
      </c>
      <c r="BK49" s="480">
        <f t="shared" si="82"/>
        <v>-8.5496682292874588</v>
      </c>
      <c r="BL49" s="558">
        <f>BK49+BL72</f>
        <v>-8.5496682292874588</v>
      </c>
      <c r="BM49" s="115">
        <f>BL49+BM72</f>
        <v>-8.5496682292874588</v>
      </c>
      <c r="BN49" s="115">
        <f>BM49+BN72</f>
        <v>-8.5496682292874588</v>
      </c>
      <c r="BO49" s="115">
        <f>BN49+BO72</f>
        <v>-8.5496682292874588</v>
      </c>
      <c r="BP49" s="480">
        <f t="shared" si="83"/>
        <v>-8.5496682292874588</v>
      </c>
      <c r="BQ49" s="558">
        <f>BP49+BQ72</f>
        <v>-8.5496682292874588</v>
      </c>
      <c r="BR49" s="115">
        <f>BQ49+BR72</f>
        <v>-8.5496682292874588</v>
      </c>
      <c r="BS49" s="115">
        <f>BR49+BS72</f>
        <v>-8.5496682292874588</v>
      </c>
      <c r="BT49" s="115">
        <f>BS49+BT72</f>
        <v>-8.5496682292874588</v>
      </c>
      <c r="BU49" s="480">
        <f t="shared" si="84"/>
        <v>-8.5496682292874588</v>
      </c>
      <c r="BV49" s="558">
        <f>BU49+BV72</f>
        <v>-8.5496682292874588</v>
      </c>
      <c r="BW49" s="115">
        <f>BV49+BW72</f>
        <v>-8.5496682292874588</v>
      </c>
      <c r="BX49" s="115">
        <f>BW49+BX72</f>
        <v>-8.5496682292874588</v>
      </c>
      <c r="BY49" s="115">
        <f>BX49+BY72</f>
        <v>-8.5496682292874588</v>
      </c>
      <c r="BZ49" s="480">
        <f t="shared" si="85"/>
        <v>-8.5496682292874588</v>
      </c>
    </row>
    <row r="50" spans="1:78" ht="14.1" customHeight="1" outlineLevel="1" x14ac:dyDescent="0.2">
      <c r="C50" s="208" t="s">
        <v>144</v>
      </c>
      <c r="D50" s="116">
        <f t="shared" si="62"/>
        <v>339.5</v>
      </c>
      <c r="E50" s="116">
        <f t="shared" si="63"/>
        <v>444.48099999999977</v>
      </c>
      <c r="F50" s="116">
        <f t="shared" si="64"/>
        <v>558.1999999999997</v>
      </c>
      <c r="G50" s="116">
        <f t="shared" si="65"/>
        <v>696.53999999999974</v>
      </c>
      <c r="H50" s="116">
        <f t="shared" si="66"/>
        <v>949.77499999999986</v>
      </c>
      <c r="I50" s="116">
        <f t="shared" si="67"/>
        <v>1307.1969999999994</v>
      </c>
      <c r="J50" s="570">
        <f t="shared" si="68"/>
        <v>1662.0539999999994</v>
      </c>
      <c r="K50" s="116">
        <f t="shared" si="69"/>
        <v>2026.1352153634277</v>
      </c>
      <c r="L50" s="116">
        <f t="shared" si="70"/>
        <v>2504.9809646965882</v>
      </c>
      <c r="M50" s="116">
        <f t="shared" si="71"/>
        <v>3119.2838785229096</v>
      </c>
      <c r="N50" s="116">
        <f t="shared" si="72"/>
        <v>3846.4053161678985</v>
      </c>
      <c r="O50" s="116">
        <f t="shared" si="73"/>
        <v>4674.5464822573085</v>
      </c>
      <c r="P50" s="559"/>
      <c r="Q50" s="551"/>
      <c r="R50" s="114" t="str">
        <f t="shared" si="13"/>
        <v>Retained Earnings</v>
      </c>
      <c r="S50" s="116">
        <v>259.78399999999999</v>
      </c>
      <c r="T50" s="116">
        <v>277.387</v>
      </c>
      <c r="U50" s="116">
        <v>291.79399999999998</v>
      </c>
      <c r="V50" s="116">
        <v>339.5</v>
      </c>
      <c r="W50" s="116">
        <f>V50</f>
        <v>339.5</v>
      </c>
      <c r="X50" s="559">
        <f>W50+'Income Statement'!X33</f>
        <v>360.62500000000006</v>
      </c>
      <c r="Y50" s="116">
        <f>X50+'Income Statement'!Y33</f>
        <v>390.90600000000006</v>
      </c>
      <c r="Z50" s="116">
        <f>Y50+'Income Statement'!Z33</f>
        <v>419.101</v>
      </c>
      <c r="AA50" s="116">
        <f>Z50+'Income Statement'!AA33</f>
        <v>444.48099999999977</v>
      </c>
      <c r="AB50" s="551">
        <f>AA50</f>
        <v>444.48099999999977</v>
      </c>
      <c r="AC50" s="559">
        <f>AB50+'Income Statement'!AC33</f>
        <v>466.73999999999984</v>
      </c>
      <c r="AD50" s="116">
        <f>AC50+'Income Statement'!AD33</f>
        <v>503.81299999999982</v>
      </c>
      <c r="AE50" s="116">
        <f>AD50+'Income Statement'!AE33</f>
        <v>536.78099999999984</v>
      </c>
      <c r="AF50" s="116">
        <f>AE50+'Income Statement'!AF33</f>
        <v>558.1999999999997</v>
      </c>
      <c r="AG50" s="551">
        <f t="shared" si="76"/>
        <v>558.1999999999997</v>
      </c>
      <c r="AH50" s="559">
        <f>AG50+'Income Statement'!AH33</f>
        <v>586.31099999999969</v>
      </c>
      <c r="AI50" s="116">
        <f>AH50+'Income Statement'!AI33</f>
        <v>614.76499999999965</v>
      </c>
      <c r="AJ50" s="116">
        <f>AI50+'Income Statement'!AJ33</f>
        <v>656.30399999999963</v>
      </c>
      <c r="AK50" s="116">
        <f>AJ50+'Income Statement'!AK33</f>
        <v>696.53999999999974</v>
      </c>
      <c r="AL50" s="551">
        <f t="shared" si="77"/>
        <v>696.53999999999974</v>
      </c>
      <c r="AM50" s="559">
        <f>AL50+'Income Statement'!AM33</f>
        <v>733.83099999999968</v>
      </c>
      <c r="AN50" s="116">
        <f>AM50+'Income Statement'!AN33</f>
        <v>796.30499999999972</v>
      </c>
      <c r="AO50" s="116">
        <f>AN50+'Income Statement'!AO33</f>
        <v>876.01699999999971</v>
      </c>
      <c r="AP50" s="116">
        <f>AO50+'Income Statement'!AP33</f>
        <v>949.77499999999986</v>
      </c>
      <c r="AQ50" s="551">
        <f t="shared" si="78"/>
        <v>949.77499999999986</v>
      </c>
      <c r="AR50" s="559">
        <f>AQ50+'Income Statement'!AR33</f>
        <v>1029.1989999999998</v>
      </c>
      <c r="AS50" s="116">
        <f>AR50+'Income Statement'!AS33</f>
        <v>1138.4439999999997</v>
      </c>
      <c r="AT50" s="116">
        <f>AS50+'Income Statement'!AT33</f>
        <v>1236.3349999999996</v>
      </c>
      <c r="AU50" s="116">
        <f>AT50+'Income Statement'!AU33</f>
        <v>1307.1969999999994</v>
      </c>
      <c r="AV50" s="551">
        <f t="shared" si="79"/>
        <v>1307.1969999999994</v>
      </c>
      <c r="AW50" s="559">
        <f>AV50+'Income Statement'!AW33</f>
        <v>1383.2939999999992</v>
      </c>
      <c r="AX50" s="116">
        <f>AW50+'Income Statement'!AX33</f>
        <v>1474.6129999999991</v>
      </c>
      <c r="AY50" s="116">
        <f>AX50+'Income Statement'!AY33</f>
        <v>1572.8259999999989</v>
      </c>
      <c r="AZ50" s="116">
        <f>AY50+'Income Statement'!AZ33</f>
        <v>1662.0539999999994</v>
      </c>
      <c r="BA50" s="551">
        <f t="shared" si="80"/>
        <v>1662.0539999999994</v>
      </c>
      <c r="BB50" s="559">
        <f>BA50+'Income Statement'!BB33</f>
        <v>1752.7489999999993</v>
      </c>
      <c r="BC50" s="116">
        <f>BB50+'Income Statement'!BC33</f>
        <v>1855.2679999999993</v>
      </c>
      <c r="BD50" s="116">
        <f>BC50+'Income Statement'!BD33</f>
        <v>1948.0159999999994</v>
      </c>
      <c r="BE50" s="116">
        <f>BD50+BE69-BE70+BE66</f>
        <v>2026.1352153634277</v>
      </c>
      <c r="BF50" s="551">
        <f t="shared" si="81"/>
        <v>2026.1352153634277</v>
      </c>
      <c r="BG50" s="559">
        <f>BF50+BG69-BG70+BG66</f>
        <v>2142.8845118513941</v>
      </c>
      <c r="BH50" s="116">
        <f>BG50+BH69-BH70+BH66</f>
        <v>2290.4377065908302</v>
      </c>
      <c r="BI50" s="116">
        <f t="shared" ref="BI50:BY50" si="86">BH50+BI69-BI70+BI66</f>
        <v>2406.8753857036868</v>
      </c>
      <c r="BJ50" s="116">
        <f t="shared" si="86"/>
        <v>2504.9809646965882</v>
      </c>
      <c r="BK50" s="551">
        <f t="shared" si="82"/>
        <v>2504.9809646965882</v>
      </c>
      <c r="BL50" s="116">
        <f t="shared" si="86"/>
        <v>2637.122217947137</v>
      </c>
      <c r="BM50" s="116">
        <f t="shared" si="86"/>
        <v>2803.5763345627079</v>
      </c>
      <c r="BN50" s="116">
        <f t="shared" si="86"/>
        <v>2965.1856920549621</v>
      </c>
      <c r="BO50" s="116">
        <f t="shared" si="86"/>
        <v>3119.2838785229096</v>
      </c>
      <c r="BP50" s="551">
        <f t="shared" si="83"/>
        <v>3119.2838785229096</v>
      </c>
      <c r="BQ50" s="116">
        <f t="shared" si="86"/>
        <v>3277.2705350685083</v>
      </c>
      <c r="BR50" s="116">
        <f t="shared" si="86"/>
        <v>3474.5319371992209</v>
      </c>
      <c r="BS50" s="116">
        <f t="shared" si="86"/>
        <v>3665.8303640129902</v>
      </c>
      <c r="BT50" s="116">
        <f t="shared" si="86"/>
        <v>3846.4053161678985</v>
      </c>
      <c r="BU50" s="551">
        <f t="shared" si="84"/>
        <v>3846.4053161678985</v>
      </c>
      <c r="BV50" s="116">
        <f t="shared" si="86"/>
        <v>4021.8284593728404</v>
      </c>
      <c r="BW50" s="116">
        <f t="shared" si="86"/>
        <v>4248.3374483716661</v>
      </c>
      <c r="BX50" s="116">
        <f t="shared" si="86"/>
        <v>4465.7727204617795</v>
      </c>
      <c r="BY50" s="116">
        <f t="shared" si="86"/>
        <v>4674.5464822573085</v>
      </c>
      <c r="BZ50" s="551">
        <f t="shared" si="85"/>
        <v>4674.5464822573085</v>
      </c>
    </row>
    <row r="51" spans="1:78" s="115" customFormat="1" ht="14.1" customHeight="1" x14ac:dyDescent="0.2">
      <c r="A51"/>
      <c r="B51"/>
      <c r="C51" s="564" t="s">
        <v>145</v>
      </c>
      <c r="D51" s="121">
        <f>IFERROR(SUM(D44:D50),"NM")</f>
        <v>582.49400000000003</v>
      </c>
      <c r="E51" s="121">
        <f t="shared" ref="E51:O51" si="87">IFERROR(SUM(E44:E50),"NM")</f>
        <v>695.86399999999981</v>
      </c>
      <c r="F51" s="121">
        <f t="shared" si="87"/>
        <v>815.22599999999966</v>
      </c>
      <c r="G51" s="121">
        <f t="shared" si="87"/>
        <v>961.28799999999978</v>
      </c>
      <c r="H51" s="121">
        <f t="shared" si="87"/>
        <v>1220.3329999999999</v>
      </c>
      <c r="I51" s="121">
        <f t="shared" si="87"/>
        <v>1579.3409999999994</v>
      </c>
      <c r="J51" s="572">
        <f t="shared" si="87"/>
        <v>1941.4939999999995</v>
      </c>
      <c r="K51" s="121">
        <f t="shared" si="87"/>
        <v>2312.6408958768689</v>
      </c>
      <c r="L51" s="121">
        <f t="shared" si="87"/>
        <v>2735.7134963649755</v>
      </c>
      <c r="M51" s="121">
        <f t="shared" si="87"/>
        <v>3302.678058661118</v>
      </c>
      <c r="N51" s="121">
        <f t="shared" si="87"/>
        <v>3625.0352662250957</v>
      </c>
      <c r="O51" s="121">
        <f t="shared" si="87"/>
        <v>3835.6774884799906</v>
      </c>
      <c r="P51" s="608"/>
      <c r="Q51" s="609"/>
      <c r="R51" s="120" t="str">
        <f t="shared" si="13"/>
        <v>Total Stockholders' Equity</v>
      </c>
      <c r="S51" s="121">
        <f t="shared" ref="S51:BZ51" si="88">IFERROR(SUM(S44:S50),"NM")</f>
        <v>495.46699999999998</v>
      </c>
      <c r="T51" s="121">
        <f t="shared" si="88"/>
        <v>515</v>
      </c>
      <c r="U51" s="121">
        <f t="shared" si="88"/>
        <v>531.75299999999993</v>
      </c>
      <c r="V51" s="121">
        <f t="shared" si="88"/>
        <v>582.49400000000003</v>
      </c>
      <c r="W51" s="121">
        <f t="shared" si="88"/>
        <v>582.49400000000003</v>
      </c>
      <c r="X51" s="561">
        <f>IFERROR(SUM(X44:X50),"NM")</f>
        <v>607.39400000000001</v>
      </c>
      <c r="Y51" s="121">
        <f t="shared" si="88"/>
        <v>639.97400000000005</v>
      </c>
      <c r="Z51" s="121">
        <f t="shared" si="88"/>
        <v>669.29100000000005</v>
      </c>
      <c r="AA51" s="121">
        <f t="shared" si="88"/>
        <v>695.86399999999981</v>
      </c>
      <c r="AB51" s="554">
        <f t="shared" si="88"/>
        <v>695.86399999999981</v>
      </c>
      <c r="AC51" s="561">
        <f t="shared" si="88"/>
        <v>717.64999999999986</v>
      </c>
      <c r="AD51" s="121">
        <f t="shared" si="88"/>
        <v>757.50199999999984</v>
      </c>
      <c r="AE51" s="121">
        <f t="shared" si="88"/>
        <v>792.37099999999987</v>
      </c>
      <c r="AF51" s="121">
        <f t="shared" si="88"/>
        <v>815.22599999999966</v>
      </c>
      <c r="AG51" s="554">
        <f t="shared" si="88"/>
        <v>815.22599999999966</v>
      </c>
      <c r="AH51" s="561">
        <f t="shared" si="88"/>
        <v>843.38699999999972</v>
      </c>
      <c r="AI51" s="121">
        <f t="shared" si="88"/>
        <v>875.08999999999969</v>
      </c>
      <c r="AJ51" s="121">
        <f t="shared" si="88"/>
        <v>918.46599999999967</v>
      </c>
      <c r="AK51" s="121">
        <f t="shared" si="88"/>
        <v>961.28799999999978</v>
      </c>
      <c r="AL51" s="554">
        <f t="shared" si="88"/>
        <v>961.28799999999978</v>
      </c>
      <c r="AM51" s="561">
        <f t="shared" si="88"/>
        <v>997.61799999999971</v>
      </c>
      <c r="AN51" s="121">
        <f t="shared" si="88"/>
        <v>1063.1579999999997</v>
      </c>
      <c r="AO51" s="121">
        <f t="shared" si="88"/>
        <v>1144.7289999999998</v>
      </c>
      <c r="AP51" s="121">
        <f t="shared" si="88"/>
        <v>1220.3329999999999</v>
      </c>
      <c r="AQ51" s="554">
        <f t="shared" si="88"/>
        <v>1220.3329999999999</v>
      </c>
      <c r="AR51" s="561">
        <f t="shared" si="88"/>
        <v>1291.4899999999998</v>
      </c>
      <c r="AS51" s="121">
        <f t="shared" si="88"/>
        <v>1403.7619999999997</v>
      </c>
      <c r="AT51" s="121">
        <f t="shared" si="88"/>
        <v>1506.4819999999995</v>
      </c>
      <c r="AU51" s="121">
        <f t="shared" si="88"/>
        <v>1579.3409999999994</v>
      </c>
      <c r="AV51" s="554">
        <f t="shared" si="88"/>
        <v>1579.3409999999994</v>
      </c>
      <c r="AW51" s="561">
        <f>IFERROR(SUM(AW44:AW50),"NM")</f>
        <v>1650.9399999999991</v>
      </c>
      <c r="AX51" s="121">
        <f t="shared" si="88"/>
        <v>1746.2219999999993</v>
      </c>
      <c r="AY51" s="121">
        <f t="shared" si="88"/>
        <v>1849.4629999999988</v>
      </c>
      <c r="AZ51" s="121">
        <f t="shared" si="88"/>
        <v>1941.4939999999995</v>
      </c>
      <c r="BA51" s="554">
        <f t="shared" si="88"/>
        <v>1941.4939999999995</v>
      </c>
      <c r="BB51" s="561">
        <f t="shared" si="88"/>
        <v>2028.9379999999992</v>
      </c>
      <c r="BC51" s="121">
        <f t="shared" si="88"/>
        <v>2136.0859999999993</v>
      </c>
      <c r="BD51" s="121">
        <f t="shared" si="88"/>
        <v>2231.4849999999992</v>
      </c>
      <c r="BE51" s="121">
        <f t="shared" si="88"/>
        <v>2312.6408958768689</v>
      </c>
      <c r="BF51" s="554">
        <f>IFERROR(SUM(BF44:BF50),"NM")</f>
        <v>2312.6408958768689</v>
      </c>
      <c r="BG51" s="561">
        <f t="shared" si="88"/>
        <v>2415.3489919263225</v>
      </c>
      <c r="BH51" s="121">
        <f t="shared" si="88"/>
        <v>2548.860986227246</v>
      </c>
      <c r="BI51" s="121">
        <f t="shared" si="88"/>
        <v>2651.2574649015901</v>
      </c>
      <c r="BJ51" s="121">
        <f t="shared" si="88"/>
        <v>2735.7134963649755</v>
      </c>
      <c r="BK51" s="554">
        <f t="shared" si="88"/>
        <v>2735.7134963649755</v>
      </c>
      <c r="BL51" s="561">
        <f t="shared" si="88"/>
        <v>2856.0201617329794</v>
      </c>
      <c r="BM51" s="121">
        <f t="shared" si="88"/>
        <v>3010.6396904660055</v>
      </c>
      <c r="BN51" s="121">
        <f t="shared" si="88"/>
        <v>3160.4144600757149</v>
      </c>
      <c r="BO51" s="121">
        <f t="shared" si="88"/>
        <v>3302.678058661118</v>
      </c>
      <c r="BP51" s="554">
        <f t="shared" si="88"/>
        <v>3302.678058661118</v>
      </c>
      <c r="BQ51" s="561">
        <f t="shared" si="88"/>
        <v>3359.4736576864639</v>
      </c>
      <c r="BR51" s="121">
        <f t="shared" si="88"/>
        <v>3455.5440022969237</v>
      </c>
      <c r="BS51" s="121">
        <f t="shared" si="88"/>
        <v>3545.6513715904402</v>
      </c>
      <c r="BT51" s="121">
        <f t="shared" si="88"/>
        <v>3625.0352662250957</v>
      </c>
      <c r="BU51" s="554">
        <f t="shared" si="88"/>
        <v>3625.0352662250957</v>
      </c>
      <c r="BV51" s="561">
        <f t="shared" si="88"/>
        <v>3646.0836734714089</v>
      </c>
      <c r="BW51" s="121">
        <f t="shared" si="88"/>
        <v>3718.217926511606</v>
      </c>
      <c r="BX51" s="121">
        <f t="shared" si="88"/>
        <v>3781.2784626430903</v>
      </c>
      <c r="BY51" s="121">
        <f t="shared" si="88"/>
        <v>3835.6774884799906</v>
      </c>
      <c r="BZ51" s="554">
        <f t="shared" si="88"/>
        <v>3835.6774884799906</v>
      </c>
    </row>
    <row r="52" spans="1:78" s="115" customFormat="1" ht="14.1" customHeight="1" x14ac:dyDescent="0.2">
      <c r="A52"/>
      <c r="B52"/>
      <c r="C52" s="564" t="s">
        <v>146</v>
      </c>
      <c r="D52" s="121">
        <f>IFERROR(D51+D41+D35,"NM")</f>
        <v>967.31500000000005</v>
      </c>
      <c r="E52" s="121">
        <f t="shared" ref="E52:O52" si="89">IFERROR(E51+E41+E35,"NM")</f>
        <v>1133.7429999999997</v>
      </c>
      <c r="F52" s="121">
        <f t="shared" si="89"/>
        <v>1415.6930999999997</v>
      </c>
      <c r="G52" s="121">
        <f t="shared" si="89"/>
        <v>1548.7739999999999</v>
      </c>
      <c r="H52" s="121">
        <f t="shared" si="89"/>
        <v>1845.2499999999998</v>
      </c>
      <c r="I52" s="121">
        <f t="shared" si="89"/>
        <v>2174.7099999999996</v>
      </c>
      <c r="J52" s="572">
        <f t="shared" si="89"/>
        <v>2583.5649999999996</v>
      </c>
      <c r="K52" s="121">
        <f t="shared" si="89"/>
        <v>3132.113415775978</v>
      </c>
      <c r="L52" s="121">
        <f t="shared" si="89"/>
        <v>3731.6784783212788</v>
      </c>
      <c r="M52" s="121">
        <f t="shared" si="89"/>
        <v>4397.0418981007124</v>
      </c>
      <c r="N52" s="121">
        <f t="shared" si="89"/>
        <v>4814.895486128029</v>
      </c>
      <c r="O52" s="121">
        <f t="shared" si="89"/>
        <v>5127.4375448695873</v>
      </c>
      <c r="P52" s="608"/>
      <c r="Q52" s="609"/>
      <c r="R52" s="120" t="str">
        <f t="shared" si="13"/>
        <v>Total Liabilities and Stockholders' Equity</v>
      </c>
      <c r="S52" s="121">
        <f t="shared" ref="S52:BZ52" si="90">IFERROR(S51+S41+S35,"NM")</f>
        <v>927.19600000000003</v>
      </c>
      <c r="T52" s="121">
        <f t="shared" si="90"/>
        <v>940.33</v>
      </c>
      <c r="U52" s="121">
        <f t="shared" si="90"/>
        <v>952.71899999999994</v>
      </c>
      <c r="V52" s="121">
        <f t="shared" si="90"/>
        <v>967.31500000000005</v>
      </c>
      <c r="W52" s="121">
        <f t="shared" si="90"/>
        <v>967.31500000000005</v>
      </c>
      <c r="X52" s="561">
        <f>IFERROR(X51+X41+X35,"NM")</f>
        <v>1015.547</v>
      </c>
      <c r="Y52" s="121">
        <f t="shared" si="90"/>
        <v>1085.9580000000001</v>
      </c>
      <c r="Z52" s="121">
        <f t="shared" si="90"/>
        <v>1088.0920000000001</v>
      </c>
      <c r="AA52" s="121">
        <f t="shared" si="90"/>
        <v>1133.7429999999997</v>
      </c>
      <c r="AB52" s="554">
        <f t="shared" si="90"/>
        <v>1133.7429999999997</v>
      </c>
      <c r="AC52" s="561">
        <f t="shared" si="90"/>
        <v>1246.857</v>
      </c>
      <c r="AD52" s="121">
        <f t="shared" si="90"/>
        <v>1352.12</v>
      </c>
      <c r="AE52" s="121">
        <f t="shared" si="90"/>
        <v>1422.2719999999999</v>
      </c>
      <c r="AF52" s="121">
        <f t="shared" si="90"/>
        <v>1415.6930999999997</v>
      </c>
      <c r="AG52" s="554">
        <f t="shared" si="90"/>
        <v>1415.6930999999997</v>
      </c>
      <c r="AH52" s="561">
        <f t="shared" si="90"/>
        <v>1577.2589999999996</v>
      </c>
      <c r="AI52" s="121">
        <f t="shared" si="90"/>
        <v>1538.1999999999998</v>
      </c>
      <c r="AJ52" s="121">
        <f t="shared" si="90"/>
        <v>1565.6799999999996</v>
      </c>
      <c r="AK52" s="121">
        <f t="shared" si="90"/>
        <v>1548.7739999999999</v>
      </c>
      <c r="AL52" s="554">
        <f t="shared" si="90"/>
        <v>1548.7739999999999</v>
      </c>
      <c r="AM52" s="561">
        <f t="shared" si="90"/>
        <v>1610.5849999999998</v>
      </c>
      <c r="AN52" s="121">
        <f t="shared" si="90"/>
        <v>1647.3949999999995</v>
      </c>
      <c r="AO52" s="121">
        <f t="shared" si="90"/>
        <v>1789.2619999999997</v>
      </c>
      <c r="AP52" s="121">
        <f t="shared" si="90"/>
        <v>1845.2499999999998</v>
      </c>
      <c r="AQ52" s="554">
        <f t="shared" si="90"/>
        <v>1845.2499999999998</v>
      </c>
      <c r="AR52" s="561">
        <f t="shared" si="90"/>
        <v>1932.3489999999997</v>
      </c>
      <c r="AS52" s="121">
        <f t="shared" si="90"/>
        <v>2047.8549999999996</v>
      </c>
      <c r="AT52" s="121">
        <f t="shared" si="90"/>
        <v>2140.3239999999996</v>
      </c>
      <c r="AU52" s="121">
        <f t="shared" si="90"/>
        <v>2174.7099999999996</v>
      </c>
      <c r="AV52" s="554">
        <f t="shared" si="90"/>
        <v>2174.7099999999996</v>
      </c>
      <c r="AW52" s="561">
        <f>IFERROR(AW51+AW41+AW35,"NM")</f>
        <v>2242.7989999999991</v>
      </c>
      <c r="AX52" s="121">
        <f t="shared" si="90"/>
        <v>2337.110999999999</v>
      </c>
      <c r="AY52" s="121">
        <f t="shared" si="90"/>
        <v>2485.3189999999991</v>
      </c>
      <c r="AZ52" s="121">
        <f t="shared" si="90"/>
        <v>2583.5649999999996</v>
      </c>
      <c r="BA52" s="554">
        <f t="shared" si="90"/>
        <v>2583.5649999999996</v>
      </c>
      <c r="BB52" s="561">
        <f t="shared" si="90"/>
        <v>2765.713999999999</v>
      </c>
      <c r="BC52" s="121">
        <f t="shared" si="90"/>
        <v>2957.1219999999994</v>
      </c>
      <c r="BD52" s="121">
        <f t="shared" si="90"/>
        <v>3082.1239999999989</v>
      </c>
      <c r="BE52" s="121">
        <f>IFERROR(BE51+BE41+BE35,"NM")</f>
        <v>3132.113415775978</v>
      </c>
      <c r="BF52" s="554">
        <f t="shared" si="90"/>
        <v>3132.113415775978</v>
      </c>
      <c r="BG52" s="561">
        <f t="shared" si="90"/>
        <v>3368.4903860162049</v>
      </c>
      <c r="BH52" s="121">
        <f t="shared" si="90"/>
        <v>3543.3595309892935</v>
      </c>
      <c r="BI52" s="121">
        <f t="shared" si="90"/>
        <v>3664.6770597451823</v>
      </c>
      <c r="BJ52" s="121">
        <f t="shared" si="90"/>
        <v>3731.6784783212788</v>
      </c>
      <c r="BK52" s="554">
        <f t="shared" si="90"/>
        <v>3731.6784783212788</v>
      </c>
      <c r="BL52" s="561">
        <f t="shared" si="90"/>
        <v>3954.4672526703557</v>
      </c>
      <c r="BM52" s="121">
        <f t="shared" si="90"/>
        <v>4116.3472613590639</v>
      </c>
      <c r="BN52" s="121">
        <f t="shared" si="90"/>
        <v>4262.7043626920067</v>
      </c>
      <c r="BO52" s="121">
        <f t="shared" si="90"/>
        <v>4397.0418981007124</v>
      </c>
      <c r="BP52" s="554">
        <f t="shared" si="90"/>
        <v>4397.0418981007124</v>
      </c>
      <c r="BQ52" s="561">
        <f t="shared" si="90"/>
        <v>4463.016010225002</v>
      </c>
      <c r="BR52" s="121">
        <f t="shared" si="90"/>
        <v>4642.8872276636575</v>
      </c>
      <c r="BS52" s="121">
        <f t="shared" si="90"/>
        <v>4685.8158781651418</v>
      </c>
      <c r="BT52" s="121">
        <f t="shared" si="90"/>
        <v>4814.895486128029</v>
      </c>
      <c r="BU52" s="554">
        <f t="shared" si="90"/>
        <v>4814.895486128029</v>
      </c>
      <c r="BV52" s="561">
        <f t="shared" si="90"/>
        <v>4793.4991015237019</v>
      </c>
      <c r="BW52" s="121">
        <f t="shared" si="90"/>
        <v>5017.9296071205445</v>
      </c>
      <c r="BX52" s="121">
        <f t="shared" si="90"/>
        <v>4982.3782488065908</v>
      </c>
      <c r="BY52" s="121">
        <f t="shared" si="90"/>
        <v>5127.4375448695873</v>
      </c>
      <c r="BZ52" s="554">
        <f t="shared" si="90"/>
        <v>5127.4375448695873</v>
      </c>
    </row>
    <row r="53" spans="1:78" s="115" customFormat="1" ht="14.1" customHeight="1" x14ac:dyDescent="0.2">
      <c r="A53"/>
      <c r="B53"/>
      <c r="C53" s="565"/>
      <c r="J53" s="569"/>
      <c r="P53" s="558"/>
      <c r="Q53" s="480"/>
      <c r="R53" s="114"/>
      <c r="X53" s="558"/>
      <c r="AB53" s="480"/>
      <c r="AC53" s="558"/>
      <c r="AG53" s="480"/>
      <c r="AH53" s="558"/>
      <c r="AL53" s="480"/>
      <c r="AM53" s="558"/>
      <c r="AQ53" s="480"/>
      <c r="AR53" s="558"/>
      <c r="AV53" s="480"/>
      <c r="AW53" s="558"/>
      <c r="BA53" s="480"/>
      <c r="BB53" s="558"/>
      <c r="BF53" s="480"/>
      <c r="BG53" s="558"/>
      <c r="BK53" s="480"/>
      <c r="BL53" s="558"/>
      <c r="BP53" s="480"/>
      <c r="BQ53" s="558"/>
      <c r="BU53" s="480"/>
      <c r="BV53" s="558"/>
      <c r="BZ53" s="480"/>
    </row>
    <row r="54" spans="1:78" s="122" customFormat="1" ht="14.1" customHeight="1" x14ac:dyDescent="0.2">
      <c r="A54"/>
      <c r="B54"/>
      <c r="C54" s="567" t="s">
        <v>147</v>
      </c>
      <c r="D54" s="555" t="str">
        <f>IF(ROUND(ROUND(D25,0)-ROUND(D52,0),0)&lt;&gt;0,"Error!","$0")</f>
        <v>$0</v>
      </c>
      <c r="E54" s="555" t="str">
        <f t="shared" ref="E54:O54" si="91">IF(ROUND(ROUND(E25,0)-ROUND(E52,0),0)&lt;&gt;0,"Error!","$0")</f>
        <v>$0</v>
      </c>
      <c r="F54" s="555" t="str">
        <f t="shared" si="91"/>
        <v>$0</v>
      </c>
      <c r="G54" s="555" t="str">
        <f t="shared" si="91"/>
        <v>$0</v>
      </c>
      <c r="H54" s="555" t="str">
        <f t="shared" si="91"/>
        <v>$0</v>
      </c>
      <c r="I54" s="555" t="str">
        <f t="shared" si="91"/>
        <v>$0</v>
      </c>
      <c r="J54" s="573" t="str">
        <f t="shared" si="91"/>
        <v>$0</v>
      </c>
      <c r="K54" s="555" t="str">
        <f t="shared" si="91"/>
        <v>$0</v>
      </c>
      <c r="L54" s="555" t="str">
        <f t="shared" si="91"/>
        <v>$0</v>
      </c>
      <c r="M54" s="555" t="str">
        <f t="shared" si="91"/>
        <v>$0</v>
      </c>
      <c r="N54" s="555" t="str">
        <f t="shared" si="91"/>
        <v>$0</v>
      </c>
      <c r="O54" s="555" t="str">
        <f t="shared" si="91"/>
        <v>$0</v>
      </c>
      <c r="P54" s="610"/>
      <c r="Q54" s="611"/>
      <c r="R54" s="214" t="str">
        <f t="shared" si="13"/>
        <v>Balance Check</v>
      </c>
      <c r="S54" s="555" t="str">
        <f t="shared" ref="S54:BA54" si="92">IF(ROUND(ROUND(S25,0)-ROUND(S52,0),0)&lt;&gt;0,"Error!","$0")</f>
        <v>$0</v>
      </c>
      <c r="T54" s="555" t="str">
        <f t="shared" si="92"/>
        <v>$0</v>
      </c>
      <c r="U54" s="555" t="str">
        <f t="shared" si="92"/>
        <v>$0</v>
      </c>
      <c r="V54" s="555" t="str">
        <f t="shared" si="92"/>
        <v>$0</v>
      </c>
      <c r="W54" s="555" t="str">
        <f t="shared" si="92"/>
        <v>$0</v>
      </c>
      <c r="X54" s="562" t="str">
        <f>IF(ROUND(ROUND(X25,0)-ROUND(X52,0),0)&lt;&gt;0,"Error!","$0")</f>
        <v>$0</v>
      </c>
      <c r="Y54" s="555" t="str">
        <f t="shared" si="92"/>
        <v>$0</v>
      </c>
      <c r="Z54" s="555" t="str">
        <f t="shared" si="92"/>
        <v>$0</v>
      </c>
      <c r="AA54" s="555" t="str">
        <f t="shared" si="92"/>
        <v>$0</v>
      </c>
      <c r="AB54" s="556" t="str">
        <f t="shared" si="92"/>
        <v>$0</v>
      </c>
      <c r="AC54" s="562" t="str">
        <f t="shared" si="92"/>
        <v>$0</v>
      </c>
      <c r="AD54" s="555" t="str">
        <f t="shared" si="92"/>
        <v>$0</v>
      </c>
      <c r="AE54" s="555" t="str">
        <f t="shared" si="92"/>
        <v>$0</v>
      </c>
      <c r="AF54" s="555" t="str">
        <f t="shared" si="92"/>
        <v>$0</v>
      </c>
      <c r="AG54" s="556" t="str">
        <f t="shared" si="92"/>
        <v>$0</v>
      </c>
      <c r="AH54" s="562" t="str">
        <f t="shared" si="92"/>
        <v>$0</v>
      </c>
      <c r="AI54" s="555" t="str">
        <f t="shared" si="92"/>
        <v>$0</v>
      </c>
      <c r="AJ54" s="555" t="str">
        <f t="shared" si="92"/>
        <v>$0</v>
      </c>
      <c r="AK54" s="555" t="str">
        <f t="shared" si="92"/>
        <v>$0</v>
      </c>
      <c r="AL54" s="556" t="str">
        <f t="shared" si="92"/>
        <v>$0</v>
      </c>
      <c r="AM54" s="562" t="str">
        <f t="shared" si="92"/>
        <v>$0</v>
      </c>
      <c r="AN54" s="555" t="str">
        <f t="shared" si="92"/>
        <v>$0</v>
      </c>
      <c r="AO54" s="555" t="str">
        <f t="shared" si="92"/>
        <v>$0</v>
      </c>
      <c r="AP54" s="555" t="str">
        <f t="shared" si="92"/>
        <v>$0</v>
      </c>
      <c r="AQ54" s="556" t="str">
        <f t="shared" si="92"/>
        <v>$0</v>
      </c>
      <c r="AR54" s="562" t="str">
        <f t="shared" si="92"/>
        <v>$0</v>
      </c>
      <c r="AS54" s="555" t="str">
        <f t="shared" si="92"/>
        <v>$0</v>
      </c>
      <c r="AT54" s="555" t="str">
        <f t="shared" si="92"/>
        <v>$0</v>
      </c>
      <c r="AU54" s="555" t="str">
        <f t="shared" si="92"/>
        <v>$0</v>
      </c>
      <c r="AV54" s="556" t="str">
        <f t="shared" si="92"/>
        <v>$0</v>
      </c>
      <c r="AW54" s="562" t="str">
        <f t="shared" si="92"/>
        <v>$0</v>
      </c>
      <c r="AX54" s="555" t="str">
        <f t="shared" si="92"/>
        <v>$0</v>
      </c>
      <c r="AY54" s="555" t="str">
        <f t="shared" si="92"/>
        <v>$0</v>
      </c>
      <c r="AZ54" s="555" t="str">
        <f t="shared" si="92"/>
        <v>$0</v>
      </c>
      <c r="BA54" s="556" t="str">
        <f t="shared" si="92"/>
        <v>$0</v>
      </c>
      <c r="BB54" s="562">
        <f>IF(ROUND(BB25-BB52,3)&lt;&gt;0,"Error!",BB25-BB52)</f>
        <v>9.0949470177292824E-13</v>
      </c>
      <c r="BC54" s="555">
        <f>IF(ROUND(BC25-BC52,3)&lt;&gt;0,"Error!",BC25-BC52)</f>
        <v>4.5474735088646412E-13</v>
      </c>
      <c r="BD54" s="555">
        <f>IF(ROUND(BD25-BD52,3)&lt;&gt;0,"Error!",BD25-BD52)</f>
        <v>9.0949470177292824E-13</v>
      </c>
      <c r="BE54" s="555">
        <f>IF(ROUND(BE25-BE52,3)&lt;&gt;0,"Error!",ROUND(BE25-BE52,3))</f>
        <v>0</v>
      </c>
      <c r="BF54" s="556">
        <f t="shared" ref="BF54:BZ54" si="93">IF(ROUND(BF25-BF52,3)&lt;&gt;0,"Error!",ROUND(BF25-BF52,3))</f>
        <v>0</v>
      </c>
      <c r="BG54" s="562">
        <f t="shared" si="93"/>
        <v>0</v>
      </c>
      <c r="BH54" s="555">
        <f t="shared" si="93"/>
        <v>0</v>
      </c>
      <c r="BI54" s="555">
        <f t="shared" si="93"/>
        <v>0</v>
      </c>
      <c r="BJ54" s="555">
        <f t="shared" si="93"/>
        <v>0</v>
      </c>
      <c r="BK54" s="556">
        <f t="shared" si="93"/>
        <v>0</v>
      </c>
      <c r="BL54" s="562">
        <f t="shared" si="93"/>
        <v>0</v>
      </c>
      <c r="BM54" s="555">
        <f t="shared" si="93"/>
        <v>0</v>
      </c>
      <c r="BN54" s="555">
        <f t="shared" si="93"/>
        <v>0</v>
      </c>
      <c r="BO54" s="555">
        <f t="shared" si="93"/>
        <v>0</v>
      </c>
      <c r="BP54" s="556">
        <f t="shared" si="93"/>
        <v>0</v>
      </c>
      <c r="BQ54" s="562">
        <f t="shared" si="93"/>
        <v>0</v>
      </c>
      <c r="BR54" s="555">
        <f t="shared" si="93"/>
        <v>0</v>
      </c>
      <c r="BS54" s="555">
        <f t="shared" si="93"/>
        <v>0</v>
      </c>
      <c r="BT54" s="555">
        <f t="shared" si="93"/>
        <v>0</v>
      </c>
      <c r="BU54" s="556">
        <f t="shared" si="93"/>
        <v>0</v>
      </c>
      <c r="BV54" s="562">
        <f t="shared" si="93"/>
        <v>0</v>
      </c>
      <c r="BW54" s="555">
        <f t="shared" si="93"/>
        <v>0</v>
      </c>
      <c r="BX54" s="555">
        <f t="shared" si="93"/>
        <v>0</v>
      </c>
      <c r="BY54" s="555">
        <f t="shared" si="93"/>
        <v>0</v>
      </c>
      <c r="BZ54" s="556">
        <f t="shared" si="93"/>
        <v>0</v>
      </c>
    </row>
    <row r="55" spans="1:78" ht="14.1" customHeight="1" x14ac:dyDescent="0.2">
      <c r="C55" s="113"/>
      <c r="R55" s="114"/>
      <c r="W55" s="117"/>
      <c r="AB55" s="117"/>
      <c r="AG55" s="117"/>
      <c r="AL55" s="117"/>
      <c r="AQ55" s="117"/>
      <c r="AV55" s="117"/>
      <c r="BA55" s="117"/>
      <c r="BF55" s="117"/>
      <c r="BK55" s="117"/>
      <c r="BP55" s="117"/>
      <c r="BU55" s="117"/>
      <c r="BZ55" s="117"/>
    </row>
    <row r="56" spans="1:78" ht="14.1" customHeight="1" x14ac:dyDescent="0.2">
      <c r="C56" s="113"/>
      <c r="J56" s="745"/>
      <c r="R56" s="114"/>
      <c r="W56" s="117"/>
      <c r="AB56" s="117"/>
      <c r="AG56" s="117"/>
      <c r="AL56" s="117"/>
      <c r="AQ56" s="117"/>
      <c r="AV56" s="117"/>
      <c r="BA56" s="117"/>
      <c r="BF56" s="117"/>
      <c r="BK56" s="117"/>
      <c r="BP56" s="117"/>
      <c r="BU56" s="117"/>
      <c r="BZ56" s="117"/>
    </row>
    <row r="57" spans="1:78" ht="6" customHeight="1" x14ac:dyDescent="0.2">
      <c r="C57" s="113"/>
      <c r="R57" s="114"/>
      <c r="W57" s="117"/>
      <c r="AB57" s="117"/>
      <c r="AG57" s="117"/>
      <c r="AL57" s="117"/>
      <c r="AQ57" s="117"/>
      <c r="AV57" s="117"/>
      <c r="BA57" s="117"/>
      <c r="BF57" s="117"/>
      <c r="BK57" s="117"/>
      <c r="BP57" s="117"/>
      <c r="BU57" s="117"/>
      <c r="BZ57" s="117"/>
    </row>
    <row r="58" spans="1:78" ht="6" customHeight="1" x14ac:dyDescent="0.2">
      <c r="C58" s="113"/>
      <c r="R58" s="114"/>
      <c r="W58" s="117"/>
      <c r="AB58" s="117"/>
      <c r="AG58" s="117"/>
      <c r="AL58" s="117"/>
      <c r="AQ58" s="117"/>
      <c r="AV58" s="117"/>
      <c r="BA58" s="117"/>
      <c r="BF58" s="117"/>
      <c r="BK58" s="117"/>
      <c r="BP58" s="117"/>
      <c r="BU58" s="117"/>
      <c r="BZ58" s="117"/>
    </row>
    <row r="59" spans="1:78" ht="18.75" outlineLevel="1" x14ac:dyDescent="0.25">
      <c r="C59" s="47" t="str">
        <f>C3</f>
        <v>SAIA, Inc.</v>
      </c>
      <c r="D59" s="48"/>
      <c r="E59" s="48"/>
      <c r="F59" s="48"/>
      <c r="G59" s="48"/>
      <c r="H59" s="48"/>
      <c r="I59" s="48"/>
      <c r="J59" s="48"/>
      <c r="K59" s="48"/>
      <c r="L59" s="48"/>
      <c r="M59" s="48"/>
      <c r="N59" s="67" t="str">
        <f>BX59</f>
        <v>Model Case:</v>
      </c>
      <c r="O59" s="48" t="str">
        <f>BY59</f>
        <v>Base</v>
      </c>
      <c r="P59" s="559"/>
      <c r="Q59" s="551"/>
      <c r="R59" s="1374" t="str">
        <f>C59</f>
        <v>SAIA, Inc.</v>
      </c>
      <c r="S59" s="1374"/>
      <c r="T59" s="1374"/>
      <c r="U59" s="1374"/>
      <c r="V59" s="1374"/>
      <c r="W59" s="1374"/>
      <c r="X59" s="1374"/>
      <c r="Y59" s="1374"/>
      <c r="Z59" s="1374"/>
      <c r="AA59" s="1374"/>
      <c r="AB59" s="1374"/>
      <c r="AC59" s="1374"/>
      <c r="AD59" s="1374"/>
      <c r="AE59" s="1374"/>
      <c r="AF59" s="1374"/>
      <c r="AG59" s="1374"/>
      <c r="AH59" s="1374"/>
      <c r="AI59" s="1374"/>
      <c r="AJ59" s="1374"/>
      <c r="AK59" s="1374"/>
      <c r="AL59" s="1374"/>
      <c r="AM59" s="1374"/>
      <c r="AN59" s="1374"/>
      <c r="AO59" s="1374"/>
      <c r="AP59" s="1374"/>
      <c r="AQ59" s="1374"/>
      <c r="AR59" s="1374"/>
      <c r="AS59" s="1374"/>
      <c r="AT59" s="1374"/>
      <c r="AU59" s="1374"/>
      <c r="AV59" s="1374"/>
      <c r="AW59" s="1374"/>
      <c r="AX59" s="1374"/>
      <c r="AY59" s="1374"/>
      <c r="AZ59" s="1374"/>
      <c r="BA59" s="47"/>
      <c r="BB59" s="47"/>
      <c r="BC59" s="47"/>
      <c r="BD59" s="47"/>
      <c r="BE59" s="1408" t="s">
        <v>321</v>
      </c>
      <c r="BF59" s="1408"/>
      <c r="BG59" s="1408"/>
      <c r="BH59" s="1408"/>
      <c r="BI59" s="47"/>
      <c r="BJ59" s="47"/>
      <c r="BK59" s="47"/>
      <c r="BL59" s="47"/>
      <c r="BM59" s="47"/>
      <c r="BN59" s="47"/>
      <c r="BO59" s="47"/>
      <c r="BP59" s="47"/>
      <c r="BQ59" s="47"/>
      <c r="BR59" s="47"/>
      <c r="BS59" s="47"/>
      <c r="BT59" s="47"/>
      <c r="BU59" s="47"/>
      <c r="BV59" s="48"/>
      <c r="BW59" s="48"/>
      <c r="BX59" s="67" t="str">
        <f>BR3</f>
        <v>Model Case:</v>
      </c>
      <c r="BY59" s="48" t="str">
        <f>BS3</f>
        <v>Base</v>
      </c>
      <c r="BZ59" s="48"/>
    </row>
    <row r="60" spans="1:78" ht="14.1" customHeight="1" outlineLevel="1" x14ac:dyDescent="0.2">
      <c r="C60" s="48" t="str">
        <f>C64&amp;" and "&amp;C87</f>
        <v>Shareholders Equity Statement and Operating Efficiency</v>
      </c>
      <c r="D60" s="48"/>
      <c r="E60" s="48"/>
      <c r="F60" s="48"/>
      <c r="G60" s="48"/>
      <c r="H60" s="48"/>
      <c r="I60" s="48"/>
      <c r="J60" s="48"/>
      <c r="K60" s="48"/>
      <c r="L60" s="48"/>
      <c r="M60" s="48"/>
      <c r="N60" s="67" t="str">
        <f>N4</f>
        <v>DCF Share Value as of 12/31/2024:</v>
      </c>
      <c r="O60" s="65">
        <f>O4</f>
        <v>520.1066763818468</v>
      </c>
      <c r="P60" s="559"/>
      <c r="Q60" s="551"/>
      <c r="R60" s="1375" t="str">
        <f>C60</f>
        <v>Shareholders Equity Statement and Operating Efficiency</v>
      </c>
      <c r="S60" s="1375"/>
      <c r="T60" s="1375"/>
      <c r="U60" s="1375"/>
      <c r="V60" s="1375"/>
      <c r="W60" s="1375"/>
      <c r="X60" s="1375"/>
      <c r="Y60" s="1375"/>
      <c r="Z60" s="1375"/>
      <c r="AA60" s="1375"/>
      <c r="AB60" s="1375"/>
      <c r="AC60" s="1375"/>
      <c r="AD60" s="1375"/>
      <c r="AE60" s="1375"/>
      <c r="AF60" s="1375"/>
      <c r="AG60" s="1375"/>
      <c r="AH60" s="1375"/>
      <c r="AI60" s="1375"/>
      <c r="AJ60" s="1375"/>
      <c r="AK60" s="1375"/>
      <c r="AL60" s="1375"/>
      <c r="AM60" s="1375"/>
      <c r="AN60" s="1375"/>
      <c r="AO60" s="1375"/>
      <c r="AP60" s="1375"/>
      <c r="AQ60" s="1375"/>
      <c r="AR60" s="1375"/>
      <c r="AS60" s="1375"/>
      <c r="AT60" s="1375"/>
      <c r="AU60" s="1375"/>
      <c r="AV60" s="1375"/>
      <c r="AW60" s="1375"/>
      <c r="AX60" s="1375"/>
      <c r="AY60" s="1375"/>
      <c r="AZ60" s="1375"/>
      <c r="BA60" s="1375"/>
      <c r="BB60" s="48"/>
      <c r="BC60" s="48"/>
      <c r="BD60" s="48"/>
      <c r="BE60" s="1408"/>
      <c r="BF60" s="1408"/>
      <c r="BG60" s="1408"/>
      <c r="BH60" s="1408"/>
      <c r="BI60" s="48"/>
      <c r="BJ60" s="48"/>
      <c r="BK60" s="48"/>
      <c r="BL60" s="48"/>
      <c r="BM60" s="48"/>
      <c r="BN60" s="48"/>
      <c r="BO60" s="48"/>
      <c r="BP60" s="48"/>
      <c r="BQ60" s="48"/>
      <c r="BR60" s="48"/>
      <c r="BS60" s="48"/>
      <c r="BT60" s="48"/>
      <c r="BU60" s="48"/>
      <c r="BV60" s="48"/>
      <c r="BW60" s="48"/>
      <c r="BX60" s="67" t="str">
        <f>BX3</f>
        <v>DCF Share Value as of 12/31/2024:</v>
      </c>
      <c r="BY60" s="65">
        <f>BY3</f>
        <v>520.1066763818468</v>
      </c>
      <c r="BZ60" s="48"/>
    </row>
    <row r="61" spans="1:78" ht="14.1" customHeight="1" outlineLevel="1" x14ac:dyDescent="0.2">
      <c r="C61" s="46" t="str">
        <f>C5</f>
        <v>($ in millions, fiscal year ending December,31)</v>
      </c>
      <c r="D61" s="49"/>
      <c r="E61" s="49"/>
      <c r="F61" s="49"/>
      <c r="G61" s="49"/>
      <c r="H61" s="49"/>
      <c r="I61" s="49"/>
      <c r="J61" s="49"/>
      <c r="K61" s="49"/>
      <c r="L61" s="49"/>
      <c r="M61" s="49"/>
      <c r="N61" s="66" t="str">
        <f>N5</f>
        <v>Market Share Price as of 12/31/2024:</v>
      </c>
      <c r="O61" s="65">
        <f>O5</f>
        <v>455.73</v>
      </c>
      <c r="P61" s="559"/>
      <c r="Q61" s="551"/>
      <c r="R61" s="1403" t="str">
        <f>"Quarterly and Year Basis"</f>
        <v>Quarterly and Year Basis</v>
      </c>
      <c r="S61" s="1403"/>
      <c r="T61" s="1403"/>
      <c r="U61" s="1403"/>
      <c r="V61" s="1403"/>
      <c r="W61" s="1403"/>
      <c r="X61" s="1403"/>
      <c r="Y61" s="1403"/>
      <c r="Z61" s="1403"/>
      <c r="AA61" s="1403"/>
      <c r="AB61" s="1403"/>
      <c r="AC61" s="1403"/>
      <c r="AD61" s="1403"/>
      <c r="AE61" s="1403"/>
      <c r="AF61" s="1403"/>
      <c r="AG61" s="1403"/>
      <c r="AH61" s="1403"/>
      <c r="AI61" s="1403"/>
      <c r="AJ61" s="1403"/>
      <c r="AK61" s="1403"/>
      <c r="AL61" s="1403"/>
      <c r="AM61" s="1403"/>
      <c r="AN61" s="1403"/>
      <c r="AO61" s="1403"/>
      <c r="AP61" s="1403"/>
      <c r="AQ61" s="1403"/>
      <c r="AR61" s="1403"/>
      <c r="AS61" s="1403"/>
      <c r="AT61" s="1403"/>
      <c r="AU61" s="1403"/>
      <c r="AV61" s="1403"/>
      <c r="AW61" s="1403"/>
      <c r="AX61" s="1403"/>
      <c r="AY61" s="1403"/>
      <c r="AZ61" s="1403"/>
      <c r="BA61" s="1403"/>
      <c r="BB61" s="1404"/>
      <c r="BC61" s="1404"/>
      <c r="BD61" s="1404"/>
      <c r="BE61" s="1404"/>
      <c r="BF61" s="1404"/>
      <c r="BG61" s="1402"/>
      <c r="BH61" s="1402"/>
      <c r="BI61" s="1402"/>
      <c r="BJ61" s="1402"/>
      <c r="BK61" s="1402"/>
      <c r="BL61" s="1402"/>
      <c r="BM61" s="1402"/>
      <c r="BN61" s="1402"/>
      <c r="BO61" s="1402"/>
      <c r="BP61" s="1402"/>
      <c r="BQ61" s="1407"/>
      <c r="BR61" s="1407"/>
      <c r="BS61" s="1407"/>
      <c r="BT61" s="1407"/>
      <c r="BU61" s="1407"/>
      <c r="BV61" s="48"/>
      <c r="BW61" s="1153"/>
      <c r="BX61" s="1154" t="str">
        <f>BX4</f>
        <v>Market Share Price as of 12/31/2024:</v>
      </c>
      <c r="BY61" s="65">
        <f>BY4</f>
        <v>455.73</v>
      </c>
      <c r="BZ61" s="1153"/>
    </row>
    <row r="62" spans="1:78" s="157" customFormat="1" ht="14.1" customHeight="1" outlineLevel="1" x14ac:dyDescent="0.2">
      <c r="A62"/>
      <c r="B62"/>
      <c r="C62" s="164"/>
      <c r="D62" s="97">
        <f>D7</f>
        <v>43100</v>
      </c>
      <c r="E62" s="98">
        <f t="shared" ref="E62:O62" si="94">E7</f>
        <v>43465</v>
      </c>
      <c r="F62" s="98">
        <f t="shared" si="94"/>
        <v>43830</v>
      </c>
      <c r="G62" s="98">
        <f t="shared" si="94"/>
        <v>44196</v>
      </c>
      <c r="H62" s="98">
        <f t="shared" si="94"/>
        <v>44561</v>
      </c>
      <c r="I62" s="98">
        <f t="shared" si="94"/>
        <v>44926</v>
      </c>
      <c r="J62" s="98">
        <f t="shared" si="94"/>
        <v>45291</v>
      </c>
      <c r="K62" s="137">
        <f t="shared" si="94"/>
        <v>45657</v>
      </c>
      <c r="L62" s="138">
        <f t="shared" si="94"/>
        <v>46022</v>
      </c>
      <c r="M62" s="138">
        <f t="shared" si="94"/>
        <v>46387</v>
      </c>
      <c r="N62" s="138">
        <f t="shared" si="94"/>
        <v>46752</v>
      </c>
      <c r="O62" s="139">
        <f t="shared" si="94"/>
        <v>47118</v>
      </c>
      <c r="P62" s="559"/>
      <c r="Q62" s="551"/>
      <c r="R62" s="96"/>
      <c r="S62" s="1400">
        <f>S5</f>
        <v>43100</v>
      </c>
      <c r="T62" s="1400"/>
      <c r="U62" s="1400"/>
      <c r="V62" s="1400"/>
      <c r="W62" s="1400"/>
      <c r="X62" s="1400">
        <f>X5</f>
        <v>43465</v>
      </c>
      <c r="Y62" s="1400"/>
      <c r="Z62" s="1400"/>
      <c r="AA62" s="1400"/>
      <c r="AB62" s="1400"/>
      <c r="AC62" s="1400">
        <f>AC5</f>
        <v>43830</v>
      </c>
      <c r="AD62" s="1400"/>
      <c r="AE62" s="1400"/>
      <c r="AF62" s="1400"/>
      <c r="AG62" s="1400"/>
      <c r="AH62" s="1400">
        <f>AH5</f>
        <v>44196</v>
      </c>
      <c r="AI62" s="1400"/>
      <c r="AJ62" s="1400"/>
      <c r="AK62" s="1400"/>
      <c r="AL62" s="1400"/>
      <c r="AM62" s="1400">
        <f>AM5</f>
        <v>44561</v>
      </c>
      <c r="AN62" s="1400"/>
      <c r="AO62" s="1400"/>
      <c r="AP62" s="1400"/>
      <c r="AQ62" s="1400"/>
      <c r="AR62" s="1400">
        <f>AR5</f>
        <v>44926</v>
      </c>
      <c r="AS62" s="1400"/>
      <c r="AT62" s="1400"/>
      <c r="AU62" s="1400"/>
      <c r="AV62" s="1400"/>
      <c r="AW62" s="1400">
        <f>AW5</f>
        <v>45291</v>
      </c>
      <c r="AX62" s="1400"/>
      <c r="AY62" s="1400"/>
      <c r="AZ62" s="1400"/>
      <c r="BA62" s="1400"/>
      <c r="BB62" s="1401">
        <f>BB5</f>
        <v>45657</v>
      </c>
      <c r="BC62" s="1401"/>
      <c r="BD62" s="1401"/>
      <c r="BE62" s="1401"/>
      <c r="BF62" s="1401"/>
      <c r="BG62" s="1398">
        <f>BG5</f>
        <v>46022</v>
      </c>
      <c r="BH62" s="1398"/>
      <c r="BI62" s="1398"/>
      <c r="BJ62" s="1398"/>
      <c r="BK62" s="1398"/>
      <c r="BL62" s="1398">
        <f>BL5</f>
        <v>46387</v>
      </c>
      <c r="BM62" s="1398"/>
      <c r="BN62" s="1398"/>
      <c r="BO62" s="1398"/>
      <c r="BP62" s="1398"/>
      <c r="BQ62" s="1398">
        <f>BQ5</f>
        <v>46752</v>
      </c>
      <c r="BR62" s="1398"/>
      <c r="BS62" s="1398"/>
      <c r="BT62" s="1398"/>
      <c r="BU62" s="1398"/>
      <c r="BV62" s="1398">
        <f>BV5</f>
        <v>47118</v>
      </c>
      <c r="BW62" s="1398"/>
      <c r="BX62" s="1398"/>
      <c r="BY62" s="1398"/>
      <c r="BZ62" s="1399"/>
    </row>
    <row r="63" spans="1:78" ht="14.1" customHeight="1" outlineLevel="1" x14ac:dyDescent="0.2">
      <c r="C63" s="557"/>
      <c r="D63" s="451"/>
      <c r="E63" s="451"/>
      <c r="F63" s="451"/>
      <c r="G63" s="451"/>
      <c r="H63" s="451"/>
      <c r="I63" s="451"/>
      <c r="J63" s="568"/>
      <c r="K63" s="451"/>
      <c r="L63" s="451"/>
      <c r="M63" s="451"/>
      <c r="N63" s="451"/>
      <c r="O63" s="452"/>
      <c r="P63" s="559"/>
      <c r="Q63" s="551"/>
      <c r="R63" s="96"/>
      <c r="S63" s="96" t="str">
        <f>S7</f>
        <v>2017 Q1</v>
      </c>
      <c r="T63" s="140" t="str">
        <f t="shared" ref="T63:BZ63" si="95">T7</f>
        <v>2017 Q2</v>
      </c>
      <c r="U63" s="140" t="str">
        <f t="shared" si="95"/>
        <v>2017 Q3</v>
      </c>
      <c r="V63" s="140" t="str">
        <f t="shared" si="95"/>
        <v>2017 Q4</v>
      </c>
      <c r="W63" s="140" t="str">
        <f t="shared" si="95"/>
        <v>2017 FY</v>
      </c>
      <c r="X63" s="140" t="str">
        <f t="shared" si="95"/>
        <v>2018 Q1</v>
      </c>
      <c r="Y63" s="140" t="str">
        <f t="shared" si="95"/>
        <v>2018 Q2</v>
      </c>
      <c r="Z63" s="140" t="str">
        <f t="shared" si="95"/>
        <v>2018 Q3</v>
      </c>
      <c r="AA63" s="140" t="str">
        <f t="shared" si="95"/>
        <v>2018 Q4</v>
      </c>
      <c r="AB63" s="140" t="str">
        <f t="shared" si="95"/>
        <v>2018 FY</v>
      </c>
      <c r="AC63" s="140" t="str">
        <f t="shared" si="95"/>
        <v>2019 Q1</v>
      </c>
      <c r="AD63" s="140" t="str">
        <f t="shared" si="95"/>
        <v>2019 Q2</v>
      </c>
      <c r="AE63" s="140" t="str">
        <f t="shared" si="95"/>
        <v>2019 Q3</v>
      </c>
      <c r="AF63" s="140" t="str">
        <f t="shared" si="95"/>
        <v>2019 Q4</v>
      </c>
      <c r="AG63" s="140" t="str">
        <f t="shared" si="95"/>
        <v>2019 FY</v>
      </c>
      <c r="AH63" s="140" t="str">
        <f t="shared" si="95"/>
        <v>2020 Q1</v>
      </c>
      <c r="AI63" s="140" t="str">
        <f t="shared" si="95"/>
        <v>2020 Q2</v>
      </c>
      <c r="AJ63" s="140" t="str">
        <f t="shared" si="95"/>
        <v>2020 Q3</v>
      </c>
      <c r="AK63" s="140" t="str">
        <f t="shared" si="95"/>
        <v>2020 Q4</v>
      </c>
      <c r="AL63" s="140" t="str">
        <f t="shared" si="95"/>
        <v>2020 FY</v>
      </c>
      <c r="AM63" s="140" t="str">
        <f t="shared" si="95"/>
        <v>2021 Q1</v>
      </c>
      <c r="AN63" s="140" t="str">
        <f t="shared" si="95"/>
        <v>2021 Q2</v>
      </c>
      <c r="AO63" s="140" t="str">
        <f t="shared" si="95"/>
        <v>2021 Q3</v>
      </c>
      <c r="AP63" s="140" t="str">
        <f t="shared" si="95"/>
        <v>2021 Q4</v>
      </c>
      <c r="AQ63" s="140" t="str">
        <f t="shared" si="95"/>
        <v>2021 FY</v>
      </c>
      <c r="AR63" s="140" t="str">
        <f t="shared" si="95"/>
        <v>2022 Q1</v>
      </c>
      <c r="AS63" s="140" t="str">
        <f t="shared" si="95"/>
        <v>2022 Q2</v>
      </c>
      <c r="AT63" s="140" t="str">
        <f t="shared" si="95"/>
        <v>2022 Q3</v>
      </c>
      <c r="AU63" s="140" t="str">
        <f t="shared" si="95"/>
        <v>2022 Q4</v>
      </c>
      <c r="AV63" s="140" t="str">
        <f t="shared" si="95"/>
        <v>2022 FY</v>
      </c>
      <c r="AW63" s="140" t="str">
        <f t="shared" si="95"/>
        <v>2023 Q1</v>
      </c>
      <c r="AX63" s="140" t="str">
        <f t="shared" si="95"/>
        <v>2023 Q2</v>
      </c>
      <c r="AY63" s="140" t="str">
        <f t="shared" si="95"/>
        <v>2023 Q3</v>
      </c>
      <c r="AZ63" s="140" t="str">
        <f t="shared" si="95"/>
        <v>2023 Q4</v>
      </c>
      <c r="BA63" s="140" t="str">
        <f t="shared" si="95"/>
        <v>2023 FY</v>
      </c>
      <c r="BB63" s="140" t="str">
        <f t="shared" si="95"/>
        <v>2024 Q1</v>
      </c>
      <c r="BC63" s="140" t="str">
        <f t="shared" si="95"/>
        <v>2024 Q2</v>
      </c>
      <c r="BD63" s="140" t="str">
        <f t="shared" si="95"/>
        <v>2024 Q3</v>
      </c>
      <c r="BE63" s="141" t="str">
        <f t="shared" si="95"/>
        <v>2024 Q4</v>
      </c>
      <c r="BF63" s="141" t="str">
        <f t="shared" si="95"/>
        <v>2024 FY</v>
      </c>
      <c r="BG63" s="141" t="str">
        <f t="shared" si="95"/>
        <v>2025 Q1</v>
      </c>
      <c r="BH63" s="141" t="str">
        <f t="shared" si="95"/>
        <v>2025 Q2</v>
      </c>
      <c r="BI63" s="141" t="str">
        <f t="shared" si="95"/>
        <v>2025 Q3</v>
      </c>
      <c r="BJ63" s="141" t="str">
        <f t="shared" si="95"/>
        <v>2025 Q4</v>
      </c>
      <c r="BK63" s="141" t="str">
        <f t="shared" si="95"/>
        <v>2025 FY</v>
      </c>
      <c r="BL63" s="141" t="str">
        <f t="shared" si="95"/>
        <v>2026 Q1</v>
      </c>
      <c r="BM63" s="141" t="str">
        <f t="shared" si="95"/>
        <v>2026 Q2</v>
      </c>
      <c r="BN63" s="141" t="str">
        <f t="shared" si="95"/>
        <v>2026 Q3</v>
      </c>
      <c r="BO63" s="141" t="str">
        <f t="shared" si="95"/>
        <v>2026 Q4</v>
      </c>
      <c r="BP63" s="141" t="str">
        <f t="shared" si="95"/>
        <v>2026 FY</v>
      </c>
      <c r="BQ63" s="141" t="str">
        <f t="shared" si="95"/>
        <v>2027 Q1</v>
      </c>
      <c r="BR63" s="141" t="str">
        <f t="shared" si="95"/>
        <v>2027 Q2</v>
      </c>
      <c r="BS63" s="141" t="str">
        <f t="shared" si="95"/>
        <v>2027 Q3</v>
      </c>
      <c r="BT63" s="141" t="str">
        <f t="shared" si="95"/>
        <v>2027 Q4</v>
      </c>
      <c r="BU63" s="141" t="str">
        <f t="shared" si="95"/>
        <v>2027 FY</v>
      </c>
      <c r="BV63" s="141" t="str">
        <f t="shared" si="95"/>
        <v>2028 Q1</v>
      </c>
      <c r="BW63" s="141" t="str">
        <f t="shared" si="95"/>
        <v>2028 Q2</v>
      </c>
      <c r="BX63" s="141" t="str">
        <f t="shared" si="95"/>
        <v>2028 Q3</v>
      </c>
      <c r="BY63" s="141" t="str">
        <f t="shared" si="95"/>
        <v>2028 Q4</v>
      </c>
      <c r="BZ63" s="142" t="str">
        <f t="shared" si="95"/>
        <v>2028 FY</v>
      </c>
    </row>
    <row r="64" spans="1:78" ht="14.1" customHeight="1" outlineLevel="1" x14ac:dyDescent="0.2">
      <c r="C64" s="220" t="s">
        <v>148</v>
      </c>
      <c r="J64" s="570"/>
      <c r="O64" s="551"/>
      <c r="P64" s="559"/>
      <c r="Q64" s="551"/>
      <c r="R64" s="630" t="str">
        <f>C64</f>
        <v>Shareholders Equity Statement</v>
      </c>
      <c r="S64" s="451"/>
      <c r="T64" s="451"/>
      <c r="U64" s="451"/>
      <c r="V64" s="451"/>
      <c r="W64" s="451"/>
      <c r="X64" s="557"/>
      <c r="Y64" s="451"/>
      <c r="Z64" s="451"/>
      <c r="AA64" s="451"/>
      <c r="AB64" s="452"/>
      <c r="AC64" s="557"/>
      <c r="AD64" s="451"/>
      <c r="AE64" s="451"/>
      <c r="AF64" s="451"/>
      <c r="AG64" s="452"/>
      <c r="AH64" s="557"/>
      <c r="AI64" s="451"/>
      <c r="AJ64" s="451"/>
      <c r="AK64" s="451"/>
      <c r="AL64" s="452"/>
      <c r="AM64" s="557"/>
      <c r="AN64" s="451"/>
      <c r="AO64" s="451"/>
      <c r="AP64" s="451"/>
      <c r="AQ64" s="452"/>
      <c r="AR64" s="557"/>
      <c r="AS64" s="451"/>
      <c r="AT64" s="451"/>
      <c r="AU64" s="451"/>
      <c r="AV64" s="452"/>
      <c r="AW64" s="557"/>
      <c r="AX64" s="451"/>
      <c r="AY64" s="451"/>
      <c r="AZ64" s="451"/>
      <c r="BA64" s="452"/>
      <c r="BB64" s="557"/>
      <c r="BC64" s="451"/>
      <c r="BD64" s="451"/>
      <c r="BE64" s="451"/>
      <c r="BF64" s="452"/>
      <c r="BG64" s="557"/>
      <c r="BH64" s="451"/>
      <c r="BI64" s="451"/>
      <c r="BJ64" s="451"/>
      <c r="BK64" s="452"/>
      <c r="BL64" s="557"/>
      <c r="BM64" s="451"/>
      <c r="BN64" s="451"/>
      <c r="BO64" s="451"/>
      <c r="BP64" s="452"/>
      <c r="BQ64" s="557"/>
      <c r="BR64" s="451"/>
      <c r="BS64" s="451"/>
      <c r="BT64" s="451"/>
      <c r="BU64" s="452"/>
      <c r="BV64" s="557"/>
      <c r="BW64" s="451"/>
      <c r="BX64" s="451"/>
      <c r="BY64" s="451"/>
      <c r="BZ64" s="452"/>
    </row>
    <row r="65" spans="1:78" s="115" customFormat="1" ht="14.1" customHeight="1" outlineLevel="2" x14ac:dyDescent="0.2">
      <c r="A65"/>
      <c r="B65"/>
      <c r="C65" s="565" t="s">
        <v>149</v>
      </c>
      <c r="E65" s="115">
        <f>D51</f>
        <v>582.49400000000003</v>
      </c>
      <c r="F65" s="115">
        <f t="shared" ref="F65:O65" si="96">E74</f>
        <v>695.86400000000015</v>
      </c>
      <c r="G65" s="115">
        <f t="shared" si="96"/>
        <v>815.22600000000011</v>
      </c>
      <c r="H65" s="115">
        <f t="shared" si="96"/>
        <v>961.28800000000035</v>
      </c>
      <c r="I65" s="115">
        <f t="shared" si="96"/>
        <v>1220.3330000000003</v>
      </c>
      <c r="J65" s="569">
        <f t="shared" si="96"/>
        <v>1579.3409999999999</v>
      </c>
      <c r="K65" s="115">
        <f t="shared" si="96"/>
        <v>1941.4940000000001</v>
      </c>
      <c r="L65" s="115">
        <f t="shared" si="96"/>
        <v>2312.6408958768698</v>
      </c>
      <c r="M65" s="115">
        <f t="shared" si="96"/>
        <v>2735.7134963649764</v>
      </c>
      <c r="N65" s="115">
        <f t="shared" si="96"/>
        <v>3302.6780586611198</v>
      </c>
      <c r="O65" s="480">
        <f t="shared" si="96"/>
        <v>3625.0352662250984</v>
      </c>
      <c r="P65" s="558"/>
      <c r="Q65" s="480"/>
      <c r="R65" s="210" t="str">
        <f t="shared" si="13"/>
        <v>Beginning Common Equity</v>
      </c>
      <c r="S65" s="158"/>
      <c r="T65" s="158"/>
      <c r="U65" s="158"/>
      <c r="V65" s="158"/>
      <c r="W65" s="631"/>
      <c r="X65" s="558">
        <f>W51</f>
        <v>582.49400000000003</v>
      </c>
      <c r="Y65" s="115">
        <f>X51</f>
        <v>607.39400000000001</v>
      </c>
      <c r="Z65" s="115">
        <f>Y51</f>
        <v>639.97400000000005</v>
      </c>
      <c r="AA65" s="115">
        <f>Z51</f>
        <v>669.29100000000005</v>
      </c>
      <c r="AB65" s="551">
        <f>AA65</f>
        <v>669.29100000000005</v>
      </c>
      <c r="AC65" s="558">
        <f>AB51</f>
        <v>695.86399999999981</v>
      </c>
      <c r="AD65" s="115">
        <f>AC51</f>
        <v>717.64999999999986</v>
      </c>
      <c r="AE65" s="115">
        <f>AD51</f>
        <v>757.50199999999984</v>
      </c>
      <c r="AF65" s="115">
        <f>AE51</f>
        <v>792.37099999999987</v>
      </c>
      <c r="AG65" s="551">
        <f>AF65</f>
        <v>792.37099999999987</v>
      </c>
      <c r="AH65" s="558">
        <f>AG51</f>
        <v>815.22599999999966</v>
      </c>
      <c r="AI65" s="115">
        <f>AH51</f>
        <v>843.38699999999972</v>
      </c>
      <c r="AJ65" s="115">
        <f>AI51</f>
        <v>875.08999999999969</v>
      </c>
      <c r="AK65" s="115">
        <f>AJ51</f>
        <v>918.46599999999967</v>
      </c>
      <c r="AL65" s="551">
        <f>AK65</f>
        <v>918.46599999999967</v>
      </c>
      <c r="AM65" s="558">
        <f>AL51</f>
        <v>961.28799999999978</v>
      </c>
      <c r="AN65" s="115">
        <f>AM51</f>
        <v>997.61799999999971</v>
      </c>
      <c r="AO65" s="115">
        <f>AN51</f>
        <v>1063.1579999999997</v>
      </c>
      <c r="AP65" s="115">
        <f>AO51</f>
        <v>1144.7289999999998</v>
      </c>
      <c r="AQ65" s="551">
        <f>AP65</f>
        <v>1144.7289999999998</v>
      </c>
      <c r="AR65" s="558">
        <f>AQ51</f>
        <v>1220.3329999999999</v>
      </c>
      <c r="AS65" s="115">
        <f>AR51</f>
        <v>1291.4899999999998</v>
      </c>
      <c r="AT65" s="115">
        <f>AS51</f>
        <v>1403.7619999999997</v>
      </c>
      <c r="AU65" s="115">
        <f>AT51</f>
        <v>1506.4819999999995</v>
      </c>
      <c r="AV65" s="551">
        <f>AU65</f>
        <v>1506.4819999999995</v>
      </c>
      <c r="AW65" s="558">
        <f>AV51</f>
        <v>1579.3409999999994</v>
      </c>
      <c r="AX65" s="115">
        <f>AW51</f>
        <v>1650.9399999999991</v>
      </c>
      <c r="AY65" s="115">
        <f>AX51</f>
        <v>1746.2219999999993</v>
      </c>
      <c r="AZ65" s="115">
        <f>AY51</f>
        <v>1849.4629999999988</v>
      </c>
      <c r="BA65" s="551">
        <f>AZ65</f>
        <v>1849.4629999999988</v>
      </c>
      <c r="BB65" s="558">
        <f>BA51</f>
        <v>1941.4939999999995</v>
      </c>
      <c r="BC65" s="115">
        <f>BB51</f>
        <v>2028.9379999999992</v>
      </c>
      <c r="BD65" s="115">
        <f>BC51</f>
        <v>2136.0859999999993</v>
      </c>
      <c r="BE65" s="115">
        <f>BD51</f>
        <v>2231.4849999999992</v>
      </c>
      <c r="BF65" s="551">
        <f>BE65</f>
        <v>2231.4849999999992</v>
      </c>
      <c r="BG65" s="558">
        <f>BF51</f>
        <v>2312.6408958768689</v>
      </c>
      <c r="BH65" s="115">
        <f>BG51</f>
        <v>2415.3489919263225</v>
      </c>
      <c r="BI65" s="115">
        <f>BH51</f>
        <v>2548.860986227246</v>
      </c>
      <c r="BJ65" s="115">
        <f>BI51</f>
        <v>2651.2574649015901</v>
      </c>
      <c r="BK65" s="551">
        <f>BJ65</f>
        <v>2651.2574649015901</v>
      </c>
      <c r="BL65" s="558">
        <f>BK51</f>
        <v>2735.7134963649755</v>
      </c>
      <c r="BM65" s="115">
        <f>BL51</f>
        <v>2856.0201617329794</v>
      </c>
      <c r="BN65" s="115">
        <f>BM51</f>
        <v>3010.6396904660055</v>
      </c>
      <c r="BO65" s="115">
        <f>BN51</f>
        <v>3160.4144600757149</v>
      </c>
      <c r="BP65" s="551">
        <f>BO65</f>
        <v>3160.4144600757149</v>
      </c>
      <c r="BQ65" s="558">
        <f>BP51</f>
        <v>3302.678058661118</v>
      </c>
      <c r="BR65" s="115">
        <f>BQ51</f>
        <v>3359.4736576864639</v>
      </c>
      <c r="BS65" s="115">
        <f>BR51</f>
        <v>3455.5440022969237</v>
      </c>
      <c r="BT65" s="115">
        <f>BS51</f>
        <v>3545.6513715904402</v>
      </c>
      <c r="BU65" s="551">
        <f>BT65</f>
        <v>3545.6513715904402</v>
      </c>
      <c r="BV65" s="558">
        <f>BU51</f>
        <v>3625.0352662250957</v>
      </c>
      <c r="BW65" s="115">
        <f>BV51</f>
        <v>3646.0836734714089</v>
      </c>
      <c r="BX65" s="115">
        <f>BW51</f>
        <v>3718.217926511606</v>
      </c>
      <c r="BY65" s="115">
        <f>BX51</f>
        <v>3781.2784626430903</v>
      </c>
      <c r="BZ65" s="551">
        <f>BY65</f>
        <v>3781.2784626430903</v>
      </c>
    </row>
    <row r="66" spans="1:78" ht="14.1" customHeight="1" outlineLevel="2" x14ac:dyDescent="0.2">
      <c r="C66" s="565" t="s">
        <v>88</v>
      </c>
      <c r="E66" s="116">
        <f>'Income Statement'!E33</f>
        <v>104.98100000000014</v>
      </c>
      <c r="F66" s="116">
        <f>'Income Statement'!F33</f>
        <v>113.71900000000002</v>
      </c>
      <c r="G66" s="116">
        <f>'Income Statement'!G33</f>
        <v>138.34000000000015</v>
      </c>
      <c r="H66" s="116">
        <f>'Income Statement'!H33</f>
        <v>253.23499999999996</v>
      </c>
      <c r="I66" s="116">
        <f>'Income Statement'!I33</f>
        <v>357.42199999999957</v>
      </c>
      <c r="J66" s="570">
        <f>'Income Statement'!J33</f>
        <v>354.85700000000037</v>
      </c>
      <c r="K66" s="116">
        <f>'Income Statement'!K33</f>
        <v>364.08121536342844</v>
      </c>
      <c r="L66" s="116">
        <f>'Income Statement'!L33</f>
        <v>478.84574933316094</v>
      </c>
      <c r="M66" s="116">
        <f>'Income Statement'!M33</f>
        <v>614.30291382632254</v>
      </c>
      <c r="N66" s="116">
        <f>'Income Statement'!N33</f>
        <v>727.12143764498933</v>
      </c>
      <c r="O66" s="551">
        <f>'Income Statement'!O33</f>
        <v>828.14116608941049</v>
      </c>
      <c r="P66" s="559"/>
      <c r="Q66" s="551"/>
      <c r="R66" s="210" t="str">
        <f t="shared" si="13"/>
        <v>Net Income to Common</v>
      </c>
      <c r="S66" s="632"/>
      <c r="T66" s="632"/>
      <c r="U66" s="632"/>
      <c r="V66" s="632"/>
      <c r="W66" s="632"/>
      <c r="X66" s="559">
        <f>'Income Statement'!X33</f>
        <v>21.125000000000064</v>
      </c>
      <c r="Y66" s="116">
        <f>'Income Statement'!Y33</f>
        <v>30.280999999999999</v>
      </c>
      <c r="Z66" s="116">
        <f>'Income Statement'!Z33</f>
        <v>28.194999999999943</v>
      </c>
      <c r="AA66" s="116">
        <f>'Income Statement'!AA33</f>
        <v>25.379999999999782</v>
      </c>
      <c r="AB66" s="551">
        <f>AA66</f>
        <v>25.379999999999782</v>
      </c>
      <c r="AC66" s="559">
        <f>'Income Statement'!AC33</f>
        <v>22.259000000000086</v>
      </c>
      <c r="AD66" s="116">
        <f>'Income Statement'!AD33</f>
        <v>37.073</v>
      </c>
      <c r="AE66" s="116">
        <f>'Income Statement'!AE33</f>
        <v>32.967999999999982</v>
      </c>
      <c r="AF66" s="116">
        <f>'Income Statement'!AF33</f>
        <v>21.41899999999989</v>
      </c>
      <c r="AG66" s="551">
        <f>AF66</f>
        <v>21.41899999999989</v>
      </c>
      <c r="AH66" s="559">
        <f>'Income Statement'!AH33</f>
        <v>28.110999999999997</v>
      </c>
      <c r="AI66" s="116">
        <f>'Income Statement'!AI33</f>
        <v>28.453999999999958</v>
      </c>
      <c r="AJ66" s="116">
        <f>'Income Statement'!AJ33</f>
        <v>41.539000000000044</v>
      </c>
      <c r="AK66" s="116">
        <f>'Income Statement'!AK33</f>
        <v>40.236000000000054</v>
      </c>
      <c r="AL66" s="551">
        <f>AK66</f>
        <v>40.236000000000054</v>
      </c>
      <c r="AM66" s="559">
        <f>'Income Statement'!AM33</f>
        <v>37.290999999999961</v>
      </c>
      <c r="AN66" s="116">
        <f>'Income Statement'!AN33</f>
        <v>62.474000000000032</v>
      </c>
      <c r="AO66" s="116">
        <f>'Income Statement'!AO33</f>
        <v>79.712000000000032</v>
      </c>
      <c r="AP66" s="116">
        <f>'Income Statement'!AP33</f>
        <v>73.758000000000195</v>
      </c>
      <c r="AQ66" s="551">
        <f>AP66</f>
        <v>73.758000000000195</v>
      </c>
      <c r="AR66" s="559">
        <f>'Income Statement'!AR33</f>
        <v>79.423999999999907</v>
      </c>
      <c r="AS66" s="116">
        <f>'Income Statement'!AS33</f>
        <v>109.24499999999995</v>
      </c>
      <c r="AT66" s="116">
        <f>'Income Statement'!AT33</f>
        <v>97.890999999999934</v>
      </c>
      <c r="AU66" s="116">
        <f>'Income Statement'!AU33</f>
        <v>70.861999999999881</v>
      </c>
      <c r="AV66" s="551">
        <f>AU66</f>
        <v>70.861999999999881</v>
      </c>
      <c r="AW66" s="559">
        <f>'Income Statement'!AW33</f>
        <v>76.096999999999852</v>
      </c>
      <c r="AX66" s="116">
        <f>'Income Statement'!AX33</f>
        <v>91.318999999999861</v>
      </c>
      <c r="AY66" s="116">
        <f>'Income Statement'!AY33</f>
        <v>98.212999999999795</v>
      </c>
      <c r="AZ66" s="116">
        <f>'Income Statement'!AZ33</f>
        <v>89.228000000000421</v>
      </c>
      <c r="BA66" s="551">
        <f>AZ66</f>
        <v>89.228000000000421</v>
      </c>
      <c r="BB66" s="559">
        <f>'Income Statement'!BB33</f>
        <v>90.694999999999951</v>
      </c>
      <c r="BC66" s="116">
        <f>'Income Statement'!BC33</f>
        <v>102.5190000000001</v>
      </c>
      <c r="BD66" s="116">
        <f>'Income Statement'!BD33</f>
        <v>92.747999999999948</v>
      </c>
      <c r="BE66" s="116">
        <f>'Income Statement'!BE33</f>
        <v>78.119215363428438</v>
      </c>
      <c r="BF66" s="551">
        <f>BE66</f>
        <v>78.119215363428438</v>
      </c>
      <c r="BG66" s="559">
        <f>'Income Statement'!BG33</f>
        <v>116.74929648796635</v>
      </c>
      <c r="BH66" s="116">
        <f>'Income Statement'!BH33</f>
        <v>147.55319473943607</v>
      </c>
      <c r="BI66" s="116">
        <f>'Income Statement'!BI33</f>
        <v>116.43767911285656</v>
      </c>
      <c r="BJ66" s="116">
        <f>'Income Statement'!BJ33</f>
        <v>98.105578992901599</v>
      </c>
      <c r="BK66" s="551">
        <f>BJ66</f>
        <v>98.105578992901599</v>
      </c>
      <c r="BL66" s="559">
        <f>'Income Statement'!BL33</f>
        <v>132.14125325054874</v>
      </c>
      <c r="BM66" s="116">
        <f>'Income Statement'!BM33</f>
        <v>166.45411661557108</v>
      </c>
      <c r="BN66" s="116">
        <f>'Income Statement'!BN33</f>
        <v>161.6093574922543</v>
      </c>
      <c r="BO66" s="116">
        <f>'Income Statement'!BO33</f>
        <v>154.09818646794736</v>
      </c>
      <c r="BP66" s="551">
        <f>BO66</f>
        <v>154.09818646794736</v>
      </c>
      <c r="BQ66" s="559">
        <f>'Income Statement'!BQ33</f>
        <v>157.98665654559878</v>
      </c>
      <c r="BR66" s="116">
        <f>'Income Statement'!BR33</f>
        <v>197.26140213071278</v>
      </c>
      <c r="BS66" s="116">
        <f>'Income Statement'!BS33</f>
        <v>191.29842681376937</v>
      </c>
      <c r="BT66" s="116">
        <f>'Income Statement'!BT33</f>
        <v>180.57495215490815</v>
      </c>
      <c r="BU66" s="551">
        <f>BT66</f>
        <v>180.57495215490815</v>
      </c>
      <c r="BV66" s="559">
        <f>'Income Statement'!BV33</f>
        <v>175.42314320494197</v>
      </c>
      <c r="BW66" s="116">
        <f>'Income Statement'!BW33</f>
        <v>226.50898899882534</v>
      </c>
      <c r="BX66" s="116">
        <f>'Income Statement'!BX33</f>
        <v>217.4352720901137</v>
      </c>
      <c r="BY66" s="116">
        <f>'Income Statement'!BY33</f>
        <v>208.77376179552903</v>
      </c>
      <c r="BZ66" s="551">
        <f>BY66</f>
        <v>208.77376179552903</v>
      </c>
    </row>
    <row r="67" spans="1:78" ht="14.1" customHeight="1" outlineLevel="2" x14ac:dyDescent="0.2">
      <c r="C67" s="565" t="str">
        <f>'Income Statement'!C35</f>
        <v>Discontinued Operations (After-tax)</v>
      </c>
      <c r="E67" s="116">
        <f>'Income Statement'!E35</f>
        <v>0</v>
      </c>
      <c r="F67" s="116">
        <f>'Income Statement'!F35</f>
        <v>0</v>
      </c>
      <c r="G67" s="116">
        <f>'Income Statement'!G35</f>
        <v>0</v>
      </c>
      <c r="H67" s="116">
        <f>'Income Statement'!H35</f>
        <v>0</v>
      </c>
      <c r="I67" s="116">
        <f>'Income Statement'!I35</f>
        <v>0</v>
      </c>
      <c r="J67" s="570">
        <f>'Income Statement'!J35</f>
        <v>0</v>
      </c>
      <c r="O67" s="551"/>
      <c r="P67" s="559"/>
      <c r="Q67" s="551"/>
      <c r="R67" s="210" t="str">
        <f t="shared" si="13"/>
        <v>Discontinued Operations (After-tax)</v>
      </c>
      <c r="S67" s="632"/>
      <c r="T67" s="632"/>
      <c r="U67" s="632"/>
      <c r="V67" s="632"/>
      <c r="W67" s="632"/>
      <c r="X67" s="559">
        <f>'Income Statement'!X35</f>
        <v>0</v>
      </c>
      <c r="Y67" s="116">
        <f>'Income Statement'!Y35</f>
        <v>0</v>
      </c>
      <c r="Z67" s="116">
        <f>'Income Statement'!Z35</f>
        <v>0</v>
      </c>
      <c r="AA67" s="116">
        <f>'Income Statement'!AA35</f>
        <v>0</v>
      </c>
      <c r="AB67" s="551">
        <f>'Income Statement'!AB35</f>
        <v>0</v>
      </c>
      <c r="AC67" s="559">
        <f>'Income Statement'!AC35</f>
        <v>0</v>
      </c>
      <c r="AD67" s="116">
        <f>'Income Statement'!AD35</f>
        <v>0</v>
      </c>
      <c r="AE67" s="116">
        <f>'Income Statement'!AE35</f>
        <v>0</v>
      </c>
      <c r="AF67" s="116">
        <f>'Income Statement'!AF35</f>
        <v>0</v>
      </c>
      <c r="AG67" s="551">
        <f>'Income Statement'!AG35</f>
        <v>0</v>
      </c>
      <c r="AH67" s="559">
        <f>'Income Statement'!AH35</f>
        <v>0</v>
      </c>
      <c r="AI67" s="116">
        <f>'Income Statement'!AI35</f>
        <v>0</v>
      </c>
      <c r="AJ67" s="116">
        <f>'Income Statement'!AJ35</f>
        <v>0</v>
      </c>
      <c r="AK67" s="116">
        <f>'Income Statement'!AK35</f>
        <v>0</v>
      </c>
      <c r="AL67" s="551">
        <f>'Income Statement'!AL35</f>
        <v>0</v>
      </c>
      <c r="AM67" s="559">
        <f>'Income Statement'!AM35</f>
        <v>0</v>
      </c>
      <c r="AN67" s="116">
        <f>'Income Statement'!AN35</f>
        <v>0</v>
      </c>
      <c r="AO67" s="116">
        <f>'Income Statement'!AO35</f>
        <v>0</v>
      </c>
      <c r="AP67" s="116">
        <f>'Income Statement'!AP35</f>
        <v>0</v>
      </c>
      <c r="AQ67" s="551">
        <f>'Income Statement'!AQ35</f>
        <v>0</v>
      </c>
      <c r="AR67" s="559">
        <f>'Income Statement'!AR35</f>
        <v>0</v>
      </c>
      <c r="AS67" s="116">
        <f>'Income Statement'!AS35</f>
        <v>0</v>
      </c>
      <c r="AT67" s="116">
        <f>'Income Statement'!AT35</f>
        <v>0</v>
      </c>
      <c r="AU67" s="116">
        <f>'Income Statement'!AU35</f>
        <v>0</v>
      </c>
      <c r="AV67" s="551">
        <f>'Income Statement'!AV35</f>
        <v>0</v>
      </c>
      <c r="AW67" s="559">
        <f>'Income Statement'!AW35</f>
        <v>0</v>
      </c>
      <c r="AX67" s="116">
        <f>'Income Statement'!AX35</f>
        <v>0</v>
      </c>
      <c r="AY67" s="116">
        <f>'Income Statement'!AY35</f>
        <v>0</v>
      </c>
      <c r="AZ67" s="116">
        <f>'Income Statement'!AZ35</f>
        <v>0</v>
      </c>
      <c r="BA67" s="551">
        <f>'Income Statement'!BA35</f>
        <v>0</v>
      </c>
      <c r="BB67" s="559">
        <f>'Income Statement'!BB35</f>
        <v>0</v>
      </c>
      <c r="BC67" s="116">
        <f>'Income Statement'!BC35</f>
        <v>0</v>
      </c>
      <c r="BD67" s="116">
        <f>'Income Statement'!BD35</f>
        <v>0</v>
      </c>
      <c r="BE67" s="116">
        <f>'Income Statement'!BE35</f>
        <v>0</v>
      </c>
      <c r="BF67" s="551">
        <f>'Income Statement'!BF35</f>
        <v>0</v>
      </c>
      <c r="BG67" s="559">
        <f>'Income Statement'!BG35</f>
        <v>0</v>
      </c>
      <c r="BH67" s="116">
        <f>'Income Statement'!BH35</f>
        <v>0</v>
      </c>
      <c r="BI67" s="116">
        <f>'Income Statement'!BI35</f>
        <v>0</v>
      </c>
      <c r="BJ67" s="116">
        <f>'Income Statement'!BJ35</f>
        <v>0</v>
      </c>
      <c r="BK67" s="551">
        <f>'Income Statement'!BK35</f>
        <v>0</v>
      </c>
      <c r="BL67" s="559">
        <f>'Income Statement'!BL35</f>
        <v>0</v>
      </c>
      <c r="BM67" s="116">
        <f>'Income Statement'!BM35</f>
        <v>0</v>
      </c>
      <c r="BN67" s="116">
        <f>'Income Statement'!BN35</f>
        <v>0</v>
      </c>
      <c r="BO67" s="116">
        <f>'Income Statement'!BO35</f>
        <v>0</v>
      </c>
      <c r="BP67" s="551">
        <f>'Income Statement'!BP35</f>
        <v>0</v>
      </c>
      <c r="BQ67" s="559">
        <f>'Income Statement'!BQ35</f>
        <v>0</v>
      </c>
      <c r="BR67" s="116">
        <f>'Income Statement'!BR35</f>
        <v>0</v>
      </c>
      <c r="BS67" s="116">
        <f>'Income Statement'!BS35</f>
        <v>0</v>
      </c>
      <c r="BT67" s="116">
        <f>'Income Statement'!BT35</f>
        <v>0</v>
      </c>
      <c r="BU67" s="551">
        <f>'Income Statement'!BU35</f>
        <v>0</v>
      </c>
      <c r="BV67" s="559">
        <f>'Income Statement'!BV35</f>
        <v>0</v>
      </c>
      <c r="BW67" s="116">
        <f>'Income Statement'!BW35</f>
        <v>0</v>
      </c>
      <c r="BX67" s="116">
        <f>'Income Statement'!BX35</f>
        <v>0</v>
      </c>
      <c r="BY67" s="116">
        <f>'Income Statement'!BY35</f>
        <v>0</v>
      </c>
      <c r="BZ67" s="551">
        <f>'Income Statement'!BZ35</f>
        <v>0</v>
      </c>
    </row>
    <row r="68" spans="1:78" s="115" customFormat="1" ht="14.1" customHeight="1" outlineLevel="2" x14ac:dyDescent="0.2">
      <c r="A68"/>
      <c r="B68"/>
      <c r="C68" s="565" t="str">
        <f>'Income Statement'!C34</f>
        <v>Extraordinary Items (After-tax)</v>
      </c>
      <c r="E68" s="115">
        <f>'Income Statement'!E34</f>
        <v>0</v>
      </c>
      <c r="F68" s="115">
        <f>'Income Statement'!F34</f>
        <v>0</v>
      </c>
      <c r="G68" s="115">
        <f>'Income Statement'!G34</f>
        <v>0</v>
      </c>
      <c r="H68" s="115">
        <f>'Income Statement'!H34</f>
        <v>0</v>
      </c>
      <c r="I68" s="115">
        <f>'Income Statement'!I34</f>
        <v>0</v>
      </c>
      <c r="J68" s="569">
        <f>'Income Statement'!J34</f>
        <v>0</v>
      </c>
      <c r="O68" s="480"/>
      <c r="P68" s="558"/>
      <c r="Q68" s="480"/>
      <c r="R68" s="210" t="str">
        <f t="shared" si="13"/>
        <v>Extraordinary Items (After-tax)</v>
      </c>
      <c r="S68" s="158"/>
      <c r="T68" s="158"/>
      <c r="U68" s="158"/>
      <c r="V68" s="158"/>
      <c r="W68" s="158"/>
      <c r="X68" s="558">
        <f>'Income Statement'!X34</f>
        <v>0</v>
      </c>
      <c r="Y68" s="115">
        <f>'Income Statement'!Y34</f>
        <v>0</v>
      </c>
      <c r="Z68" s="115">
        <f>'Income Statement'!Z34</f>
        <v>0</v>
      </c>
      <c r="AA68" s="115">
        <f>'Income Statement'!AA34</f>
        <v>0</v>
      </c>
      <c r="AB68" s="480">
        <f>'Income Statement'!AB34</f>
        <v>0</v>
      </c>
      <c r="AC68" s="558">
        <f>'Income Statement'!AC34</f>
        <v>0</v>
      </c>
      <c r="AD68" s="115">
        <f>'Income Statement'!AD34</f>
        <v>0</v>
      </c>
      <c r="AE68" s="115">
        <f>'Income Statement'!AE34</f>
        <v>0</v>
      </c>
      <c r="AF68" s="115">
        <f>'Income Statement'!AF34</f>
        <v>0</v>
      </c>
      <c r="AG68" s="480">
        <f>'Income Statement'!AG34</f>
        <v>0</v>
      </c>
      <c r="AH68" s="558">
        <f>'Income Statement'!AH34</f>
        <v>0</v>
      </c>
      <c r="AI68" s="115">
        <f>'Income Statement'!AI34</f>
        <v>0</v>
      </c>
      <c r="AJ68" s="115">
        <f>'Income Statement'!AJ34</f>
        <v>0</v>
      </c>
      <c r="AK68" s="115">
        <f>'Income Statement'!AK34</f>
        <v>0</v>
      </c>
      <c r="AL68" s="480">
        <f>'Income Statement'!AL34</f>
        <v>0</v>
      </c>
      <c r="AM68" s="558">
        <f>'Income Statement'!AM34</f>
        <v>0</v>
      </c>
      <c r="AN68" s="115">
        <f>'Income Statement'!AN34</f>
        <v>0</v>
      </c>
      <c r="AO68" s="115">
        <f>'Income Statement'!AO34</f>
        <v>0</v>
      </c>
      <c r="AP68" s="115">
        <f>'Income Statement'!AP34</f>
        <v>0</v>
      </c>
      <c r="AQ68" s="480">
        <f>'Income Statement'!AQ34</f>
        <v>0</v>
      </c>
      <c r="AR68" s="558">
        <f>'Income Statement'!AR34</f>
        <v>0</v>
      </c>
      <c r="AS68" s="115">
        <f>'Income Statement'!AS34</f>
        <v>0</v>
      </c>
      <c r="AT68" s="115">
        <f>'Income Statement'!AT34</f>
        <v>0</v>
      </c>
      <c r="AU68" s="115">
        <f>'Income Statement'!AU34</f>
        <v>0</v>
      </c>
      <c r="AV68" s="480">
        <f>'Income Statement'!AV34</f>
        <v>0</v>
      </c>
      <c r="AW68" s="558">
        <f>'Income Statement'!AW34</f>
        <v>0</v>
      </c>
      <c r="AX68" s="115">
        <f>'Income Statement'!AX34</f>
        <v>0</v>
      </c>
      <c r="AY68" s="115">
        <f>'Income Statement'!AY34</f>
        <v>0</v>
      </c>
      <c r="AZ68" s="115">
        <f>'Income Statement'!AZ34</f>
        <v>0</v>
      </c>
      <c r="BA68" s="480">
        <f>'Income Statement'!BA34</f>
        <v>0</v>
      </c>
      <c r="BB68" s="558">
        <f>'Income Statement'!BB34</f>
        <v>0</v>
      </c>
      <c r="BC68" s="115">
        <f>'Income Statement'!BC34</f>
        <v>0</v>
      </c>
      <c r="BD68" s="115">
        <f>'Income Statement'!BD34</f>
        <v>0</v>
      </c>
      <c r="BE68" s="115">
        <f>'Income Statement'!BE34</f>
        <v>0</v>
      </c>
      <c r="BF68" s="480">
        <f>'Income Statement'!BF34</f>
        <v>0</v>
      </c>
      <c r="BG68" s="558">
        <f>'Income Statement'!BG34</f>
        <v>0</v>
      </c>
      <c r="BH68" s="115">
        <f>'Income Statement'!BH34</f>
        <v>0</v>
      </c>
      <c r="BI68" s="115">
        <f>'Income Statement'!BI34</f>
        <v>0</v>
      </c>
      <c r="BJ68" s="115">
        <f>'Income Statement'!BJ34</f>
        <v>0</v>
      </c>
      <c r="BK68" s="480">
        <f>'Income Statement'!BK34</f>
        <v>0</v>
      </c>
      <c r="BL68" s="558">
        <f>'Income Statement'!BL34</f>
        <v>0</v>
      </c>
      <c r="BM68" s="115">
        <f>'Income Statement'!BM34</f>
        <v>0</v>
      </c>
      <c r="BN68" s="115">
        <f>'Income Statement'!BN34</f>
        <v>0</v>
      </c>
      <c r="BO68" s="115">
        <f>'Income Statement'!BO34</f>
        <v>0</v>
      </c>
      <c r="BP68" s="480">
        <f>'Income Statement'!BP34</f>
        <v>0</v>
      </c>
      <c r="BQ68" s="558">
        <f>'Income Statement'!BQ34</f>
        <v>0</v>
      </c>
      <c r="BR68" s="115">
        <f>'Income Statement'!BR34</f>
        <v>0</v>
      </c>
      <c r="BS68" s="115">
        <f>'Income Statement'!BS34</f>
        <v>0</v>
      </c>
      <c r="BT68" s="115">
        <f>'Income Statement'!BT34</f>
        <v>0</v>
      </c>
      <c r="BU68" s="480">
        <f>'Income Statement'!BU34</f>
        <v>0</v>
      </c>
      <c r="BV68" s="558">
        <f>'Income Statement'!BV34</f>
        <v>0</v>
      </c>
      <c r="BW68" s="115">
        <f>'Income Statement'!BW34</f>
        <v>0</v>
      </c>
      <c r="BX68" s="115">
        <f>'Income Statement'!BX34</f>
        <v>0</v>
      </c>
      <c r="BY68" s="115">
        <f>'Income Statement'!BY34</f>
        <v>0</v>
      </c>
      <c r="BZ68" s="480">
        <f>'Income Statement'!BZ34</f>
        <v>0</v>
      </c>
    </row>
    <row r="69" spans="1:78" ht="14.1" customHeight="1" outlineLevel="2" x14ac:dyDescent="0.2">
      <c r="C69" s="618" t="s">
        <v>150</v>
      </c>
      <c r="D69" s="619"/>
      <c r="E69" s="619"/>
      <c r="F69" s="619"/>
      <c r="G69" s="619"/>
      <c r="H69" s="619"/>
      <c r="I69" s="619"/>
      <c r="J69" s="612"/>
      <c r="K69" s="1217"/>
      <c r="L69" s="1217"/>
      <c r="M69" s="1217"/>
      <c r="N69" s="1217"/>
      <c r="O69" s="1218"/>
      <c r="P69" s="1409" t="s">
        <v>581</v>
      </c>
      <c r="Q69" s="1410"/>
      <c r="R69" s="210" t="str">
        <f t="shared" si="13"/>
        <v>Income Directly to Retained Earnings</v>
      </c>
      <c r="S69" s="632"/>
      <c r="T69" s="632"/>
      <c r="U69" s="632"/>
      <c r="V69" s="632"/>
      <c r="W69" s="632"/>
      <c r="X69" s="559"/>
      <c r="AB69" s="551"/>
      <c r="AC69" s="559"/>
      <c r="AG69" s="551"/>
      <c r="AH69" s="559"/>
      <c r="AL69" s="551"/>
      <c r="AM69" s="559"/>
      <c r="AQ69" s="551"/>
      <c r="AR69" s="559"/>
      <c r="AV69" s="551"/>
      <c r="AW69" s="559"/>
      <c r="BA69" s="551"/>
      <c r="BB69" s="559"/>
      <c r="BE69" s="1217"/>
      <c r="BF69" s="1218"/>
      <c r="BG69" s="1219"/>
      <c r="BH69" s="1217"/>
      <c r="BI69" s="1217"/>
      <c r="BJ69" s="1217"/>
      <c r="BK69" s="1218"/>
      <c r="BL69" s="1219"/>
      <c r="BM69" s="1217"/>
      <c r="BN69" s="1217"/>
      <c r="BO69" s="1217"/>
      <c r="BP69" s="1218"/>
      <c r="BQ69" s="1219"/>
      <c r="BR69" s="1217"/>
      <c r="BS69" s="1217"/>
      <c r="BT69" s="1217"/>
      <c r="BU69" s="1218"/>
      <c r="BV69" s="1219"/>
      <c r="BW69" s="1217"/>
      <c r="BX69" s="1217"/>
      <c r="BY69" s="1217"/>
      <c r="BZ69" s="1218"/>
    </row>
    <row r="70" spans="1:78" s="115" customFormat="1" ht="14.1" customHeight="1" outlineLevel="2" x14ac:dyDescent="0.2">
      <c r="A70"/>
      <c r="B70"/>
      <c r="C70" s="620" t="s">
        <v>151</v>
      </c>
      <c r="D70" s="124"/>
      <c r="E70" s="124"/>
      <c r="F70" s="124"/>
      <c r="G70" s="124"/>
      <c r="H70" s="124"/>
      <c r="I70" s="124"/>
      <c r="J70" s="613"/>
      <c r="K70" s="1220"/>
      <c r="L70" s="1220"/>
      <c r="M70" s="1220"/>
      <c r="N70" s="1220"/>
      <c r="O70" s="1221"/>
      <c r="P70" s="1409"/>
      <c r="Q70" s="1410"/>
      <c r="R70" s="210" t="str">
        <f t="shared" si="13"/>
        <v>Common Dividends</v>
      </c>
      <c r="S70" s="158"/>
      <c r="T70" s="158"/>
      <c r="U70" s="158"/>
      <c r="V70" s="158"/>
      <c r="W70" s="158"/>
      <c r="X70" s="558"/>
      <c r="AB70" s="480"/>
      <c r="AC70" s="558"/>
      <c r="AG70" s="480"/>
      <c r="AH70" s="558"/>
      <c r="AL70" s="480"/>
      <c r="AM70" s="558"/>
      <c r="AQ70" s="480"/>
      <c r="AR70" s="558"/>
      <c r="AV70" s="480"/>
      <c r="AW70" s="558"/>
      <c r="BA70" s="480"/>
      <c r="BB70" s="558"/>
      <c r="BE70" s="1220"/>
      <c r="BF70" s="1221"/>
      <c r="BG70" s="1222"/>
      <c r="BH70" s="1220"/>
      <c r="BI70" s="1220"/>
      <c r="BJ70" s="1220"/>
      <c r="BK70" s="1221"/>
      <c r="BL70" s="1222"/>
      <c r="BM70" s="1220"/>
      <c r="BN70" s="1220"/>
      <c r="BO70" s="1220"/>
      <c r="BP70" s="1221"/>
      <c r="BQ70" s="1222"/>
      <c r="BR70" s="1220"/>
      <c r="BS70" s="1220"/>
      <c r="BT70" s="1220"/>
      <c r="BU70" s="1221"/>
      <c r="BV70" s="1222"/>
      <c r="BW70" s="1220"/>
      <c r="BX70" s="1220"/>
      <c r="BY70" s="1220"/>
      <c r="BZ70" s="1221"/>
    </row>
    <row r="71" spans="1:78" ht="14.1" customHeight="1" outlineLevel="2" x14ac:dyDescent="0.2">
      <c r="C71" s="207" t="s">
        <v>152</v>
      </c>
      <c r="E71" s="116">
        <f t="shared" ref="E71:J71" si="97">IFERROR(SUM(E46:E47)-SUM(D46:D47),"NA")</f>
        <v>8.2839999999999918</v>
      </c>
      <c r="F71" s="116">
        <f t="shared" si="97"/>
        <v>6.1329999999999814</v>
      </c>
      <c r="G71" s="116">
        <f t="shared" si="97"/>
        <v>6.7950000000000159</v>
      </c>
      <c r="H71" s="116">
        <f t="shared" si="97"/>
        <v>6.9669999999999845</v>
      </c>
      <c r="I71" s="116">
        <f t="shared" si="97"/>
        <v>2.7330000000000041</v>
      </c>
      <c r="J71" s="570">
        <f t="shared" si="97"/>
        <v>7.7269999999999754</v>
      </c>
      <c r="K71" s="1217">
        <f>IFERROR(SUM(K46:K47)-SUM(J46:J47),"NA")</f>
        <v>8.8867446295892591</v>
      </c>
      <c r="L71" s="1217">
        <f>IFERROR(SUM(L46:L47)-SUM(K46:K47),"NA")</f>
        <v>0.3916529089967753</v>
      </c>
      <c r="M71" s="1217">
        <f>IFERROR(SUM(M46:M47)-SUM(L46:L47),"NA")</f>
        <v>4.0442996740373474</v>
      </c>
      <c r="N71" s="1217">
        <f>IFERROR(SUM(N46:N47)-SUM(M46:M47),"NA")</f>
        <v>4.2309998427122082</v>
      </c>
      <c r="O71" s="1218">
        <f>IFERROR(SUM(O46:O47)-SUM(N46:N47),"NA")</f>
        <v>4.5517520971980048</v>
      </c>
      <c r="P71" s="1409"/>
      <c r="Q71" s="1410"/>
      <c r="R71" s="210" t="str">
        <f t="shared" si="13"/>
        <v>Common Stock Issued</v>
      </c>
      <c r="S71" s="632"/>
      <c r="T71" s="632"/>
      <c r="U71" s="632"/>
      <c r="V71" s="632"/>
      <c r="W71" s="632"/>
      <c r="X71" s="559">
        <f>IFERROR(SUM(X46:X47)-SUM(W46:W47),"NA")</f>
        <v>3.7789999999999964</v>
      </c>
      <c r="Y71" s="116">
        <f>IFERROR(SUM(Y46:Y47)-SUM(X46:X47),"NA")</f>
        <v>2.3029999999999973</v>
      </c>
      <c r="Z71" s="116">
        <f>IFERROR(SUM(Z46:Z47)-SUM(Y46:Y47),"NA")</f>
        <v>0.83000000000001251</v>
      </c>
      <c r="AA71" s="116">
        <f>IFERROR(SUM(AA46:AA47)-SUM(Z46:Z47),"NA")</f>
        <v>1.3719999999999857</v>
      </c>
      <c r="AB71" s="551">
        <f>AA71</f>
        <v>1.3719999999999857</v>
      </c>
      <c r="AC71" s="559">
        <f>IFERROR(SUM(AC46:AC47)-SUM(AB46:AB47),"NA")</f>
        <v>-0.16300000000001091</v>
      </c>
      <c r="AD71" s="116">
        <f>IFERROR(SUM(AD46:AD47)-SUM(AC46:AC47),"NA")</f>
        <v>3.0080000000000382</v>
      </c>
      <c r="AE71" s="116">
        <f>IFERROR(SUM(AE46:AE47)-SUM(AD46:AD47),"NA")</f>
        <v>1.80499999999995</v>
      </c>
      <c r="AF71" s="116">
        <f>IFERROR(SUM(AF46:AF47)-SUM(AE46:AE47),"NA")</f>
        <v>1.4830000000000041</v>
      </c>
      <c r="AG71" s="551">
        <f>AF71</f>
        <v>1.4830000000000041</v>
      </c>
      <c r="AH71" s="559">
        <f>IFERROR(SUM(AH46:AH47)-SUM(AG46:AG47),"NA")</f>
        <v>1.1370000000000005</v>
      </c>
      <c r="AI71" s="116">
        <f>IFERROR(SUM(AI46:AI47)-SUM(AH46:AH47),"NA")</f>
        <v>3.2560000000000286</v>
      </c>
      <c r="AJ71" s="116">
        <f>IFERROR(SUM(AJ46:AJ47)-SUM(AI46:AI47),"NA")</f>
        <v>1.8109999999999786</v>
      </c>
      <c r="AK71" s="116">
        <f>IFERROR(SUM(AK46:AK47)-SUM(AJ46:AJ47),"NA")</f>
        <v>0.59100000000000819</v>
      </c>
      <c r="AL71" s="551">
        <f>AK71</f>
        <v>0.59100000000000819</v>
      </c>
      <c r="AM71" s="559">
        <f>IFERROR(SUM(AM46:AM47)-SUM(AL46:AL47),"NA")</f>
        <v>-0.23599999999999</v>
      </c>
      <c r="AN71" s="116">
        <f>IFERROR(SUM(AN46:AN47)-SUM(AM46:AM47),"NA")</f>
        <v>3.1779999999999973</v>
      </c>
      <c r="AO71" s="116">
        <f>IFERROR(SUM(AO46:AO47)-SUM(AN46:AN47),"NA")</f>
        <v>1.9370000000000118</v>
      </c>
      <c r="AP71" s="116">
        <f>IFERROR(SUM(AP46:AP47)-SUM(AO46:AO47),"NA")</f>
        <v>2.0879999999999654</v>
      </c>
      <c r="AQ71" s="551">
        <f>AP71</f>
        <v>2.0879999999999654</v>
      </c>
      <c r="AR71" s="559">
        <f>IFERROR(SUM(AR46:AR47)-SUM(AQ46:AQ47),"NA")</f>
        <v>-6.8879999999999768</v>
      </c>
      <c r="AS71" s="116">
        <f>IFERROR(SUM(AS46:AS47)-SUM(AR46:AR47),"NA")</f>
        <v>3.6499999999999773</v>
      </c>
      <c r="AT71" s="116">
        <f>IFERROR(SUM(AT46:AT47)-SUM(AS46:AS47),"NA")</f>
        <v>3.9630000000000223</v>
      </c>
      <c r="AU71" s="116">
        <f>IFERROR(SUM(AU46:AU47)-SUM(AT46:AT47),"NA")</f>
        <v>2.0079999999999814</v>
      </c>
      <c r="AV71" s="551">
        <f>AU71</f>
        <v>2.0079999999999814</v>
      </c>
      <c r="AW71" s="559">
        <f>IFERROR(SUM(AW46:AW47)-SUM(AV46:AV47),"NA")</f>
        <v>-4.0910000000000082</v>
      </c>
      <c r="AX71" s="116">
        <f>IFERROR(SUM(AX46:AX47)-SUM(AW46:AW47),"NA")</f>
        <v>3.9340000000000259</v>
      </c>
      <c r="AY71" s="116">
        <f>IFERROR(SUM(AY46:AY47)-SUM(AX46:AX47),"NA")</f>
        <v>4.9669999999999845</v>
      </c>
      <c r="AZ71" s="116">
        <f>IFERROR(SUM(AZ46:AZ47)-SUM(AY46:AY47),"NA")</f>
        <v>2.9169999999999732</v>
      </c>
      <c r="BA71" s="551">
        <f>AZ71</f>
        <v>2.9169999999999732</v>
      </c>
      <c r="BB71" s="559">
        <f>IFERROR(SUM(BB46:BB47)-SUM(BA46:BA47),"NA")</f>
        <v>-3.0020000000000095</v>
      </c>
      <c r="BC71" s="116">
        <f>IFERROR(SUM(BC46:BC47)-SUM(BB46:BB47),"NA")</f>
        <v>5.521000000000015</v>
      </c>
      <c r="BD71" s="116">
        <f>IFERROR(SUM(BD46:BD47)-SUM(BC46:BC47),"NA")</f>
        <v>3.7080000000000268</v>
      </c>
      <c r="BE71" s="1217">
        <f>INDEX($BE$184:$BZ$187,MATCH('Revenue Build'!$O$3,'Revenue Build'!$C$46:$C$49,0),MATCH('Balance Sheet'!BE63,'Balance Sheet'!$BE$63:$BZ$63,0))</f>
        <v>2.6597446295892202</v>
      </c>
      <c r="BF71" s="1218">
        <f>BE71</f>
        <v>2.6597446295892202</v>
      </c>
      <c r="BG71" s="1219">
        <f>INDEX($BG$184:$BZ$187,MATCH('Revenue Build'!$O$3,'Revenue Build'!$C$46:$C$49,0),MATCH('Balance Sheet'!BG63,'Balance Sheet'!$BG$63:$BZ$63,0))</f>
        <v>0</v>
      </c>
      <c r="BH71" s="1217">
        <f>INDEX($BG$184:$BZ$187,MATCH('Revenue Build'!$O$3,'Revenue Build'!$C$46:$C$49,0),MATCH('Balance Sheet'!BH63,'Balance Sheet'!$BG$63:$BZ$63,0))</f>
        <v>0</v>
      </c>
      <c r="BI71" s="1217">
        <f>INDEX($BG$184:$BZ$187,MATCH('Revenue Build'!$O$3,'Revenue Build'!$C$46:$C$49,0),MATCH('Balance Sheet'!BI63,'Balance Sheet'!$BG$63:$BZ$63,0))</f>
        <v>0</v>
      </c>
      <c r="BJ71" s="1217">
        <f>INDEX($BG$184:$BZ$187,MATCH('Revenue Build'!$O$3,'Revenue Build'!$C$46:$C$49,0),MATCH('Balance Sheet'!BJ63,'Balance Sheet'!$BG$63:$BZ$63,0))</f>
        <v>0.391652908996802</v>
      </c>
      <c r="BK71" s="1218">
        <f>BJ71</f>
        <v>0.391652908996802</v>
      </c>
      <c r="BL71" s="1219">
        <f>INDEX($BG$184:$BZ$187,MATCH('Revenue Build'!$O$3,'Revenue Build'!$C$46:$C$49,0),MATCH('Balance Sheet'!BL63,'Balance Sheet'!$BG$63:$BZ$63,0))</f>
        <v>1.0110749185093275</v>
      </c>
      <c r="BM71" s="1217">
        <f>INDEX($BG$184:$BZ$187,MATCH('Revenue Build'!$O$3,'Revenue Build'!$C$46:$C$49,0),MATCH('Balance Sheet'!BM63,'Balance Sheet'!$BG$63:$BZ$63,0))</f>
        <v>1.0110749185093275</v>
      </c>
      <c r="BN71" s="1217">
        <f>INDEX($BG$184:$BZ$187,MATCH('Revenue Build'!$O$3,'Revenue Build'!$C$46:$C$49,0),MATCH('Balance Sheet'!BN63,'Balance Sheet'!$BG$63:$BZ$63,0))</f>
        <v>1.0110749185093275</v>
      </c>
      <c r="BO71" s="1217">
        <f>INDEX($BG$184:$BZ$187,MATCH('Revenue Build'!$O$3,'Revenue Build'!$C$46:$C$49,0),MATCH('Balance Sheet'!BO63,'Balance Sheet'!$BG$63:$BZ$63,0))</f>
        <v>1.0110749185093275</v>
      </c>
      <c r="BP71" s="1218">
        <f>BO71</f>
        <v>1.0110749185093275</v>
      </c>
      <c r="BQ71" s="1219">
        <f>INDEX($BG$184:$BZ$187,MATCH('Revenue Build'!$O$3,'Revenue Build'!$C$46:$C$49,0),MATCH('Balance Sheet'!BQ63,'Balance Sheet'!$BG$63:$BZ$63,0))</f>
        <v>1.0577499606780525</v>
      </c>
      <c r="BR71" s="1217">
        <f>INDEX($BG$184:$BZ$187,MATCH('Revenue Build'!$O$3,'Revenue Build'!$C$46:$C$49,0),MATCH('Balance Sheet'!BR63,'Balance Sheet'!$BG$63:$BZ$63,0))</f>
        <v>1.0577499606780525</v>
      </c>
      <c r="BS71" s="1217">
        <f>INDEX($BG$184:$BZ$187,MATCH('Revenue Build'!$O$3,'Revenue Build'!$C$46:$C$49,0),MATCH('Balance Sheet'!BS63,'Balance Sheet'!$BG$63:$BZ$63,0))</f>
        <v>1.0577499606780525</v>
      </c>
      <c r="BT71" s="1217">
        <f>INDEX($BG$184:$BZ$187,MATCH('Revenue Build'!$O$3,'Revenue Build'!$C$46:$C$49,0),MATCH('Balance Sheet'!BT63,'Balance Sheet'!$BG$63:$BZ$63,0))</f>
        <v>1.0577499606780525</v>
      </c>
      <c r="BU71" s="1218">
        <f>BT71</f>
        <v>1.0577499606780525</v>
      </c>
      <c r="BV71" s="1219">
        <f>INDEX($BG$184:$BZ$187,MATCH('Revenue Build'!$O$3,'Revenue Build'!$C$46:$C$49,0),MATCH('Balance Sheet'!BV63,'Balance Sheet'!$BG$63:$BZ$63,0))</f>
        <v>1.1379380242995101</v>
      </c>
      <c r="BW71" s="1217">
        <f>INDEX($BG$184:$BZ$187,MATCH('Revenue Build'!$O$3,'Revenue Build'!$C$46:$C$49,0),MATCH('Balance Sheet'!BW63,'Balance Sheet'!$BG$63:$BZ$63,0))</f>
        <v>1.1379380242995101</v>
      </c>
      <c r="BX71" s="1217">
        <f>INDEX($BG$184:$BZ$187,MATCH('Revenue Build'!$O$3,'Revenue Build'!$C$46:$C$49,0),MATCH('Balance Sheet'!BX63,'Balance Sheet'!$BG$63:$BZ$63,0))</f>
        <v>1.1379380242995101</v>
      </c>
      <c r="BY71" s="1217">
        <f>INDEX($BG$184:$BZ$187,MATCH('Revenue Build'!$O$3,'Revenue Build'!$C$46:$C$49,0),MATCH('Balance Sheet'!BY63,'Balance Sheet'!$BG$63:$BZ$63,0))</f>
        <v>1.1379380242995101</v>
      </c>
      <c r="BZ71" s="1218">
        <f>BY71</f>
        <v>1.1379380242995101</v>
      </c>
    </row>
    <row r="72" spans="1:78" ht="14.1" customHeight="1" outlineLevel="2" x14ac:dyDescent="0.2">
      <c r="C72" s="565" t="s">
        <v>153</v>
      </c>
      <c r="D72" s="115"/>
      <c r="E72" s="116">
        <f t="shared" ref="E72:O72" si="98">IFERROR(SUM(E48:E49)-SUM(D48:D49),"NA")</f>
        <v>0.10500000000000043</v>
      </c>
      <c r="F72" s="116">
        <f t="shared" si="98"/>
        <v>-0.49000000000000021</v>
      </c>
      <c r="G72" s="116">
        <f t="shared" si="98"/>
        <v>0.92700000000000005</v>
      </c>
      <c r="H72" s="116">
        <f t="shared" si="98"/>
        <v>-1.157</v>
      </c>
      <c r="I72" s="116">
        <f t="shared" si="98"/>
        <v>-1.1470000000000002</v>
      </c>
      <c r="J72" s="570">
        <f t="shared" si="98"/>
        <v>-0.43100000000000005</v>
      </c>
      <c r="K72" s="1217">
        <f t="shared" si="98"/>
        <v>-1.8210641161481789</v>
      </c>
      <c r="L72" s="1217">
        <f t="shared" si="98"/>
        <v>-56.164801754050401</v>
      </c>
      <c r="M72" s="1217">
        <f t="shared" si="98"/>
        <v>-51.382651204216586</v>
      </c>
      <c r="N72" s="1217">
        <f t="shared" si="98"/>
        <v>-408.99522992372306</v>
      </c>
      <c r="O72" s="1218">
        <f t="shared" si="98"/>
        <v>-622.05069593171288</v>
      </c>
      <c r="P72" s="1409"/>
      <c r="Q72" s="1410"/>
      <c r="R72" s="210" t="str">
        <f t="shared" si="13"/>
        <v>Common Stock Repurchased</v>
      </c>
      <c r="S72" s="632"/>
      <c r="T72" s="632"/>
      <c r="U72" s="632"/>
      <c r="V72" s="632"/>
      <c r="W72" s="632"/>
      <c r="X72" s="559">
        <f>IFERROR(SUM(X48:X49)-SUM(W48:W49),"NA")</f>
        <v>-4.0000000000000036E-3</v>
      </c>
      <c r="Y72" s="116">
        <f>IFERROR(SUM(Y48:Y49)-SUM(X48:X49),"NA")</f>
        <v>-4.0000000000000036E-3</v>
      </c>
      <c r="Z72" s="116">
        <f>IFERROR(SUM(Z48:Z49)-SUM(Y48:Y49),"NA")</f>
        <v>0.29200000000000026</v>
      </c>
      <c r="AA72" s="116">
        <f>IFERROR(SUM(AA48:AA49)-SUM(Z48:Z49),"NA")</f>
        <v>-0.17899999999999983</v>
      </c>
      <c r="AB72" s="551">
        <f>AA72</f>
        <v>-0.17899999999999983</v>
      </c>
      <c r="AC72" s="559">
        <f>IFERROR(SUM(AC48:AC49)-SUM(AB48:AB49),"NA")</f>
        <v>-0.31000000000000005</v>
      </c>
      <c r="AD72" s="116">
        <f>IFERROR(SUM(AD48:AD49)-SUM(AC48:AC49),"NA")</f>
        <v>-0.22900000000000009</v>
      </c>
      <c r="AE72" s="116">
        <f>IFERROR(SUM(AE48:AE49)-SUM(AD48:AD49),"NA")</f>
        <v>9.6000000000000085E-2</v>
      </c>
      <c r="AF72" s="116">
        <f>IFERROR(SUM(AF48:AF49)-SUM(AE48:AE49),"NA")</f>
        <v>-4.7000000000000153E-2</v>
      </c>
      <c r="AG72" s="551">
        <f>AF72</f>
        <v>-4.7000000000000153E-2</v>
      </c>
      <c r="AH72" s="559">
        <f>IFERROR(SUM(AH48:AH49)-SUM(AG48:AG49),"NA")</f>
        <v>-1.0870000000000002</v>
      </c>
      <c r="AI72" s="116">
        <f>IFERROR(SUM(AI48:AI49)-SUM(AH48:AH49),"NA")</f>
        <v>-6.9999999999996732E-3</v>
      </c>
      <c r="AJ72" s="116">
        <f>IFERROR(SUM(AJ48:AJ49)-SUM(AI48:AI49),"NA")</f>
        <v>2.5999999999999801E-2</v>
      </c>
      <c r="AK72" s="116">
        <f>IFERROR(SUM(AK48:AK49)-SUM(AJ48:AJ49),"NA")</f>
        <v>1.9950000000000001</v>
      </c>
      <c r="AL72" s="551">
        <f>AK72</f>
        <v>1.9950000000000001</v>
      </c>
      <c r="AM72" s="559">
        <f>IFERROR(SUM(AM48:AM49)-SUM(AL48:AL49),"NA")</f>
        <v>-0.72500000000000009</v>
      </c>
      <c r="AN72" s="116">
        <f>IFERROR(SUM(AN48:AN49)-SUM(AM48:AM49),"NA")</f>
        <v>-0.1120000000000001</v>
      </c>
      <c r="AO72" s="116">
        <f>IFERROR(SUM(AO48:AO49)-SUM(AN48:AN49),"NA")</f>
        <v>-7.7999999999999847E-2</v>
      </c>
      <c r="AP72" s="116">
        <f>IFERROR(SUM(AP48:AP49)-SUM(AO48:AO49),"NA")</f>
        <v>-0.24199999999999999</v>
      </c>
      <c r="AQ72" s="551">
        <f>AP72</f>
        <v>-0.24199999999999999</v>
      </c>
      <c r="AR72" s="559">
        <f>IFERROR(SUM(AR48:AR49)-SUM(AQ48:AQ49),"NA")</f>
        <v>-1.3790000000000004</v>
      </c>
      <c r="AS72" s="116">
        <f>IFERROR(SUM(AS48:AS49)-SUM(AR48:AR49),"NA")</f>
        <v>-0.62299999999999933</v>
      </c>
      <c r="AT72" s="116">
        <f>IFERROR(SUM(AT48:AT49)-SUM(AS48:AS49),"NA")</f>
        <v>0.86599999999999966</v>
      </c>
      <c r="AU72" s="116">
        <f>IFERROR(SUM(AU48:AU49)-SUM(AT48:AT49),"NA")</f>
        <v>-1.1000000000000121E-2</v>
      </c>
      <c r="AV72" s="551">
        <f>AU72</f>
        <v>-1.1000000000000121E-2</v>
      </c>
      <c r="AW72" s="559">
        <f>IFERROR(SUM(AW48:AW49)-SUM(AV48:AV49),"NA")</f>
        <v>-0.40700000000000003</v>
      </c>
      <c r="AX72" s="116">
        <f>IFERROR(SUM(AX48:AX49)-SUM(AW48:AW49),"NA")</f>
        <v>2.8999999999999915E-2</v>
      </c>
      <c r="AY72" s="116">
        <f>IFERROR(SUM(AY48:AY49)-SUM(AX48:AX49),"NA")</f>
        <v>6.0999999999999943E-2</v>
      </c>
      <c r="AZ72" s="116">
        <f>IFERROR(SUM(AZ48:AZ49)-SUM(AY48:AY49),"NA")</f>
        <v>-0.11399999999999988</v>
      </c>
      <c r="BA72" s="551">
        <f>AZ72</f>
        <v>-0.11399999999999988</v>
      </c>
      <c r="BB72" s="559">
        <f>IFERROR(SUM(BB48:BB49)-SUM(BA48:BA49),"NA")</f>
        <v>-0.24899999999999967</v>
      </c>
      <c r="BC72" s="116">
        <f>IFERROR(SUM(BC48:BC49)-SUM(BB48:BB49),"NA")</f>
        <v>-0.89200000000000035</v>
      </c>
      <c r="BD72" s="116">
        <f>IFERROR(SUM(BD48:BD49)-SUM(BC48:BC49),"NA")</f>
        <v>-1.0569999999999995</v>
      </c>
      <c r="BE72" s="1217">
        <f>INDEX($BE$189:$BZ$192,MATCH('Revenue Build'!$O$3,'Revenue Build'!$C$46:$C$49,0),MATCH('Balance Sheet'!BE63,'Balance Sheet'!$BE$63:$BZ$63,0))</f>
        <v>-0.67266822928745995</v>
      </c>
      <c r="BF72" s="1218">
        <f>BE72</f>
        <v>-0.67266822928745995</v>
      </c>
      <c r="BG72" s="1219">
        <f>INDEX($BG$189:$BZ$192,MATCH('Revenue Build'!$O$3,'Revenue Build'!$C$46:$C$49,0),MATCH('Balance Sheet'!BG63,'Balance Sheet'!$BG$63:$BZ$63,0))</f>
        <v>0</v>
      </c>
      <c r="BH72" s="1217">
        <f>INDEX($BG$189:$BZ$192,MATCH('Revenue Build'!$O$3,'Revenue Build'!$C$46:$C$49,0),MATCH('Balance Sheet'!BH63,'Balance Sheet'!$BG$63:$BZ$63,0))</f>
        <v>0</v>
      </c>
      <c r="BI72" s="1217">
        <f>INDEX($BG$189:$BZ$192,MATCH('Revenue Build'!$O$3,'Revenue Build'!$C$46:$C$49,0),MATCH('Balance Sheet'!BI63,'Balance Sheet'!$BG$63:$BZ$63,0))</f>
        <v>0</v>
      </c>
      <c r="BJ72" s="1217">
        <f>INDEX($BG$189:$BZ$192,MATCH('Revenue Build'!$O$3,'Revenue Build'!$C$46:$C$49,0),MATCH('Balance Sheet'!BJ63,'Balance Sheet'!$BG$63:$BZ$63,0))</f>
        <v>0</v>
      </c>
      <c r="BK72" s="1218">
        <f>BJ72</f>
        <v>0</v>
      </c>
      <c r="BL72" s="1219">
        <f>INDEX($BG$189:$BZ$192,MATCH('Revenue Build'!$O$3,'Revenue Build'!$C$46:$C$49,0),MATCH('Balance Sheet'!BL63,'Balance Sheet'!$BG$63:$BZ$63,0))</f>
        <v>0</v>
      </c>
      <c r="BM72" s="1217">
        <f>INDEX($BG$189:$BZ$192,MATCH('Revenue Build'!$O$3,'Revenue Build'!$C$46:$C$49,0),MATCH('Balance Sheet'!BM63,'Balance Sheet'!$BG$63:$BZ$63,0))</f>
        <v>0</v>
      </c>
      <c r="BN72" s="1217">
        <f>INDEX($BG$189:$BZ$192,MATCH('Revenue Build'!$O$3,'Revenue Build'!$C$46:$C$49,0),MATCH('Balance Sheet'!BN63,'Balance Sheet'!$BG$63:$BZ$63,0))</f>
        <v>0</v>
      </c>
      <c r="BO72" s="1217">
        <f>INDEX($BG$189:$BZ$192,MATCH('Revenue Build'!$O$3,'Revenue Build'!$C$46:$C$49,0),MATCH('Balance Sheet'!BO63,'Balance Sheet'!$BG$63:$BZ$63,0))</f>
        <v>0</v>
      </c>
      <c r="BP72" s="1218">
        <f>BO72</f>
        <v>0</v>
      </c>
      <c r="BQ72" s="1219">
        <f>INDEX($BG$189:$BZ$192,MATCH('Revenue Build'!$O$3,'Revenue Build'!$C$46:$C$49,0),MATCH('Balance Sheet'!BQ63,'Balance Sheet'!$BG$63:$BZ$63,0))</f>
        <v>0</v>
      </c>
      <c r="BR72" s="1217">
        <f>INDEX($BG$189:$BZ$192,MATCH('Revenue Build'!$O$3,'Revenue Build'!$C$46:$C$49,0),MATCH('Balance Sheet'!BR63,'Balance Sheet'!$BG$63:$BZ$63,0))</f>
        <v>0</v>
      </c>
      <c r="BS72" s="1217">
        <f>INDEX($BG$189:$BZ$192,MATCH('Revenue Build'!$O$3,'Revenue Build'!$C$46:$C$49,0),MATCH('Balance Sheet'!BS63,'Balance Sheet'!$BG$63:$BZ$63,0))</f>
        <v>0</v>
      </c>
      <c r="BT72" s="1217">
        <f>INDEX($BG$189:$BZ$192,MATCH('Revenue Build'!$O$3,'Revenue Build'!$C$46:$C$49,0),MATCH('Balance Sheet'!BT63,'Balance Sheet'!$BG$63:$BZ$63,0))</f>
        <v>0</v>
      </c>
      <c r="BU72" s="1218">
        <f>BT72</f>
        <v>0</v>
      </c>
      <c r="BV72" s="1219">
        <f>INDEX($BG$189:$BZ$192,MATCH('Revenue Build'!$O$3,'Revenue Build'!$C$46:$C$49,0),MATCH('Balance Sheet'!BV63,'Balance Sheet'!$BG$63:$BZ$63,0))</f>
        <v>0</v>
      </c>
      <c r="BW72" s="1217">
        <f>INDEX($BG$189:$BZ$192,MATCH('Revenue Build'!$O$3,'Revenue Build'!$C$46:$C$49,0),MATCH('Balance Sheet'!BW63,'Balance Sheet'!$BG$63:$BZ$63,0))</f>
        <v>0</v>
      </c>
      <c r="BX72" s="1217">
        <f>INDEX($BG$189:$BZ$192,MATCH('Revenue Build'!$O$3,'Revenue Build'!$C$46:$C$49,0),MATCH('Balance Sheet'!BX63,'Balance Sheet'!$BG$63:$BZ$63,0))</f>
        <v>0</v>
      </c>
      <c r="BY72" s="1217">
        <f>INDEX($BG$189:$BZ$192,MATCH('Revenue Build'!$O$3,'Revenue Build'!$C$46:$C$49,0),MATCH('Balance Sheet'!BY63,'Balance Sheet'!$BG$63:$BZ$63,0))</f>
        <v>0</v>
      </c>
      <c r="BZ72" s="1218">
        <f>BY72</f>
        <v>0</v>
      </c>
    </row>
    <row r="73" spans="1:78" ht="14.1" customHeight="1" outlineLevel="2" x14ac:dyDescent="0.2">
      <c r="C73" s="207" t="s">
        <v>566</v>
      </c>
      <c r="J73" s="570"/>
      <c r="K73" s="1217"/>
      <c r="L73" s="1217"/>
      <c r="M73" s="1217"/>
      <c r="N73" s="1217"/>
      <c r="O73" s="1218"/>
      <c r="P73" s="1409"/>
      <c r="Q73" s="1410"/>
      <c r="R73" s="210" t="str">
        <f t="shared" si="13"/>
        <v>Changes In Treasury Stock</v>
      </c>
      <c r="S73" s="632"/>
      <c r="T73" s="632"/>
      <c r="U73" s="632"/>
      <c r="V73" s="632"/>
      <c r="W73" s="632"/>
      <c r="X73" s="559"/>
      <c r="AB73" s="551"/>
      <c r="AC73" s="559"/>
      <c r="AG73" s="551"/>
      <c r="AH73" s="559"/>
      <c r="AL73" s="551"/>
      <c r="AM73" s="559"/>
      <c r="AQ73" s="551"/>
      <c r="AR73" s="559"/>
      <c r="AV73" s="551"/>
      <c r="AW73" s="559"/>
      <c r="BA73" s="551"/>
      <c r="BB73" s="559"/>
      <c r="BE73" s="1217">
        <f>INDEX($BE$194:$BZ$197,MATCH('Revenue Build'!$O$3,'Revenue Build'!$C$46:$C$49,0),MATCH('Balance Sheet'!BE63,'Balance Sheet'!$BE$63:$BZ$63,0))</f>
        <v>1.0496041131392799</v>
      </c>
      <c r="BF73" s="1218">
        <f>BE73</f>
        <v>1.0496041131392799</v>
      </c>
      <c r="BG73" s="1219">
        <f>INDEX($BG$194:$BZ$197,MATCH('Revenue Build'!$O$3,'Revenue Build'!$C$46:$C$49,0),MATCH('Balance Sheet'!BG63,'Balance Sheet'!$BG$63:$BZ$63,0))</f>
        <v>-14.0412004385126</v>
      </c>
      <c r="BH73" s="1217">
        <f>INDEX($BG$194:$BZ$197,MATCH('Revenue Build'!$O$3,'Revenue Build'!$C$46:$C$49,0),MATCH('Balance Sheet'!BH63,'Balance Sheet'!$BG$63:$BZ$63,0))</f>
        <v>-14.0412004385126</v>
      </c>
      <c r="BI73" s="1217">
        <f>INDEX($BG$194:$BZ$197,MATCH('Revenue Build'!$O$3,'Revenue Build'!$C$46:$C$49,0),MATCH('Balance Sheet'!BI63,'Balance Sheet'!$BG$63:$BZ$63,0))</f>
        <v>-14.0412004385126</v>
      </c>
      <c r="BJ73" s="1217">
        <f>INDEX($BG$194:$BZ$197,MATCH('Revenue Build'!$O$3,'Revenue Build'!$C$46:$C$49,0),MATCH('Balance Sheet'!BJ63,'Balance Sheet'!$BG$63:$BZ$63,0))</f>
        <v>-14.0412004385126</v>
      </c>
      <c r="BK73" s="1218">
        <f>BJ73</f>
        <v>-14.0412004385126</v>
      </c>
      <c r="BL73" s="1219">
        <f>INDEX($BG$194:$BZ$197,MATCH('Revenue Build'!$O$3,'Revenue Build'!$C$46:$C$49,0),MATCH('Balance Sheet'!BL63,'Balance Sheet'!$BG$63:$BZ$63,0))</f>
        <v>-12.84566280105415</v>
      </c>
      <c r="BM73" s="1217">
        <f>INDEX($BG$194:$BZ$197,MATCH('Revenue Build'!$O$3,'Revenue Build'!$C$46:$C$49,0),MATCH('Balance Sheet'!BM63,'Balance Sheet'!$BG$63:$BZ$63,0))</f>
        <v>-12.84566280105415</v>
      </c>
      <c r="BN73" s="1217">
        <f>INDEX($BG$194:$BZ$197,MATCH('Revenue Build'!$O$3,'Revenue Build'!$C$46:$C$49,0),MATCH('Balance Sheet'!BN63,'Balance Sheet'!$BG$63:$BZ$63,0))</f>
        <v>-12.84566280105415</v>
      </c>
      <c r="BO73" s="1217">
        <f>INDEX($BG$194:$BZ$197,MATCH('Revenue Build'!$O$3,'Revenue Build'!$C$46:$C$49,0),MATCH('Balance Sheet'!BO63,'Balance Sheet'!$BG$63:$BZ$63,0))</f>
        <v>-12.84566280105415</v>
      </c>
      <c r="BP73" s="1218">
        <f>BO73</f>
        <v>-12.84566280105415</v>
      </c>
      <c r="BQ73" s="1219">
        <f>INDEX($BG$194:$BZ$197,MATCH('Revenue Build'!$O$3,'Revenue Build'!$C$46:$C$49,0),MATCH('Balance Sheet'!BQ63,'Balance Sheet'!$BG$63:$BZ$63,0))</f>
        <v>-102.24880748093075</v>
      </c>
      <c r="BR73" s="1217">
        <f>INDEX($BG$194:$BZ$197,MATCH('Revenue Build'!$O$3,'Revenue Build'!$C$46:$C$49,0),MATCH('Balance Sheet'!BR63,'Balance Sheet'!$BG$63:$BZ$63,0))</f>
        <v>-102.24880748093075</v>
      </c>
      <c r="BS73" s="1217">
        <f>INDEX($BG$194:$BZ$197,MATCH('Revenue Build'!$O$3,'Revenue Build'!$C$46:$C$49,0),MATCH('Balance Sheet'!BS63,'Balance Sheet'!$BG$63:$BZ$63,0))</f>
        <v>-102.24880748093075</v>
      </c>
      <c r="BT73" s="1217">
        <f>INDEX($BG$194:$BZ$197,MATCH('Revenue Build'!$O$3,'Revenue Build'!$C$46:$C$49,0),MATCH('Balance Sheet'!BT63,'Balance Sheet'!$BG$63:$BZ$63,0))</f>
        <v>-102.24880748093075</v>
      </c>
      <c r="BU73" s="1218">
        <f>BT73</f>
        <v>-102.24880748093075</v>
      </c>
      <c r="BV73" s="1219">
        <f>INDEX($BG$194:$BZ$197,MATCH('Revenue Build'!$O$3,'Revenue Build'!$C$46:$C$49,0),MATCH('Balance Sheet'!BV63,'Balance Sheet'!$BG$63:$BZ$63,0))</f>
        <v>-155.51267398292825</v>
      </c>
      <c r="BW73" s="1217">
        <f>INDEX($BG$194:$BZ$197,MATCH('Revenue Build'!$O$3,'Revenue Build'!$C$46:$C$49,0),MATCH('Balance Sheet'!BW63,'Balance Sheet'!$BG$63:$BZ$63,0))</f>
        <v>-155.51267398292825</v>
      </c>
      <c r="BX73" s="1217">
        <f>INDEX($BG$194:$BZ$197,MATCH('Revenue Build'!$O$3,'Revenue Build'!$C$46:$C$49,0),MATCH('Balance Sheet'!BX63,'Balance Sheet'!$BG$63:$BZ$63,0))</f>
        <v>-155.51267398292825</v>
      </c>
      <c r="BY73" s="1217">
        <f>INDEX($BG$194:$BZ$197,MATCH('Revenue Build'!$O$3,'Revenue Build'!$C$46:$C$49,0),MATCH('Balance Sheet'!BY63,'Balance Sheet'!$BG$63:$BZ$63,0))</f>
        <v>-155.51267398292825</v>
      </c>
      <c r="BZ73" s="1218">
        <f>BY73</f>
        <v>-155.51267398292825</v>
      </c>
    </row>
    <row r="74" spans="1:78" ht="14.1" customHeight="1" outlineLevel="1" x14ac:dyDescent="0.2">
      <c r="C74" s="621" t="s">
        <v>154</v>
      </c>
      <c r="D74" s="125"/>
      <c r="E74" s="126">
        <f t="shared" ref="E74:O74" si="99">IFERROR(SUM(E65:E73),"NM")</f>
        <v>695.86400000000015</v>
      </c>
      <c r="F74" s="126">
        <f t="shared" si="99"/>
        <v>815.22600000000011</v>
      </c>
      <c r="G74" s="126">
        <f t="shared" si="99"/>
        <v>961.28800000000035</v>
      </c>
      <c r="H74" s="126">
        <f t="shared" si="99"/>
        <v>1220.3330000000003</v>
      </c>
      <c r="I74" s="126">
        <f t="shared" si="99"/>
        <v>1579.3409999999999</v>
      </c>
      <c r="J74" s="614">
        <f t="shared" si="99"/>
        <v>1941.4940000000001</v>
      </c>
      <c r="K74" s="126">
        <f t="shared" si="99"/>
        <v>2312.6408958768698</v>
      </c>
      <c r="L74" s="126">
        <f t="shared" si="99"/>
        <v>2735.7134963649764</v>
      </c>
      <c r="M74" s="126">
        <f t="shared" si="99"/>
        <v>3302.6780586611198</v>
      </c>
      <c r="N74" s="126">
        <f t="shared" si="99"/>
        <v>3625.0352662250984</v>
      </c>
      <c r="O74" s="622">
        <f t="shared" si="99"/>
        <v>3835.6774884799943</v>
      </c>
      <c r="P74" s="1409"/>
      <c r="Q74" s="1410"/>
      <c r="R74" s="633" t="str">
        <f t="shared" si="13"/>
        <v>Ending Common Equity</v>
      </c>
      <c r="S74" s="159"/>
      <c r="T74" s="159"/>
      <c r="U74" s="159"/>
      <c r="V74" s="159"/>
      <c r="W74" s="159"/>
      <c r="X74" s="635">
        <f>IFERROR(SUM(X65:X73),"NM")</f>
        <v>607.39400000000012</v>
      </c>
      <c r="Y74" s="126">
        <f>IFERROR(SUM(Y65:Y73),"NM")</f>
        <v>639.97399999999993</v>
      </c>
      <c r="Z74" s="126">
        <f>IFERROR(SUM(Z65:Z73),"NM")</f>
        <v>669.29100000000005</v>
      </c>
      <c r="AA74" s="126">
        <f>IFERROR(SUM(AA65:AA73),"NM")</f>
        <v>695.86399999999981</v>
      </c>
      <c r="AB74" s="622">
        <f>IFERROR(SUM(AB65:AB73),"NM")</f>
        <v>695.86399999999981</v>
      </c>
      <c r="AC74" s="635">
        <f t="shared" ref="AC74:BA74" si="100">IFERROR(SUM(AC65:AC73),"NM")</f>
        <v>717.65</v>
      </c>
      <c r="AD74" s="126">
        <f t="shared" si="100"/>
        <v>757.50199999999984</v>
      </c>
      <c r="AE74" s="126">
        <f t="shared" si="100"/>
        <v>792.37099999999975</v>
      </c>
      <c r="AF74" s="126">
        <f t="shared" si="100"/>
        <v>815.22599999999966</v>
      </c>
      <c r="AG74" s="622">
        <f t="shared" si="100"/>
        <v>815.22599999999966</v>
      </c>
      <c r="AH74" s="635">
        <f t="shared" si="100"/>
        <v>843.38699999999972</v>
      </c>
      <c r="AI74" s="126">
        <f t="shared" si="100"/>
        <v>875.0899999999998</v>
      </c>
      <c r="AJ74" s="126">
        <f t="shared" si="100"/>
        <v>918.46599999999955</v>
      </c>
      <c r="AK74" s="126">
        <f t="shared" si="100"/>
        <v>961.28799999999978</v>
      </c>
      <c r="AL74" s="622">
        <f t="shared" si="100"/>
        <v>961.28799999999978</v>
      </c>
      <c r="AM74" s="635">
        <f t="shared" si="100"/>
        <v>997.61799999999971</v>
      </c>
      <c r="AN74" s="126">
        <f t="shared" si="100"/>
        <v>1063.1579999999994</v>
      </c>
      <c r="AO74" s="126">
        <f t="shared" si="100"/>
        <v>1144.7289999999998</v>
      </c>
      <c r="AP74" s="126">
        <f t="shared" si="100"/>
        <v>1220.3330000000001</v>
      </c>
      <c r="AQ74" s="622">
        <f t="shared" si="100"/>
        <v>1220.3330000000001</v>
      </c>
      <c r="AR74" s="635">
        <f t="shared" si="100"/>
        <v>1291.49</v>
      </c>
      <c r="AS74" s="126">
        <f t="shared" si="100"/>
        <v>1403.7619999999997</v>
      </c>
      <c r="AT74" s="126">
        <f t="shared" si="100"/>
        <v>1506.4819999999995</v>
      </c>
      <c r="AU74" s="126">
        <f t="shared" si="100"/>
        <v>1579.3409999999994</v>
      </c>
      <c r="AV74" s="622">
        <f t="shared" si="100"/>
        <v>1579.3409999999994</v>
      </c>
      <c r="AW74" s="635">
        <f t="shared" si="100"/>
        <v>1650.9399999999994</v>
      </c>
      <c r="AX74" s="126">
        <f t="shared" si="100"/>
        <v>1746.2219999999991</v>
      </c>
      <c r="AY74" s="126">
        <f t="shared" si="100"/>
        <v>1849.4629999999991</v>
      </c>
      <c r="AZ74" s="126">
        <f t="shared" si="100"/>
        <v>1941.4939999999992</v>
      </c>
      <c r="BA74" s="622">
        <f t="shared" si="100"/>
        <v>1941.4939999999992</v>
      </c>
      <c r="BB74" s="635">
        <f>IFERROR(SUM(BB65:BB73),"NM")</f>
        <v>2028.9379999999994</v>
      </c>
      <c r="BC74" s="126">
        <f>IFERROR(SUM(BC65:BC73),"NM")</f>
        <v>2136.0859999999998</v>
      </c>
      <c r="BD74" s="126">
        <f>IFERROR(SUM(BD65:BD73),"NM")</f>
        <v>2231.4849999999997</v>
      </c>
      <c r="BE74" s="126">
        <f>IFERROR(SUM(BE65:BE73),"NM")</f>
        <v>2312.6408958768684</v>
      </c>
      <c r="BF74" s="622">
        <f>IFERROR(SUM(BF65:BF73),"NM")</f>
        <v>2312.6408958768684</v>
      </c>
      <c r="BG74" s="635">
        <f t="shared" ref="BG74:BZ74" si="101">IFERROR(SUM(BG65:BG73),"NM")</f>
        <v>2415.3489919263225</v>
      </c>
      <c r="BH74" s="126">
        <f t="shared" si="101"/>
        <v>2548.860986227246</v>
      </c>
      <c r="BI74" s="126">
        <f t="shared" si="101"/>
        <v>2651.2574649015901</v>
      </c>
      <c r="BJ74" s="126">
        <f t="shared" si="101"/>
        <v>2735.713496364976</v>
      </c>
      <c r="BK74" s="622">
        <f t="shared" si="101"/>
        <v>2735.713496364976</v>
      </c>
      <c r="BL74" s="635">
        <f t="shared" si="101"/>
        <v>2856.0201617329794</v>
      </c>
      <c r="BM74" s="126">
        <f t="shared" si="101"/>
        <v>3010.6396904660055</v>
      </c>
      <c r="BN74" s="126">
        <f t="shared" si="101"/>
        <v>3160.4144600757149</v>
      </c>
      <c r="BO74" s="126">
        <f t="shared" si="101"/>
        <v>3302.6780586611176</v>
      </c>
      <c r="BP74" s="622">
        <f t="shared" si="101"/>
        <v>3302.6780586611176</v>
      </c>
      <c r="BQ74" s="635">
        <f t="shared" si="101"/>
        <v>3359.4736576864639</v>
      </c>
      <c r="BR74" s="126">
        <f t="shared" si="101"/>
        <v>3455.5440022969237</v>
      </c>
      <c r="BS74" s="126">
        <f t="shared" si="101"/>
        <v>3545.6513715904402</v>
      </c>
      <c r="BT74" s="126">
        <f t="shared" si="101"/>
        <v>3625.0352662250957</v>
      </c>
      <c r="BU74" s="622">
        <f t="shared" si="101"/>
        <v>3625.0352662250957</v>
      </c>
      <c r="BV74" s="635">
        <f t="shared" si="101"/>
        <v>3646.0836734714089</v>
      </c>
      <c r="BW74" s="126">
        <f t="shared" si="101"/>
        <v>3718.2179265116056</v>
      </c>
      <c r="BX74" s="126">
        <f t="shared" si="101"/>
        <v>3781.2784626430912</v>
      </c>
      <c r="BY74" s="126">
        <f t="shared" si="101"/>
        <v>3835.6774884799906</v>
      </c>
      <c r="BZ74" s="622">
        <f t="shared" si="101"/>
        <v>3835.6774884799906</v>
      </c>
    </row>
    <row r="75" spans="1:78" ht="14.1" customHeight="1" outlineLevel="1" x14ac:dyDescent="0.2">
      <c r="C75" s="623" t="s">
        <v>155</v>
      </c>
      <c r="D75" s="126"/>
      <c r="E75" s="126" t="str">
        <f>IF(E74&lt;&gt;E51,"Error!","$0")</f>
        <v>$0</v>
      </c>
      <c r="F75" s="126" t="str">
        <f>IF(F74&lt;&gt;F51,"Error!","$0")</f>
        <v>$0</v>
      </c>
      <c r="G75" s="126" t="str">
        <f t="shared" ref="G75:N75" si="102">IF(ROUND(G74,2)&lt;&gt;ROUND(G51,2),"Error!","$0")</f>
        <v>$0</v>
      </c>
      <c r="H75" s="126" t="str">
        <f t="shared" si="102"/>
        <v>$0</v>
      </c>
      <c r="I75" s="126" t="str">
        <f t="shared" si="102"/>
        <v>$0</v>
      </c>
      <c r="J75" s="614" t="str">
        <f t="shared" si="102"/>
        <v>$0</v>
      </c>
      <c r="K75" s="126" t="str">
        <f t="shared" si="102"/>
        <v>$0</v>
      </c>
      <c r="L75" s="126" t="str">
        <f t="shared" si="102"/>
        <v>$0</v>
      </c>
      <c r="M75" s="126" t="str">
        <f t="shared" si="102"/>
        <v>$0</v>
      </c>
      <c r="N75" s="126" t="str">
        <f t="shared" si="102"/>
        <v>$0</v>
      </c>
      <c r="O75" s="622" t="str">
        <f>IF(ROUND(O74,2)&lt;&gt;ROUND(O51,2),"Error!","$0")</f>
        <v>$0</v>
      </c>
      <c r="P75" s="1409"/>
      <c r="Q75" s="1410"/>
      <c r="R75" s="633" t="str">
        <f t="shared" si="13"/>
        <v xml:space="preserve">Audit </v>
      </c>
      <c r="S75" s="159"/>
      <c r="T75" s="159"/>
      <c r="U75" s="159"/>
      <c r="V75" s="159"/>
      <c r="W75" s="159"/>
      <c r="X75" s="635" t="str">
        <f t="shared" ref="X75:AQ75" si="103">IF(X74&lt;&gt;X51,"Error!","$0")</f>
        <v>$0</v>
      </c>
      <c r="Y75" s="126" t="str">
        <f t="shared" si="103"/>
        <v>$0</v>
      </c>
      <c r="Z75" s="126" t="str">
        <f t="shared" si="103"/>
        <v>$0</v>
      </c>
      <c r="AA75" s="126" t="str">
        <f t="shared" si="103"/>
        <v>$0</v>
      </c>
      <c r="AB75" s="622" t="str">
        <f t="shared" si="103"/>
        <v>$0</v>
      </c>
      <c r="AC75" s="635" t="str">
        <f t="shared" si="103"/>
        <v>$0</v>
      </c>
      <c r="AD75" s="126" t="str">
        <f t="shared" si="103"/>
        <v>$0</v>
      </c>
      <c r="AE75" s="126" t="str">
        <f t="shared" si="103"/>
        <v>$0</v>
      </c>
      <c r="AF75" s="126" t="str">
        <f t="shared" si="103"/>
        <v>$0</v>
      </c>
      <c r="AG75" s="622" t="str">
        <f t="shared" si="103"/>
        <v>$0</v>
      </c>
      <c r="AH75" s="635" t="str">
        <f t="shared" si="103"/>
        <v>$0</v>
      </c>
      <c r="AI75" s="126" t="str">
        <f t="shared" si="103"/>
        <v>$0</v>
      </c>
      <c r="AJ75" s="126" t="str">
        <f t="shared" si="103"/>
        <v>$0</v>
      </c>
      <c r="AK75" s="126" t="str">
        <f t="shared" si="103"/>
        <v>$0</v>
      </c>
      <c r="AL75" s="622" t="str">
        <f t="shared" si="103"/>
        <v>$0</v>
      </c>
      <c r="AM75" s="635" t="str">
        <f t="shared" si="103"/>
        <v>$0</v>
      </c>
      <c r="AN75" s="126" t="str">
        <f t="shared" si="103"/>
        <v>$0</v>
      </c>
      <c r="AO75" s="126" t="str">
        <f t="shared" si="103"/>
        <v>$0</v>
      </c>
      <c r="AP75" s="126" t="str">
        <f t="shared" si="103"/>
        <v>$0</v>
      </c>
      <c r="AQ75" s="622" t="str">
        <f t="shared" si="103"/>
        <v>$0</v>
      </c>
      <c r="AR75" s="635" t="str">
        <f>IF(ROUND(AR74,2)&lt;&gt;ROUND(AR51,2),"Error!","$0")</f>
        <v>$0</v>
      </c>
      <c r="AS75" s="126" t="str">
        <f t="shared" ref="AS75:BZ75" si="104">IF(ROUND(AS74,2)&lt;&gt;ROUND(AS51,2),"Error!","$0")</f>
        <v>$0</v>
      </c>
      <c r="AT75" s="126" t="str">
        <f t="shared" si="104"/>
        <v>$0</v>
      </c>
      <c r="AU75" s="126" t="str">
        <f t="shared" si="104"/>
        <v>$0</v>
      </c>
      <c r="AV75" s="622" t="str">
        <f t="shared" si="104"/>
        <v>$0</v>
      </c>
      <c r="AW75" s="635" t="str">
        <f t="shared" si="104"/>
        <v>$0</v>
      </c>
      <c r="AX75" s="126" t="str">
        <f t="shared" si="104"/>
        <v>$0</v>
      </c>
      <c r="AY75" s="126" t="str">
        <f t="shared" si="104"/>
        <v>$0</v>
      </c>
      <c r="AZ75" s="126" t="str">
        <f t="shared" si="104"/>
        <v>$0</v>
      </c>
      <c r="BA75" s="622" t="str">
        <f t="shared" si="104"/>
        <v>$0</v>
      </c>
      <c r="BB75" s="635" t="str">
        <f t="shared" si="104"/>
        <v>$0</v>
      </c>
      <c r="BC75" s="126" t="str">
        <f t="shared" si="104"/>
        <v>$0</v>
      </c>
      <c r="BD75" s="126" t="str">
        <f t="shared" si="104"/>
        <v>$0</v>
      </c>
      <c r="BE75" s="126" t="str">
        <f t="shared" si="104"/>
        <v>$0</v>
      </c>
      <c r="BF75" s="622" t="str">
        <f t="shared" si="104"/>
        <v>$0</v>
      </c>
      <c r="BG75" s="635" t="str">
        <f t="shared" si="104"/>
        <v>$0</v>
      </c>
      <c r="BH75" s="126" t="str">
        <f t="shared" si="104"/>
        <v>$0</v>
      </c>
      <c r="BI75" s="126" t="str">
        <f t="shared" si="104"/>
        <v>$0</v>
      </c>
      <c r="BJ75" s="126" t="str">
        <f t="shared" si="104"/>
        <v>$0</v>
      </c>
      <c r="BK75" s="622" t="str">
        <f t="shared" si="104"/>
        <v>$0</v>
      </c>
      <c r="BL75" s="635" t="str">
        <f t="shared" si="104"/>
        <v>$0</v>
      </c>
      <c r="BM75" s="126" t="str">
        <f t="shared" si="104"/>
        <v>$0</v>
      </c>
      <c r="BN75" s="126" t="str">
        <f t="shared" si="104"/>
        <v>$0</v>
      </c>
      <c r="BO75" s="126" t="str">
        <f t="shared" si="104"/>
        <v>$0</v>
      </c>
      <c r="BP75" s="622" t="str">
        <f t="shared" si="104"/>
        <v>$0</v>
      </c>
      <c r="BQ75" s="635" t="str">
        <f t="shared" si="104"/>
        <v>$0</v>
      </c>
      <c r="BR75" s="126" t="str">
        <f t="shared" si="104"/>
        <v>$0</v>
      </c>
      <c r="BS75" s="126" t="str">
        <f t="shared" si="104"/>
        <v>$0</v>
      </c>
      <c r="BT75" s="126" t="str">
        <f t="shared" si="104"/>
        <v>$0</v>
      </c>
      <c r="BU75" s="622" t="str">
        <f t="shared" si="104"/>
        <v>$0</v>
      </c>
      <c r="BV75" s="635" t="str">
        <f t="shared" si="104"/>
        <v>$0</v>
      </c>
      <c r="BW75" s="126" t="str">
        <f t="shared" si="104"/>
        <v>$0</v>
      </c>
      <c r="BX75" s="126" t="str">
        <f t="shared" si="104"/>
        <v>$0</v>
      </c>
      <c r="BY75" s="126" t="str">
        <f t="shared" si="104"/>
        <v>$0</v>
      </c>
      <c r="BZ75" s="622" t="str">
        <f t="shared" si="104"/>
        <v>$0</v>
      </c>
    </row>
    <row r="76" spans="1:78" ht="14.1" customHeight="1" outlineLevel="1" x14ac:dyDescent="0.2">
      <c r="C76" s="565"/>
      <c r="D76" s="115"/>
      <c r="J76" s="570"/>
      <c r="O76" s="551"/>
      <c r="P76" s="1409"/>
      <c r="Q76" s="1410"/>
      <c r="R76" s="210"/>
      <c r="X76" s="559"/>
      <c r="AB76" s="551"/>
      <c r="AC76" s="559"/>
      <c r="AG76" s="551"/>
      <c r="AH76" s="559"/>
      <c r="AL76" s="551"/>
      <c r="AM76" s="559"/>
      <c r="AQ76" s="551"/>
      <c r="AR76" s="559"/>
      <c r="AV76" s="551"/>
      <c r="AW76" s="559"/>
      <c r="BA76" s="551"/>
      <c r="BB76" s="559"/>
      <c r="BF76" s="551"/>
      <c r="BK76" s="551"/>
      <c r="BL76" s="559"/>
      <c r="BP76" s="551"/>
      <c r="BQ76" s="559"/>
      <c r="BU76" s="551"/>
      <c r="BV76" s="559"/>
      <c r="BZ76" s="551"/>
    </row>
    <row r="77" spans="1:78" ht="14.1" customHeight="1" outlineLevel="1" x14ac:dyDescent="0.2">
      <c r="C77" s="577" t="str">
        <f>C64&amp; " (Shares)"</f>
        <v>Shareholders Equity Statement (Shares)</v>
      </c>
      <c r="J77" s="570"/>
      <c r="O77" s="551"/>
      <c r="P77" s="1409"/>
      <c r="Q77" s="1410"/>
      <c r="R77" s="594"/>
      <c r="X77" s="559"/>
      <c r="AB77" s="551"/>
      <c r="AC77" s="559"/>
      <c r="AG77" s="551"/>
      <c r="AH77" s="559"/>
      <c r="AL77" s="551"/>
      <c r="AM77" s="559"/>
      <c r="AQ77" s="551"/>
      <c r="AR77" s="559"/>
      <c r="AV77" s="551"/>
      <c r="AW77" s="559"/>
      <c r="BA77" s="551"/>
      <c r="BB77" s="559"/>
      <c r="BF77" s="551"/>
      <c r="BG77" s="559"/>
      <c r="BK77" s="551"/>
      <c r="BL77" s="559"/>
      <c r="BP77" s="551"/>
      <c r="BQ77" s="559"/>
      <c r="BU77" s="551"/>
      <c r="BV77" s="559"/>
      <c r="BZ77" s="551"/>
    </row>
    <row r="78" spans="1:78" ht="14.1" customHeight="1" outlineLevel="2" x14ac:dyDescent="0.2">
      <c r="C78" s="565" t="s">
        <v>156</v>
      </c>
      <c r="D78" s="127"/>
      <c r="E78" s="624">
        <v>25.551617</v>
      </c>
      <c r="F78" s="624">
        <f t="shared" ref="F78:O78" si="105">E85</f>
        <v>25.693650999999999</v>
      </c>
      <c r="G78" s="624">
        <f t="shared" si="105"/>
        <v>25.936532</v>
      </c>
      <c r="H78" s="624">
        <f t="shared" si="105"/>
        <v>26.236569999999997</v>
      </c>
      <c r="I78" s="624">
        <f t="shared" si="105"/>
        <v>26.336588999999996</v>
      </c>
      <c r="J78" s="615">
        <f t="shared" si="105"/>
        <v>26.463588999999999</v>
      </c>
      <c r="K78" s="728">
        <f t="shared" si="105"/>
        <v>26.548589</v>
      </c>
      <c r="L78" s="728">
        <f t="shared" si="105"/>
        <v>26.549315791792981</v>
      </c>
      <c r="M78" s="728">
        <f t="shared" si="105"/>
        <v>26.450919786037367</v>
      </c>
      <c r="N78" s="728">
        <f t="shared" si="105"/>
        <v>26.375082517022054</v>
      </c>
      <c r="O78" s="729">
        <f t="shared" si="105"/>
        <v>25.784848056857516</v>
      </c>
      <c r="P78" s="1409"/>
      <c r="Q78" s="1410"/>
      <c r="R78" s="210"/>
      <c r="X78" s="733"/>
      <c r="Y78" s="728"/>
      <c r="Z78" s="728"/>
      <c r="AA78" s="728"/>
      <c r="AB78" s="729"/>
      <c r="AC78" s="733"/>
      <c r="AD78" s="728"/>
      <c r="AE78" s="728"/>
      <c r="AF78" s="728"/>
      <c r="AG78" s="729"/>
      <c r="AH78" s="733"/>
      <c r="AI78" s="728"/>
      <c r="AJ78" s="728"/>
      <c r="AK78" s="728"/>
      <c r="AL78" s="729"/>
      <c r="AM78" s="733"/>
      <c r="AN78" s="728"/>
      <c r="AO78" s="728"/>
      <c r="AP78" s="728"/>
      <c r="AQ78" s="729"/>
      <c r="AR78" s="733"/>
      <c r="AS78" s="728"/>
      <c r="AT78" s="728"/>
      <c r="AU78" s="728"/>
      <c r="AV78" s="729"/>
      <c r="AW78" s="733"/>
      <c r="AX78" s="728"/>
      <c r="AY78" s="728"/>
      <c r="AZ78" s="728"/>
      <c r="BA78" s="729"/>
      <c r="BB78" s="733"/>
      <c r="BC78" s="728"/>
      <c r="BD78" s="728"/>
      <c r="BE78" s="728"/>
      <c r="BF78" s="729"/>
      <c r="BG78" s="733"/>
      <c r="BH78" s="728"/>
      <c r="BI78" s="728"/>
      <c r="BJ78" s="728"/>
      <c r="BK78" s="729"/>
      <c r="BL78" s="733"/>
      <c r="BM78" s="728"/>
      <c r="BN78" s="728"/>
      <c r="BO78" s="728"/>
      <c r="BP78" s="729"/>
      <c r="BQ78" s="733"/>
      <c r="BR78" s="728"/>
      <c r="BS78" s="728"/>
      <c r="BT78" s="728"/>
      <c r="BU78" s="729"/>
      <c r="BV78" s="733"/>
      <c r="BW78" s="728"/>
      <c r="BX78" s="728"/>
      <c r="BY78" s="728"/>
      <c r="BZ78" s="729"/>
    </row>
    <row r="79" spans="1:78" ht="14.1" customHeight="1" outlineLevel="2" x14ac:dyDescent="0.2">
      <c r="C79" s="565" t="s">
        <v>322</v>
      </c>
      <c r="D79" s="624"/>
      <c r="E79" s="624"/>
      <c r="F79" s="624"/>
      <c r="G79" s="624"/>
      <c r="H79" s="624"/>
      <c r="I79" s="624"/>
      <c r="J79" s="615"/>
      <c r="K79" s="1223">
        <f>INDEX($K$168:$O$171,MATCH('Revenue Build'!$O$3,'Revenue Build'!$C$46:$C$49,0),MATCH('Balance Sheet'!K7,'Balance Sheet'!$K$7:$O$7,0))</f>
        <v>7.2679179298023016E-4</v>
      </c>
      <c r="L79" s="1223">
        <f>INDEX($K$168:$O$171,MATCH('Revenue Build'!$O$3,'Revenue Build'!$C$46:$C$49,0),MATCH('Balance Sheet'!L7,'Balance Sheet'!$K$7:$O$7,0))</f>
        <v>6.9019208036491899E-4</v>
      </c>
      <c r="M79" s="1223">
        <f>INDEX($K$168:$O$171,MATCH('Revenue Build'!$O$3,'Revenue Build'!$C$46:$C$49,0),MATCH('Balance Sheet'!M7,'Balance Sheet'!$K$7:$O$7,0))</f>
        <v>6.4754691636725904E-3</v>
      </c>
      <c r="N79" s="1223">
        <f>INDEX($K$168:$O$171,MATCH('Revenue Build'!$O$3,'Revenue Build'!$C$46:$C$49,0),MATCH('Balance Sheet'!N7,'Balance Sheet'!$K$7:$O$7,0))</f>
        <v>6.1702913508909999E-3</v>
      </c>
      <c r="O79" s="1223">
        <f>INDEX($K$168:$O$171,MATCH('Revenue Build'!$O$3,'Revenue Build'!$C$46:$C$49,0),MATCH('Balance Sheet'!O7,'Balance Sheet'!$K$7:$O$7,0))</f>
        <v>6.0839932482967601E-3</v>
      </c>
      <c r="P79" s="1409"/>
      <c r="Q79" s="1410"/>
      <c r="R79" s="210"/>
      <c r="X79" s="733"/>
      <c r="Y79" s="728"/>
      <c r="Z79" s="728"/>
      <c r="AA79" s="728"/>
      <c r="AB79" s="729"/>
      <c r="AC79" s="733"/>
      <c r="AD79" s="728"/>
      <c r="AE79" s="728"/>
      <c r="AF79" s="728"/>
      <c r="AG79" s="729"/>
      <c r="AH79" s="733"/>
      <c r="AI79" s="728"/>
      <c r="AJ79" s="728"/>
      <c r="AK79" s="728"/>
      <c r="AL79" s="729"/>
      <c r="AM79" s="733"/>
      <c r="AN79" s="728"/>
      <c r="AO79" s="728"/>
      <c r="AP79" s="728"/>
      <c r="AQ79" s="729"/>
      <c r="AR79" s="733"/>
      <c r="AS79" s="728"/>
      <c r="AT79" s="728"/>
      <c r="AU79" s="728"/>
      <c r="AV79" s="729"/>
      <c r="AW79" s="733"/>
      <c r="AX79" s="728"/>
      <c r="AY79" s="728"/>
      <c r="AZ79" s="728"/>
      <c r="BA79" s="729"/>
      <c r="BB79" s="733"/>
      <c r="BC79" s="728"/>
      <c r="BD79" s="728"/>
      <c r="BE79" s="728"/>
      <c r="BF79" s="729"/>
      <c r="BG79" s="733"/>
      <c r="BH79" s="728"/>
      <c r="BI79" s="728"/>
      <c r="BJ79" s="728"/>
      <c r="BK79" s="729"/>
      <c r="BL79" s="733"/>
      <c r="BM79" s="728"/>
      <c r="BN79" s="728"/>
      <c r="BO79" s="728"/>
      <c r="BP79" s="729"/>
      <c r="BQ79" s="733"/>
      <c r="BR79" s="728"/>
      <c r="BS79" s="728"/>
      <c r="BT79" s="728"/>
      <c r="BU79" s="729"/>
      <c r="BV79" s="733"/>
      <c r="BW79" s="728"/>
      <c r="BX79" s="728"/>
      <c r="BY79" s="728"/>
      <c r="BZ79" s="729"/>
    </row>
    <row r="80" spans="1:78" ht="14.1" customHeight="1" outlineLevel="2" x14ac:dyDescent="0.2">
      <c r="C80" s="565" t="s">
        <v>323</v>
      </c>
      <c r="D80" s="127"/>
      <c r="E80" s="624"/>
      <c r="F80" s="624"/>
      <c r="G80" s="624"/>
      <c r="H80" s="624"/>
      <c r="I80" s="624"/>
      <c r="J80" s="615"/>
      <c r="K80" s="1223"/>
      <c r="L80" s="1223"/>
      <c r="M80" s="1223"/>
      <c r="N80" s="1223"/>
      <c r="O80" s="1224"/>
      <c r="P80" s="1409"/>
      <c r="Q80" s="1410"/>
      <c r="R80" s="210"/>
      <c r="X80" s="733"/>
      <c r="Y80" s="728"/>
      <c r="Z80" s="728"/>
      <c r="AA80" s="728"/>
      <c r="AB80" s="729"/>
      <c r="AC80" s="733"/>
      <c r="AD80" s="728"/>
      <c r="AE80" s="728"/>
      <c r="AF80" s="728"/>
      <c r="AG80" s="729"/>
      <c r="AH80" s="733"/>
      <c r="AI80" s="728"/>
      <c r="AJ80" s="728"/>
      <c r="AK80" s="728"/>
      <c r="AL80" s="729"/>
      <c r="AM80" s="733"/>
      <c r="AN80" s="728"/>
      <c r="AO80" s="728"/>
      <c r="AP80" s="728"/>
      <c r="AQ80" s="729"/>
      <c r="AR80" s="733"/>
      <c r="AS80" s="728"/>
      <c r="AT80" s="728"/>
      <c r="AU80" s="728"/>
      <c r="AV80" s="729"/>
      <c r="AW80" s="733"/>
      <c r="AX80" s="728"/>
      <c r="AY80" s="728"/>
      <c r="AZ80" s="728"/>
      <c r="BA80" s="729"/>
      <c r="BB80" s="733"/>
      <c r="BC80" s="728"/>
      <c r="BD80" s="728"/>
      <c r="BE80" s="728"/>
      <c r="BF80" s="729"/>
      <c r="BG80" s="733"/>
      <c r="BH80" s="728"/>
      <c r="BI80" s="728"/>
      <c r="BJ80" s="728"/>
      <c r="BK80" s="729"/>
      <c r="BL80" s="733"/>
      <c r="BM80" s="728"/>
      <c r="BN80" s="728"/>
      <c r="BO80" s="728"/>
      <c r="BP80" s="729"/>
      <c r="BQ80" s="733"/>
      <c r="BR80" s="728"/>
      <c r="BS80" s="728"/>
      <c r="BT80" s="728"/>
      <c r="BU80" s="729"/>
      <c r="BV80" s="733"/>
      <c r="BW80" s="728"/>
      <c r="BX80" s="728"/>
      <c r="BY80" s="728"/>
      <c r="BZ80" s="729"/>
    </row>
    <row r="81" spans="1:78" s="115" customFormat="1" ht="14.1" customHeight="1" outlineLevel="2" x14ac:dyDescent="0.2">
      <c r="A81"/>
      <c r="B81"/>
      <c r="C81" s="565" t="s">
        <v>324</v>
      </c>
      <c r="D81" s="127"/>
      <c r="E81" s="127">
        <v>0.103703</v>
      </c>
      <c r="F81" s="127">
        <v>0.107171</v>
      </c>
      <c r="G81" s="127">
        <v>0.10824</v>
      </c>
      <c r="H81" s="127">
        <v>4.6740999999999998E-2</v>
      </c>
      <c r="I81" s="127">
        <v>6.2E-2</v>
      </c>
      <c r="J81" s="616">
        <v>3.5000000000000003E-2</v>
      </c>
      <c r="K81" s="1225"/>
      <c r="L81" s="1225"/>
      <c r="M81" s="1225"/>
      <c r="N81" s="1225"/>
      <c r="O81" s="1226"/>
      <c r="P81" s="1409"/>
      <c r="Q81" s="1410"/>
      <c r="R81" s="210"/>
      <c r="X81" s="946"/>
      <c r="Y81" s="947"/>
      <c r="Z81" s="947"/>
      <c r="AA81" s="947"/>
      <c r="AB81" s="948"/>
      <c r="AC81" s="946"/>
      <c r="AD81" s="947"/>
      <c r="AE81" s="947"/>
      <c r="AF81" s="947"/>
      <c r="AG81" s="948"/>
      <c r="AH81" s="946"/>
      <c r="AI81" s="947"/>
      <c r="AJ81" s="947"/>
      <c r="AK81" s="947"/>
      <c r="AL81" s="948"/>
      <c r="AM81" s="946"/>
      <c r="AN81" s="947"/>
      <c r="AO81" s="947"/>
      <c r="AP81" s="947"/>
      <c r="AQ81" s="948"/>
      <c r="AR81" s="946"/>
      <c r="AS81" s="947"/>
      <c r="AT81" s="947"/>
      <c r="AU81" s="947"/>
      <c r="AV81" s="948"/>
      <c r="AW81" s="946"/>
      <c r="AX81" s="947"/>
      <c r="AY81" s="947"/>
      <c r="AZ81" s="947"/>
      <c r="BA81" s="948"/>
      <c r="BB81" s="946"/>
      <c r="BC81" s="947"/>
      <c r="BD81" s="947"/>
      <c r="BE81" s="947"/>
      <c r="BF81" s="948"/>
      <c r="BG81" s="946"/>
      <c r="BH81" s="947"/>
      <c r="BI81" s="947"/>
      <c r="BJ81" s="947"/>
      <c r="BK81" s="948"/>
      <c r="BL81" s="946"/>
      <c r="BM81" s="947"/>
      <c r="BN81" s="947"/>
      <c r="BO81" s="947"/>
      <c r="BP81" s="948"/>
      <c r="BQ81" s="946"/>
      <c r="BR81" s="947"/>
      <c r="BS81" s="947"/>
      <c r="BT81" s="947"/>
      <c r="BU81" s="948"/>
      <c r="BV81" s="946"/>
      <c r="BW81" s="947"/>
      <c r="BX81" s="947"/>
      <c r="BY81" s="947"/>
      <c r="BZ81" s="948"/>
    </row>
    <row r="82" spans="1:78" ht="14.1" customHeight="1" outlineLevel="2" x14ac:dyDescent="0.2">
      <c r="C82" s="565" t="s">
        <v>325</v>
      </c>
      <c r="D82" s="624"/>
      <c r="E82" s="624">
        <f>0.033147+0.005184</f>
        <v>3.8331000000000004E-2</v>
      </c>
      <c r="F82" s="624">
        <f>0.08596+0.04975</f>
        <v>0.13571</v>
      </c>
      <c r="G82" s="624">
        <f>0.059377+0.132421</f>
        <v>0.19179800000000002</v>
      </c>
      <c r="H82" s="624">
        <f>0.001698+0.05158</f>
        <v>5.3277999999999999E-2</v>
      </c>
      <c r="I82" s="624">
        <f>0.002+0.063</f>
        <v>6.5000000000000002E-2</v>
      </c>
      <c r="J82" s="615">
        <f>0.002+0.048</f>
        <v>0.05</v>
      </c>
      <c r="K82" s="1223"/>
      <c r="L82" s="1223"/>
      <c r="M82" s="1223"/>
      <c r="N82" s="1223"/>
      <c r="O82" s="1224"/>
      <c r="P82" s="1409"/>
      <c r="Q82" s="1410"/>
      <c r="R82" s="210"/>
      <c r="X82" s="733"/>
      <c r="Y82" s="728"/>
      <c r="Z82" s="728"/>
      <c r="AA82" s="728"/>
      <c r="AB82" s="729"/>
      <c r="AC82" s="733"/>
      <c r="AD82" s="728"/>
      <c r="AE82" s="728"/>
      <c r="AF82" s="728"/>
      <c r="AG82" s="729"/>
      <c r="AH82" s="733"/>
      <c r="AI82" s="728"/>
      <c r="AJ82" s="728"/>
      <c r="AK82" s="728"/>
      <c r="AL82" s="729"/>
      <c r="AM82" s="733"/>
      <c r="AN82" s="728"/>
      <c r="AO82" s="728"/>
      <c r="AP82" s="728"/>
      <c r="AQ82" s="729"/>
      <c r="AR82" s="733"/>
      <c r="AS82" s="728"/>
      <c r="AT82" s="728"/>
      <c r="AU82" s="728"/>
      <c r="AV82" s="729"/>
      <c r="AW82" s="733"/>
      <c r="AX82" s="728"/>
      <c r="AY82" s="728"/>
      <c r="AZ82" s="728"/>
      <c r="BA82" s="729"/>
      <c r="BB82" s="733"/>
      <c r="BC82" s="728"/>
      <c r="BD82" s="728"/>
      <c r="BE82" s="728"/>
      <c r="BF82" s="729"/>
      <c r="BG82" s="733"/>
      <c r="BH82" s="728"/>
      <c r="BI82" s="728"/>
      <c r="BJ82" s="728"/>
      <c r="BK82" s="729"/>
      <c r="BL82" s="733"/>
      <c r="BM82" s="728"/>
      <c r="BN82" s="728"/>
      <c r="BO82" s="728"/>
      <c r="BP82" s="729"/>
      <c r="BQ82" s="733"/>
      <c r="BR82" s="728"/>
      <c r="BS82" s="728"/>
      <c r="BT82" s="728"/>
      <c r="BU82" s="729"/>
      <c r="BV82" s="733"/>
      <c r="BW82" s="728"/>
      <c r="BX82" s="728"/>
      <c r="BY82" s="728"/>
      <c r="BZ82" s="729"/>
    </row>
    <row r="83" spans="1:78" s="115" customFormat="1" ht="14.1" customHeight="1" outlineLevel="2" x14ac:dyDescent="0.2">
      <c r="A83"/>
      <c r="B83"/>
      <c r="C83" s="565" t="s">
        <v>326</v>
      </c>
      <c r="D83" s="127"/>
      <c r="E83" s="127"/>
      <c r="F83" s="127"/>
      <c r="G83" s="127"/>
      <c r="H83" s="127"/>
      <c r="I83" s="127"/>
      <c r="J83" s="616"/>
      <c r="K83" s="1225"/>
      <c r="L83" s="1225"/>
      <c r="M83" s="1225"/>
      <c r="N83" s="1225"/>
      <c r="O83" s="1226"/>
      <c r="P83" s="1409"/>
      <c r="Q83" s="1410"/>
      <c r="R83" s="210"/>
      <c r="X83" s="946"/>
      <c r="Y83" s="947"/>
      <c r="Z83" s="947"/>
      <c r="AA83" s="947"/>
      <c r="AB83" s="948"/>
      <c r="AC83" s="946"/>
      <c r="AD83" s="947"/>
      <c r="AE83" s="947"/>
      <c r="AF83" s="947"/>
      <c r="AG83" s="948"/>
      <c r="AH83" s="946"/>
      <c r="AI83" s="947"/>
      <c r="AJ83" s="947"/>
      <c r="AK83" s="947"/>
      <c r="AL83" s="948"/>
      <c r="AM83" s="946"/>
      <c r="AN83" s="947"/>
      <c r="AO83" s="947"/>
      <c r="AP83" s="947"/>
      <c r="AQ83" s="948"/>
      <c r="AR83" s="946"/>
      <c r="AS83" s="947"/>
      <c r="AT83" s="947"/>
      <c r="AU83" s="947"/>
      <c r="AV83" s="948"/>
      <c r="AW83" s="946"/>
      <c r="AX83" s="947"/>
      <c r="AY83" s="947"/>
      <c r="AZ83" s="947"/>
      <c r="BA83" s="948"/>
      <c r="BB83" s="946"/>
      <c r="BC83" s="947"/>
      <c r="BD83" s="947"/>
      <c r="BE83" s="947"/>
      <c r="BF83" s="948"/>
      <c r="BG83" s="946"/>
      <c r="BH83" s="947"/>
      <c r="BI83" s="947"/>
      <c r="BJ83" s="947"/>
      <c r="BK83" s="948"/>
      <c r="BL83" s="946"/>
      <c r="BM83" s="947"/>
      <c r="BN83" s="947"/>
      <c r="BO83" s="947"/>
      <c r="BP83" s="948"/>
      <c r="BQ83" s="946"/>
      <c r="BR83" s="947"/>
      <c r="BS83" s="947"/>
      <c r="BT83" s="947"/>
      <c r="BU83" s="948"/>
      <c r="BV83" s="946"/>
      <c r="BW83" s="947"/>
      <c r="BX83" s="947"/>
      <c r="BY83" s="947"/>
      <c r="BZ83" s="948"/>
    </row>
    <row r="84" spans="1:78" s="115" customFormat="1" ht="14.1" customHeight="1" outlineLevel="2" x14ac:dyDescent="0.2">
      <c r="A84"/>
      <c r="B84"/>
      <c r="C84" s="565" t="s">
        <v>157</v>
      </c>
      <c r="D84" s="127"/>
      <c r="E84" s="127"/>
      <c r="F84" s="127"/>
      <c r="G84" s="127"/>
      <c r="H84" s="127"/>
      <c r="I84" s="127"/>
      <c r="J84" s="616"/>
      <c r="K84" s="1225">
        <f>INDEX($K$173:$O$176,MATCH('Revenue Build'!$O$3,'Revenue Build'!$C$46:$C$49,0),MATCH('Balance Sheet'!K7,'Balance Sheet'!$K$7:$O$7,0))</f>
        <v>0</v>
      </c>
      <c r="L84" s="1225">
        <f>INDEX($K$173:$O$176,MATCH('Revenue Build'!$O$3,'Revenue Build'!$C$46:$C$49,0),MATCH('Balance Sheet'!L7,'Balance Sheet'!$K$7:$O$7,0))</f>
        <v>-9.9086197835980494E-2</v>
      </c>
      <c r="M84" s="1225">
        <f>INDEX($K$173:$O$176,MATCH('Revenue Build'!$O$3,'Revenue Build'!$C$46:$C$49,0),MATCH('Balance Sheet'!M7,'Balance Sheet'!$K$7:$O$7,0))</f>
        <v>-8.2312738178982797E-2</v>
      </c>
      <c r="N84" s="1225">
        <f>INDEX($K$173:$O$176,MATCH('Revenue Build'!$O$3,'Revenue Build'!$C$46:$C$49,0),MATCH('Balance Sheet'!N7,'Balance Sheet'!$K$7:$O$7,0))</f>
        <v>-0.59640475151543004</v>
      </c>
      <c r="O84" s="1226">
        <f>INDEX($K$173:$O$176,MATCH('Revenue Build'!$O$3,'Revenue Build'!$C$46:$C$49,0),MATCH('Balance Sheet'!O7,'Balance Sheet'!$K$7:$O$7,0))</f>
        <v>-0.83084573149359897</v>
      </c>
      <c r="P84" s="1409"/>
      <c r="Q84" s="1410"/>
      <c r="R84" s="210"/>
      <c r="X84" s="946"/>
      <c r="Y84" s="947"/>
      <c r="Z84" s="947"/>
      <c r="AA84" s="947"/>
      <c r="AB84" s="948"/>
      <c r="AC84" s="946"/>
      <c r="AD84" s="947"/>
      <c r="AE84" s="947"/>
      <c r="AF84" s="947"/>
      <c r="AG84" s="948"/>
      <c r="AH84" s="946"/>
      <c r="AI84" s="947"/>
      <c r="AJ84" s="947"/>
      <c r="AK84" s="947"/>
      <c r="AL84" s="948"/>
      <c r="AM84" s="946"/>
      <c r="AN84" s="947"/>
      <c r="AO84" s="947"/>
      <c r="AP84" s="947"/>
      <c r="AQ84" s="948"/>
      <c r="AR84" s="946"/>
      <c r="AS84" s="947"/>
      <c r="AT84" s="947"/>
      <c r="AU84" s="947"/>
      <c r="AV84" s="948"/>
      <c r="AW84" s="946"/>
      <c r="AX84" s="947"/>
      <c r="AY84" s="947"/>
      <c r="AZ84" s="947"/>
      <c r="BA84" s="948"/>
      <c r="BB84" s="946"/>
      <c r="BC84" s="947"/>
      <c r="BD84" s="947"/>
      <c r="BE84" s="947"/>
      <c r="BF84" s="948"/>
      <c r="BG84" s="946"/>
      <c r="BH84" s="947"/>
      <c r="BI84" s="947"/>
      <c r="BJ84" s="947"/>
      <c r="BK84" s="948"/>
      <c r="BL84" s="946"/>
      <c r="BM84" s="947"/>
      <c r="BN84" s="947"/>
      <c r="BO84" s="947"/>
      <c r="BP84" s="948"/>
      <c r="BQ84" s="946"/>
      <c r="BR84" s="947"/>
      <c r="BS84" s="947"/>
      <c r="BT84" s="947"/>
      <c r="BU84" s="948"/>
      <c r="BV84" s="946"/>
      <c r="BW84" s="947"/>
      <c r="BX84" s="947"/>
      <c r="BY84" s="947"/>
      <c r="BZ84" s="948"/>
    </row>
    <row r="85" spans="1:78" s="115" customFormat="1" ht="14.1" customHeight="1" outlineLevel="1" x14ac:dyDescent="0.2">
      <c r="A85"/>
      <c r="B85"/>
      <c r="C85" s="625" t="s">
        <v>158</v>
      </c>
      <c r="D85" s="128"/>
      <c r="E85" s="128">
        <f>IFERROR(SUM(E78:E84),"NM")</f>
        <v>25.693650999999999</v>
      </c>
      <c r="F85" s="128">
        <f>IFERROR(SUM(F78:F84),"NM")</f>
        <v>25.936532</v>
      </c>
      <c r="G85" s="128">
        <f t="shared" ref="G85:O85" si="106">IFERROR(SUM(G78:G84),"NM")</f>
        <v>26.236569999999997</v>
      </c>
      <c r="H85" s="128">
        <f t="shared" si="106"/>
        <v>26.336588999999996</v>
      </c>
      <c r="I85" s="128">
        <f>IFERROR(SUM(I78:I84),"NM")</f>
        <v>26.463588999999999</v>
      </c>
      <c r="J85" s="617">
        <f t="shared" si="106"/>
        <v>26.548589</v>
      </c>
      <c r="K85" s="950">
        <f t="shared" si="106"/>
        <v>26.549315791792981</v>
      </c>
      <c r="L85" s="950">
        <f t="shared" si="106"/>
        <v>26.450919786037367</v>
      </c>
      <c r="M85" s="950">
        <f t="shared" si="106"/>
        <v>26.375082517022054</v>
      </c>
      <c r="N85" s="950">
        <f t="shared" si="106"/>
        <v>25.784848056857516</v>
      </c>
      <c r="O85" s="951">
        <f t="shared" si="106"/>
        <v>24.960086318612213</v>
      </c>
      <c r="P85" s="558"/>
      <c r="Q85" s="480"/>
      <c r="R85" s="704"/>
      <c r="S85" s="129"/>
      <c r="T85" s="129"/>
      <c r="U85" s="129"/>
      <c r="V85" s="129"/>
      <c r="W85" s="129"/>
      <c r="X85" s="949"/>
      <c r="Y85" s="950"/>
      <c r="Z85" s="950"/>
      <c r="AA85" s="950"/>
      <c r="AB85" s="951"/>
      <c r="AC85" s="949"/>
      <c r="AD85" s="950"/>
      <c r="AE85" s="950"/>
      <c r="AF85" s="950"/>
      <c r="AG85" s="951"/>
      <c r="AH85" s="949"/>
      <c r="AI85" s="950"/>
      <c r="AJ85" s="950"/>
      <c r="AK85" s="950"/>
      <c r="AL85" s="951"/>
      <c r="AM85" s="949"/>
      <c r="AN85" s="950"/>
      <c r="AO85" s="950"/>
      <c r="AP85" s="950"/>
      <c r="AQ85" s="951"/>
      <c r="AR85" s="949"/>
      <c r="AS85" s="950"/>
      <c r="AT85" s="950"/>
      <c r="AU85" s="950"/>
      <c r="AV85" s="951"/>
      <c r="AW85" s="949"/>
      <c r="AX85" s="950"/>
      <c r="AY85" s="950"/>
      <c r="AZ85" s="950"/>
      <c r="BA85" s="951"/>
      <c r="BB85" s="949"/>
      <c r="BC85" s="950"/>
      <c r="BD85" s="950"/>
      <c r="BE85" s="950"/>
      <c r="BF85" s="951"/>
      <c r="BG85" s="949"/>
      <c r="BH85" s="950"/>
      <c r="BI85" s="950"/>
      <c r="BJ85" s="950"/>
      <c r="BK85" s="951"/>
      <c r="BL85" s="949"/>
      <c r="BM85" s="950"/>
      <c r="BN85" s="950"/>
      <c r="BO85" s="950"/>
      <c r="BP85" s="951"/>
      <c r="BQ85" s="949"/>
      <c r="BR85" s="950"/>
      <c r="BS85" s="950"/>
      <c r="BT85" s="950"/>
      <c r="BU85" s="951"/>
      <c r="BV85" s="949"/>
      <c r="BW85" s="950"/>
      <c r="BX85" s="950"/>
      <c r="BY85" s="950"/>
      <c r="BZ85" s="951"/>
    </row>
    <row r="86" spans="1:78" s="115" customFormat="1" ht="14.1" customHeight="1" outlineLevel="1" x14ac:dyDescent="0.2">
      <c r="A86"/>
      <c r="B86"/>
      <c r="C86" s="565"/>
      <c r="J86" s="569"/>
      <c r="K86" s="947"/>
      <c r="L86" s="947"/>
      <c r="M86" s="947"/>
      <c r="N86" s="947"/>
      <c r="O86" s="948"/>
      <c r="P86" s="558"/>
      <c r="Q86" s="480"/>
      <c r="R86" s="210"/>
      <c r="X86" s="558"/>
      <c r="AB86" s="480"/>
      <c r="AC86" s="558"/>
      <c r="AG86" s="480"/>
      <c r="AH86" s="558"/>
      <c r="AL86" s="480"/>
      <c r="AM86" s="558"/>
      <c r="AQ86" s="480"/>
      <c r="AR86" s="558"/>
      <c r="AV86" s="480"/>
      <c r="AW86" s="558"/>
      <c r="BA86" s="480"/>
      <c r="BB86" s="558"/>
      <c r="BF86" s="480"/>
      <c r="BG86" s="558"/>
      <c r="BK86" s="480"/>
      <c r="BL86" s="558"/>
      <c r="BP86" s="480"/>
      <c r="BQ86" s="558"/>
      <c r="BU86" s="480"/>
      <c r="BV86" s="558"/>
      <c r="BZ86" s="480"/>
    </row>
    <row r="87" spans="1:78" ht="14.1" customHeight="1" outlineLevel="1" x14ac:dyDescent="0.2">
      <c r="C87" s="566" t="s">
        <v>159</v>
      </c>
      <c r="J87" s="570"/>
      <c r="O87" s="551"/>
      <c r="P87" s="559"/>
      <c r="Q87" s="551"/>
      <c r="R87" s="553" t="str">
        <f t="shared" ref="R87:R134" si="107">C87</f>
        <v>Operating Efficiency</v>
      </c>
      <c r="X87" s="559"/>
      <c r="AB87" s="551"/>
      <c r="AC87" s="559"/>
      <c r="AG87" s="551"/>
      <c r="AH87" s="559"/>
      <c r="AL87" s="551"/>
      <c r="AM87" s="559"/>
      <c r="AQ87" s="551"/>
      <c r="AR87" s="559"/>
      <c r="AV87" s="551"/>
      <c r="AW87" s="559"/>
      <c r="BA87" s="551"/>
      <c r="BB87" s="559"/>
      <c r="BF87" s="551"/>
      <c r="BG87" s="559"/>
      <c r="BK87" s="551"/>
      <c r="BL87" s="559"/>
      <c r="BP87" s="551"/>
      <c r="BQ87" s="559"/>
      <c r="BU87" s="551"/>
      <c r="BV87" s="559"/>
      <c r="BZ87" s="551"/>
    </row>
    <row r="88" spans="1:78" ht="14.1" customHeight="1" outlineLevel="1" x14ac:dyDescent="0.2">
      <c r="C88" s="565" t="s">
        <v>160</v>
      </c>
      <c r="D88" s="116">
        <f>IFERROR(SUM(D11:D14)-SUM(D31:D34),"NM")</f>
        <v>45.686000000000007</v>
      </c>
      <c r="E88" s="116">
        <f t="shared" ref="E88:O88" si="108">IFERROR(SUM(E11:E14)-SUM(E31:E34),"NM")</f>
        <v>19.950999999999993</v>
      </c>
      <c r="F88" s="116">
        <f t="shared" si="108"/>
        <v>29.310000000000002</v>
      </c>
      <c r="G88" s="116">
        <f t="shared" si="108"/>
        <v>11.431000000000012</v>
      </c>
      <c r="H88" s="116">
        <f t="shared" si="108"/>
        <v>29.279999999999973</v>
      </c>
      <c r="I88" s="116">
        <f t="shared" si="108"/>
        <v>108.85499999999993</v>
      </c>
      <c r="J88" s="570">
        <f t="shared" si="108"/>
        <v>66.353000000000009</v>
      </c>
      <c r="K88" s="116">
        <f t="shared" si="108"/>
        <v>99.093096066491682</v>
      </c>
      <c r="L88" s="116">
        <f t="shared" si="108"/>
        <v>96.816446787798668</v>
      </c>
      <c r="M88" s="116">
        <f t="shared" si="108"/>
        <v>100.79565014835686</v>
      </c>
      <c r="N88" s="116">
        <f t="shared" si="108"/>
        <v>120.66921730899821</v>
      </c>
      <c r="O88" s="551">
        <f t="shared" si="108"/>
        <v>150.77354677465144</v>
      </c>
      <c r="P88" s="559"/>
      <c r="Q88" s="551"/>
      <c r="R88" s="210" t="str">
        <f t="shared" si="107"/>
        <v>Operating Working Capital</v>
      </c>
      <c r="T88" s="116">
        <f>IFERROR(SUM(T11:T14)-SUM(T31:T34),"NM")</f>
        <v>46.199000000000012</v>
      </c>
      <c r="U88" s="116">
        <f>IFERROR(SUM(U11:U14)-SUM(U31:U34),"NM")</f>
        <v>34.09099999999998</v>
      </c>
      <c r="V88" s="116">
        <f>IFERROR(SUM(V11:V14)-SUM(V31:V34),"NM")</f>
        <v>45.686000000000007</v>
      </c>
      <c r="W88" s="116">
        <f>IFERROR(SUM(W11:W14)-SUM(W31:W34),"NM")</f>
        <v>45.686000000000007</v>
      </c>
      <c r="X88" s="559">
        <f>IFERROR(SUM(X11:X14)-SUM(X31:X34),"NM")</f>
        <v>61.61699999999999</v>
      </c>
      <c r="Y88" s="116">
        <f t="shared" ref="Y88:BC88" si="109">IFERROR(SUM(Y11:Y14)-SUM(Y31:Y34),"NM")</f>
        <v>42.759999999999991</v>
      </c>
      <c r="Z88" s="116">
        <f t="shared" si="109"/>
        <v>31.999000000000024</v>
      </c>
      <c r="AA88" s="116">
        <f t="shared" si="109"/>
        <v>19.950999999999993</v>
      </c>
      <c r="AB88" s="551">
        <f t="shared" si="109"/>
        <v>19.950999999999993</v>
      </c>
      <c r="AC88" s="559">
        <f t="shared" si="109"/>
        <v>64.894000000000005</v>
      </c>
      <c r="AD88" s="116">
        <f t="shared" si="109"/>
        <v>59.575999999999965</v>
      </c>
      <c r="AE88" s="116">
        <f t="shared" si="109"/>
        <v>43.161999999999949</v>
      </c>
      <c r="AF88" s="116">
        <f t="shared" si="109"/>
        <v>29.310000000000002</v>
      </c>
      <c r="AG88" s="551">
        <f t="shared" si="109"/>
        <v>29.310000000000002</v>
      </c>
      <c r="AH88" s="559">
        <f t="shared" si="109"/>
        <v>48.205999999999989</v>
      </c>
      <c r="AI88" s="116">
        <f t="shared" si="109"/>
        <v>30.911999999999978</v>
      </c>
      <c r="AJ88" s="116">
        <f t="shared" si="109"/>
        <v>19.393000000000001</v>
      </c>
      <c r="AK88" s="116">
        <f t="shared" si="109"/>
        <v>11.431000000000012</v>
      </c>
      <c r="AL88" s="551">
        <f t="shared" si="109"/>
        <v>11.431000000000012</v>
      </c>
      <c r="AM88" s="559">
        <f t="shared" si="109"/>
        <v>29.188000000000045</v>
      </c>
      <c r="AN88" s="116">
        <f t="shared" si="109"/>
        <v>57.538000000000011</v>
      </c>
      <c r="AO88" s="116">
        <f t="shared" si="109"/>
        <v>30.628000000000043</v>
      </c>
      <c r="AP88" s="116">
        <f t="shared" si="109"/>
        <v>29.279999999999973</v>
      </c>
      <c r="AQ88" s="551">
        <f t="shared" si="109"/>
        <v>29.279999999999973</v>
      </c>
      <c r="AR88" s="559">
        <f t="shared" si="109"/>
        <v>70.581999999999994</v>
      </c>
      <c r="AS88" s="116">
        <f t="shared" si="109"/>
        <v>99.446000000000026</v>
      </c>
      <c r="AT88" s="116">
        <f t="shared" si="109"/>
        <v>101.77200000000005</v>
      </c>
      <c r="AU88" s="116">
        <f t="shared" si="109"/>
        <v>108.85499999999993</v>
      </c>
      <c r="AV88" s="551">
        <f t="shared" si="109"/>
        <v>108.85499999999993</v>
      </c>
      <c r="AW88" s="559">
        <f t="shared" si="109"/>
        <v>116.26600000000002</v>
      </c>
      <c r="AX88" s="116">
        <f t="shared" si="109"/>
        <v>113.65199999999996</v>
      </c>
      <c r="AY88" s="116">
        <f t="shared" si="109"/>
        <v>134.87900000000002</v>
      </c>
      <c r="AZ88" s="116">
        <f t="shared" si="109"/>
        <v>66.353000000000009</v>
      </c>
      <c r="BA88" s="551">
        <f t="shared" si="109"/>
        <v>66.353000000000009</v>
      </c>
      <c r="BB88" s="559">
        <f t="shared" si="109"/>
        <v>100.20400000000001</v>
      </c>
      <c r="BC88" s="116">
        <f t="shared" si="109"/>
        <v>140.70299999999997</v>
      </c>
      <c r="BD88" s="116">
        <f t="shared" ref="BD88:BZ88" si="110">IFERROR(SUM(BD11:BD14)-SUM(BD31:BD34),"NM")</f>
        <v>108.709</v>
      </c>
      <c r="BE88" s="116">
        <f t="shared" si="110"/>
        <v>99.093096066491682</v>
      </c>
      <c r="BF88" s="551">
        <f t="shared" si="110"/>
        <v>99.093096066491682</v>
      </c>
      <c r="BG88" s="559">
        <f t="shared" si="110"/>
        <v>94.241748582453113</v>
      </c>
      <c r="BH88" s="116">
        <f t="shared" si="110"/>
        <v>128.15428691706325</v>
      </c>
      <c r="BI88" s="116">
        <f t="shared" si="110"/>
        <v>45.888890808173812</v>
      </c>
      <c r="BJ88" s="116">
        <f t="shared" si="110"/>
        <v>96.816446787798668</v>
      </c>
      <c r="BK88" s="551">
        <f t="shared" si="110"/>
        <v>96.816446787798668</v>
      </c>
      <c r="BL88" s="559">
        <f t="shared" si="110"/>
        <v>73.969399948550745</v>
      </c>
      <c r="BM88" s="116">
        <f t="shared" si="110"/>
        <v>134.17757404867137</v>
      </c>
      <c r="BN88" s="116">
        <f t="shared" si="110"/>
        <v>67.250956764706359</v>
      </c>
      <c r="BO88" s="116">
        <f t="shared" si="110"/>
        <v>100.79565014835686</v>
      </c>
      <c r="BP88" s="551">
        <f t="shared" si="110"/>
        <v>100.79565014835686</v>
      </c>
      <c r="BQ88" s="559">
        <f t="shared" si="110"/>
        <v>75.808306160109339</v>
      </c>
      <c r="BR88" s="116">
        <f t="shared" si="110"/>
        <v>159.8720814696315</v>
      </c>
      <c r="BS88" s="116">
        <f t="shared" si="110"/>
        <v>67.909614648910804</v>
      </c>
      <c r="BT88" s="116">
        <f t="shared" si="110"/>
        <v>120.66921730899821</v>
      </c>
      <c r="BU88" s="551">
        <f t="shared" si="110"/>
        <v>120.66921730899821</v>
      </c>
      <c r="BV88" s="559">
        <f t="shared" si="110"/>
        <v>72.587809643133028</v>
      </c>
      <c r="BW88" s="116">
        <f t="shared" si="110"/>
        <v>192.93410935522149</v>
      </c>
      <c r="BX88" s="116">
        <f t="shared" si="110"/>
        <v>60.355189237852073</v>
      </c>
      <c r="BY88" s="116">
        <f t="shared" si="110"/>
        <v>150.77354677465144</v>
      </c>
      <c r="BZ88" s="551">
        <f t="shared" si="110"/>
        <v>150.77354677465144</v>
      </c>
    </row>
    <row r="89" spans="1:78" s="115" customFormat="1" ht="14.1" customHeight="1" outlineLevel="1" x14ac:dyDescent="0.2">
      <c r="A89"/>
      <c r="B89"/>
      <c r="C89" s="565" t="s">
        <v>161</v>
      </c>
      <c r="D89" s="160"/>
      <c r="E89" s="160">
        <f>IFERROR(D88/'Income Statement'!E8,"NM")</f>
        <v>2.7624045484200801E-2</v>
      </c>
      <c r="F89" s="160">
        <f>IFERROR(E88/'Income Statement'!F8,"NM")</f>
        <v>1.1166177412990731E-2</v>
      </c>
      <c r="G89" s="160">
        <f>IFERROR(F88/'Income Statement'!G8,"NM")</f>
        <v>1.608348707120304E-2</v>
      </c>
      <c r="H89" s="160">
        <f>IFERROR(G88/'Income Statement'!H8,"NM")</f>
        <v>4.9945296552109889E-3</v>
      </c>
      <c r="I89" s="160">
        <f>IFERROR(H88/'Income Statement'!I8,"NM")</f>
        <v>1.0486891922335387E-2</v>
      </c>
      <c r="J89" s="586">
        <f>IFERROR(I88/'Income Statement'!J8,"NM")</f>
        <v>3.7778077782825395E-2</v>
      </c>
      <c r="K89" s="160">
        <f>IFERROR(J88/'Income Statement'!K8,"NM")</f>
        <v>2.0676489121124506E-2</v>
      </c>
      <c r="L89" s="160">
        <f>IFERROR(K88/'Income Statement'!L8,"NM")</f>
        <v>2.7815832380092848E-2</v>
      </c>
      <c r="M89" s="160">
        <f>IFERROR(L88/'Income Statement'!M8,"NM")</f>
        <v>2.3665027964168056E-2</v>
      </c>
      <c r="N89" s="160">
        <f>IFERROR(M88/'Income Statement'!N8,"NM")</f>
        <v>2.2630526645181788E-2</v>
      </c>
      <c r="O89" s="199">
        <f>IFERROR(N88/'Income Statement'!O8,"NM")</f>
        <v>2.5096477288196001E-2</v>
      </c>
      <c r="P89" s="558"/>
      <c r="Q89" s="480"/>
      <c r="R89" s="210" t="str">
        <f t="shared" si="107"/>
        <v>Operating Working Capital / Sales (t+1)</v>
      </c>
      <c r="S89" s="160"/>
      <c r="T89" s="160"/>
      <c r="U89" s="160">
        <f>IFERROR(T88/'Income Statement'!U8,"NM")</f>
        <v>0.13197376464740534</v>
      </c>
      <c r="V89" s="160">
        <f>IFERROR(U88/'Income Statement'!V8,"NM")</f>
        <v>9.1301075815967636E-2</v>
      </c>
      <c r="W89" s="160">
        <f>IFERROR(V88/'Income Statement'!W8,"NM")</f>
        <v>3.2523601074390819E-2</v>
      </c>
      <c r="X89" s="601">
        <f>IFERROR(W88/'Income Statement'!X8,"NM")</f>
        <v>0.11630707348429885</v>
      </c>
      <c r="Y89" s="160">
        <f>IFERROR(X88/'Income Statement'!Y8,"NM")</f>
        <v>0.14371915322392539</v>
      </c>
      <c r="Z89" s="160">
        <f>IFERROR(Y88/'Income Statement'!Z8,"NM")</f>
        <v>0.10047889614204274</v>
      </c>
      <c r="AA89" s="160">
        <f>IFERROR(Z88/'Income Statement'!AA8,"NM")</f>
        <v>7.8669944683466608E-2</v>
      </c>
      <c r="AB89" s="199">
        <f>IFERROR(AA88/'Income Statement'!AB8,"NM")</f>
        <v>1.206337458861117E-2</v>
      </c>
      <c r="AC89" s="601">
        <f>IFERROR(AB88/'Income Statement'!AC8,"NM")</f>
        <v>4.8591761978060505E-2</v>
      </c>
      <c r="AD89" s="160">
        <f>IFERROR(AC88/'Income Statement'!AD8,"NM")</f>
        <v>0.1397990068828833</v>
      </c>
      <c r="AE89" s="160">
        <f>IFERROR(AD88/'Income Statement'!AE8,"NM")</f>
        <v>0.12705724784651434</v>
      </c>
      <c r="AF89" s="160">
        <f>IFERROR(AE88/'Income Statement'!AF8,"NM")</f>
        <v>9.7416857571688054E-2</v>
      </c>
      <c r="AG89" s="199">
        <f>IFERROR(AF88/'Income Statement'!AG8,"NM")</f>
        <v>1.6404223345935467E-2</v>
      </c>
      <c r="AH89" s="601">
        <f>IFERROR(AG88/'Income Statement'!AH8,"NM")</f>
        <v>6.5659190494538486E-2</v>
      </c>
      <c r="AI89" s="160">
        <f>IFERROR(AH88/'Income Statement'!AI8,"NM")</f>
        <v>0.11529391505665917</v>
      </c>
      <c r="AJ89" s="160">
        <f>IFERROR(AI88/'Income Statement'!AJ8,"NM")</f>
        <v>6.4216181181368279E-2</v>
      </c>
      <c r="AK89" s="160">
        <f>IFERROR(AJ88/'Income Statement'!AK8,"NM")</f>
        <v>4.0700383225389422E-2</v>
      </c>
      <c r="AL89" s="199">
        <f>IFERROR(AK88/'Income Statement'!AL8,"NM")</f>
        <v>6.2726148314883028E-3</v>
      </c>
      <c r="AM89" s="601">
        <f>IFERROR(AL88/'Income Statement'!AM8,"NM")</f>
        <v>2.3614158165900279E-2</v>
      </c>
      <c r="AN89" s="160">
        <f>IFERROR(AM88/'Income Statement'!AN8,"NM")</f>
        <v>5.1087544391799612E-2</v>
      </c>
      <c r="AO89" s="160">
        <f>IFERROR(AN88/'Income Statement'!AO8,"NM")</f>
        <v>9.3373102937930871E-2</v>
      </c>
      <c r="AP89" s="160">
        <f>IFERROR(AO88/'Income Statement'!AP8,"NM")</f>
        <v>4.9633678560837294E-2</v>
      </c>
      <c r="AQ89" s="199">
        <f>IFERROR(AP88/'Income Statement'!AQ8,"NM")</f>
        <v>1.2793266407538926E-2</v>
      </c>
      <c r="AR89" s="601">
        <f>IFERROR(AQ88/'Income Statement'!AR8,"NM")</f>
        <v>4.4282050041136292E-2</v>
      </c>
      <c r="AS89" s="160">
        <f>IFERROR(AR88/'Income Statement'!AS8,"NM")</f>
        <v>9.4670540296209263E-2</v>
      </c>
      <c r="AT89" s="160">
        <f>IFERROR(AS88/'Income Statement'!AT8,"NM")</f>
        <v>0.13630936960720216</v>
      </c>
      <c r="AU89" s="160">
        <f>IFERROR(AT88/'Income Statement'!AU8,"NM")</f>
        <v>0.15520507041050699</v>
      </c>
      <c r="AV89" s="199">
        <f>IFERROR(AU88/'Income Statement'!AV8,"NM")</f>
        <v>3.8987384569870866E-2</v>
      </c>
      <c r="AW89" s="601">
        <f>IFERROR(AV88/'Income Statement'!AW8,"NM")</f>
        <v>0.16479823173639541</v>
      </c>
      <c r="AX89" s="160">
        <f>IFERROR(AW88/'Income Statement'!AX8,"NM")</f>
        <v>0.16738024421915809</v>
      </c>
      <c r="AY89" s="160">
        <f>IFERROR(AX88/'Income Statement'!AY8,"NM")</f>
        <v>0.14662049890084933</v>
      </c>
      <c r="AZ89" s="160">
        <f>IFERROR(AY88/'Income Statement'!AZ8,"NM")</f>
        <v>0.17956763924316899</v>
      </c>
      <c r="BA89" s="199">
        <f>IFERROR(AZ88/'Income Statement'!BA8,"NM")</f>
        <v>2.3027778192309178E-2</v>
      </c>
      <c r="BB89" s="601">
        <f>IFERROR(BA88/'Income Statement'!BB8,"NM")</f>
        <v>8.7910966844423843E-2</v>
      </c>
      <c r="BC89" s="160">
        <f>IFERROR(BB88/'Income Statement'!BC8,"NM")</f>
        <v>0.12171846985826802</v>
      </c>
      <c r="BD89" s="160">
        <f>IFERROR(BC88/'Income Statement'!BD8,"NM")</f>
        <v>0.16708526154164038</v>
      </c>
      <c r="BE89" s="160">
        <f>IFERROR(BD88/'Income Statement'!BE8,"NM")</f>
        <v>0.13778391178217647</v>
      </c>
      <c r="BF89" s="199">
        <f>IFERROR(BE88/'Income Statement'!BF8,"NM")</f>
        <v>3.0878744334052122E-2</v>
      </c>
      <c r="BG89" s="601">
        <f>IFERROR(BF88/'Income Statement'!BG8,"NM")</f>
        <v>0.11918918742206559</v>
      </c>
      <c r="BH89" s="160">
        <f>IFERROR(BG88/'Income Statement'!BH8,"NM")</f>
        <v>0.10245818594681227</v>
      </c>
      <c r="BI89" s="160">
        <f>IFERROR(BH88/'Income Statement'!BI8,"NM")</f>
        <v>0.13921651702947271</v>
      </c>
      <c r="BJ89" s="160">
        <f>IFERROR(BI88/'Income Statement'!BJ8,"NM")</f>
        <v>5.1518216573956312E-2</v>
      </c>
      <c r="BK89" s="199">
        <f>IFERROR(BJ88/'Income Statement'!BK8,"NM")</f>
        <v>2.7176767730403312E-2</v>
      </c>
      <c r="BL89" s="601">
        <f>IFERROR(BK88/'Income Statement'!BL8,"NM")</f>
        <v>0.102740266125167</v>
      </c>
      <c r="BM89" s="160">
        <f>IFERROR(BL88/'Income Statement'!BM8,"NM")</f>
        <v>7.0621302035755229E-2</v>
      </c>
      <c r="BN89" s="160">
        <f>IFERROR(BM88/'Income Statement'!BN8,"NM")</f>
        <v>0.12715995402321464</v>
      </c>
      <c r="BO89" s="160">
        <f>IFERROR(BN88/'Income Statement'!BO8,"NM")</f>
        <v>6.4282350496904908E-2</v>
      </c>
      <c r="BP89" s="199">
        <f>IFERROR(BO88/'Income Statement'!BP8,"NM")</f>
        <v>2.463767219897578E-2</v>
      </c>
      <c r="BQ89" s="601">
        <f>IFERROR(BP88/'Income Statement'!BQ8,"NM")</f>
        <v>9.8575313800724165E-2</v>
      </c>
      <c r="BR89" s="160">
        <f>IFERROR(BQ88/'Income Statement'!BR8,"NM")</f>
        <v>6.6448393186529522E-2</v>
      </c>
      <c r="BS89" s="160">
        <f>IFERROR(BR88/'Income Statement'!BS8,"NM")</f>
        <v>0.13841965469619014</v>
      </c>
      <c r="BT89" s="160">
        <f>IFERROR(BS88/'Income Statement'!BT8,"NM")</f>
        <v>5.9800480514408748E-2</v>
      </c>
      <c r="BU89" s="199">
        <f>IFERROR(BT88/'Income Statement'!BU8,"NM")</f>
        <v>2.7092517718226478E-2</v>
      </c>
      <c r="BV89" s="601">
        <f>IFERROR(BU88/'Income Statement'!BV8,"NM")</f>
        <v>0.10942328054099935</v>
      </c>
      <c r="BW89" s="160">
        <f>IFERROR(BV88/'Income Statement'!BW8,"NM")</f>
        <v>5.8600508447423802E-2</v>
      </c>
      <c r="BX89" s="160">
        <f>IFERROR(BW88/'Income Statement'!BX8,"NM")</f>
        <v>0.1542341083790548</v>
      </c>
      <c r="BY89" s="160">
        <f>IFERROR(BX88/'Income Statement'!BY8,"NM")</f>
        <v>4.9641044147574719E-2</v>
      </c>
      <c r="BZ89" s="199">
        <f>IFERROR(BY88/'Income Statement'!BZ8,"NM")</f>
        <v>3.1357499258500912E-2</v>
      </c>
    </row>
    <row r="90" spans="1:78" s="115" customFormat="1" ht="14.1" customHeight="1" outlineLevel="1" x14ac:dyDescent="0.2">
      <c r="A90"/>
      <c r="B90"/>
      <c r="C90" s="565" t="s">
        <v>162</v>
      </c>
      <c r="D90" s="115">
        <f t="shared" ref="D90:O90" si="111">IFERROR(D15-SUM(D31:D34),"NM")</f>
        <v>50.406000000000006</v>
      </c>
      <c r="E90" s="115">
        <f t="shared" si="111"/>
        <v>22.144999999999982</v>
      </c>
      <c r="F90" s="115">
        <f t="shared" si="111"/>
        <v>29.557999999999993</v>
      </c>
      <c r="G90" s="115">
        <f t="shared" si="111"/>
        <v>36.739000000000033</v>
      </c>
      <c r="H90" s="115">
        <f t="shared" si="111"/>
        <v>135.86799999999994</v>
      </c>
      <c r="I90" s="115">
        <f t="shared" si="111"/>
        <v>296.245</v>
      </c>
      <c r="J90" s="569">
        <f t="shared" si="111"/>
        <v>362.56800000000004</v>
      </c>
      <c r="K90" s="115">
        <f t="shared" si="111"/>
        <v>114.60348515701372</v>
      </c>
      <c r="L90" s="115">
        <f t="shared" si="111"/>
        <v>205.22835639947021</v>
      </c>
      <c r="M90" s="115">
        <f t="shared" si="111"/>
        <v>390.05212002111335</v>
      </c>
      <c r="N90" s="115">
        <f t="shared" si="111"/>
        <v>456.94069111100407</v>
      </c>
      <c r="O90" s="480">
        <f t="shared" si="111"/>
        <v>496.89907639960245</v>
      </c>
      <c r="P90" s="558"/>
      <c r="Q90" s="480"/>
      <c r="R90" s="210" t="str">
        <f t="shared" si="107"/>
        <v>Working Capital (Including Cash)</v>
      </c>
      <c r="T90" s="115">
        <f>IFERROR(T15-SUM(T31:T34),"NM")</f>
        <v>46.598000000000013</v>
      </c>
      <c r="U90" s="115">
        <f>IFERROR(U15-SUM(U31:U34),"NM")</f>
        <v>34.171999999999969</v>
      </c>
      <c r="V90" s="115">
        <f>IFERROR(V15-SUM(V31:V34),"NM")</f>
        <v>50.406000000000006</v>
      </c>
      <c r="W90" s="115">
        <f>IFERROR(W15-SUM(W31:W34),"NM")</f>
        <v>50.406000000000006</v>
      </c>
      <c r="X90" s="558">
        <f>IFERROR(X15-SUM(X31:X34),"NM")</f>
        <v>62.113</v>
      </c>
      <c r="Y90" s="115">
        <f t="shared" ref="Y90:BC90" si="112">IFERROR(Y15-SUM(Y31:Y34),"NM")</f>
        <v>43.949000000000012</v>
      </c>
      <c r="Z90" s="115">
        <f t="shared" si="112"/>
        <v>32.52800000000002</v>
      </c>
      <c r="AA90" s="115">
        <f t="shared" si="112"/>
        <v>22.144999999999982</v>
      </c>
      <c r="AB90" s="480">
        <f t="shared" si="112"/>
        <v>22.144999999999982</v>
      </c>
      <c r="AC90" s="558">
        <f t="shared" si="112"/>
        <v>64.925000000000011</v>
      </c>
      <c r="AD90" s="115">
        <f t="shared" si="112"/>
        <v>60.079000000000008</v>
      </c>
      <c r="AE90" s="115">
        <f t="shared" si="112"/>
        <v>43.176999999999936</v>
      </c>
      <c r="AF90" s="115">
        <f t="shared" si="112"/>
        <v>29.557999999999993</v>
      </c>
      <c r="AG90" s="480">
        <f t="shared" si="112"/>
        <v>29.557999999999993</v>
      </c>
      <c r="AH90" s="558">
        <f t="shared" si="112"/>
        <v>95.114999999999981</v>
      </c>
      <c r="AI90" s="115">
        <f t="shared" si="112"/>
        <v>60.19199999999995</v>
      </c>
      <c r="AJ90" s="115">
        <f t="shared" si="112"/>
        <v>44.861999999999966</v>
      </c>
      <c r="AK90" s="115">
        <f t="shared" si="112"/>
        <v>36.739000000000033</v>
      </c>
      <c r="AL90" s="480">
        <f t="shared" si="112"/>
        <v>36.739000000000033</v>
      </c>
      <c r="AM90" s="558">
        <f t="shared" si="112"/>
        <v>82.448000000000093</v>
      </c>
      <c r="AN90" s="115">
        <f t="shared" si="112"/>
        <v>110.39800000000002</v>
      </c>
      <c r="AO90" s="115">
        <f t="shared" si="112"/>
        <v>152.33000000000004</v>
      </c>
      <c r="AP90" s="115">
        <f t="shared" si="112"/>
        <v>135.86799999999994</v>
      </c>
      <c r="AQ90" s="480">
        <f t="shared" si="112"/>
        <v>135.86799999999994</v>
      </c>
      <c r="AR90" s="558">
        <f t="shared" si="112"/>
        <v>211.90699999999998</v>
      </c>
      <c r="AS90" s="115">
        <f t="shared" si="112"/>
        <v>237.31700000000001</v>
      </c>
      <c r="AT90" s="115">
        <f t="shared" si="112"/>
        <v>251.59700000000009</v>
      </c>
      <c r="AU90" s="115">
        <f t="shared" si="112"/>
        <v>296.245</v>
      </c>
      <c r="AV90" s="480">
        <f t="shared" si="112"/>
        <v>296.245</v>
      </c>
      <c r="AW90" s="558">
        <f t="shared" si="112"/>
        <v>282.69100000000003</v>
      </c>
      <c r="AX90" s="115">
        <f t="shared" si="112"/>
        <v>348.649</v>
      </c>
      <c r="AY90" s="115">
        <f t="shared" si="112"/>
        <v>384.14099999999996</v>
      </c>
      <c r="AZ90" s="115">
        <f t="shared" si="112"/>
        <v>362.56800000000004</v>
      </c>
      <c r="BA90" s="480">
        <f t="shared" si="112"/>
        <v>362.56800000000004</v>
      </c>
      <c r="BB90" s="558">
        <f t="shared" si="112"/>
        <v>112.512</v>
      </c>
      <c r="BC90" s="115">
        <f t="shared" si="112"/>
        <v>151.87199999999996</v>
      </c>
      <c r="BD90" s="115">
        <f t="shared" ref="BD90:BZ90" si="113">IFERROR(BD15-SUM(BD31:BD34),"NM")</f>
        <v>123.11399999999998</v>
      </c>
      <c r="BE90" s="115">
        <f t="shared" si="113"/>
        <v>114.60348515701372</v>
      </c>
      <c r="BF90" s="480">
        <f t="shared" si="113"/>
        <v>114.60348515701372</v>
      </c>
      <c r="BG90" s="558">
        <f t="shared" si="113"/>
        <v>186.47155530013515</v>
      </c>
      <c r="BH90" s="115">
        <f t="shared" si="113"/>
        <v>236.51811357816069</v>
      </c>
      <c r="BI90" s="115">
        <f t="shared" si="113"/>
        <v>232.40820536249174</v>
      </c>
      <c r="BJ90" s="115">
        <f t="shared" si="113"/>
        <v>205.22835639947021</v>
      </c>
      <c r="BK90" s="480">
        <f t="shared" si="113"/>
        <v>205.22835639947021</v>
      </c>
      <c r="BL90" s="558">
        <f t="shared" si="113"/>
        <v>251.30629722439841</v>
      </c>
      <c r="BM90" s="115">
        <f t="shared" si="113"/>
        <v>318.14729252940964</v>
      </c>
      <c r="BN90" s="115">
        <f t="shared" si="113"/>
        <v>353.0383235527716</v>
      </c>
      <c r="BO90" s="115">
        <f t="shared" si="113"/>
        <v>390.05212002111335</v>
      </c>
      <c r="BP90" s="480">
        <f t="shared" si="113"/>
        <v>390.05212002111335</v>
      </c>
      <c r="BQ90" s="558">
        <f t="shared" si="113"/>
        <v>369.06536255694772</v>
      </c>
      <c r="BR90" s="115">
        <f t="shared" si="113"/>
        <v>417.15915320152345</v>
      </c>
      <c r="BS90" s="115">
        <f t="shared" si="113"/>
        <v>432.71416097353699</v>
      </c>
      <c r="BT90" s="115">
        <f t="shared" si="113"/>
        <v>456.94069111100407</v>
      </c>
      <c r="BU90" s="480">
        <f t="shared" si="113"/>
        <v>456.94069111100407</v>
      </c>
      <c r="BV90" s="558">
        <f t="shared" si="113"/>
        <v>421.09547079404871</v>
      </c>
      <c r="BW90" s="115">
        <f t="shared" si="113"/>
        <v>472.7819705246178</v>
      </c>
      <c r="BX90" s="115">
        <f t="shared" si="113"/>
        <v>485.28892733889853</v>
      </c>
      <c r="BY90" s="115">
        <f t="shared" si="113"/>
        <v>496.89907639960245</v>
      </c>
      <c r="BZ90" s="480">
        <f t="shared" si="113"/>
        <v>496.89907639960245</v>
      </c>
    </row>
    <row r="91" spans="1:78" s="115" customFormat="1" ht="14.1" customHeight="1" outlineLevel="1" x14ac:dyDescent="0.2">
      <c r="A91"/>
      <c r="B91"/>
      <c r="C91" s="565" t="s">
        <v>163</v>
      </c>
      <c r="D91" s="160"/>
      <c r="E91" s="160">
        <f>IFERROR(D90/'Income Statement'!E8,"NM")</f>
        <v>3.0477994061126504E-2</v>
      </c>
      <c r="F91" s="160">
        <f>IFERROR(E90/'Income Statement'!F8,"NM")</f>
        <v>1.239411552356672E-2</v>
      </c>
      <c r="G91" s="160">
        <f>IFERROR(F90/'Income Statement'!G8,"NM")</f>
        <v>1.621957389459636E-2</v>
      </c>
      <c r="H91" s="160">
        <f>IFERROR(G90/'Income Statement'!H8,"NM")</f>
        <v>1.6052316070579695E-2</v>
      </c>
      <c r="I91" s="160">
        <f>IFERROR(H90/'Income Statement'!I8,"NM")</f>
        <v>4.8662330317754958E-2</v>
      </c>
      <c r="J91" s="586">
        <f>IFERROR(I90/'Income Statement'!J8,"NM")</f>
        <v>0.10281169126611654</v>
      </c>
      <c r="K91" s="160">
        <f>IFERROR(J90/'Income Statement'!K8,"NM")</f>
        <v>0.11298107557560125</v>
      </c>
      <c r="L91" s="160">
        <f>IFERROR(K90/'Income Statement'!L8,"NM")</f>
        <v>3.2169661256349659E-2</v>
      </c>
      <c r="M91" s="160">
        <f>IFERROR(L90/'Income Statement'!M8,"NM")</f>
        <v>5.0164356928721565E-2</v>
      </c>
      <c r="N91" s="160">
        <f>IFERROR(M90/'Income Statement'!N8,"NM")</f>
        <v>8.7574065767275056E-2</v>
      </c>
      <c r="O91" s="199">
        <f>IFERROR(N90/'Income Statement'!O8,"NM")</f>
        <v>9.5033364202195478E-2</v>
      </c>
      <c r="P91" s="558"/>
      <c r="Q91" s="480"/>
      <c r="R91" s="210" t="str">
        <f t="shared" si="107"/>
        <v>Working Capital / Sales (t+1)</v>
      </c>
      <c r="S91" s="160"/>
      <c r="T91" s="160"/>
      <c r="U91" s="160">
        <f>IFERROR(T90/'Income Statement'!U8,"NM")</f>
        <v>0.13311356274031461</v>
      </c>
      <c r="V91" s="160">
        <f>IFERROR(U90/'Income Statement'!V8,"NM")</f>
        <v>9.1518006593624274E-2</v>
      </c>
      <c r="W91" s="160">
        <f>IFERROR(V90/'Income Statement'!W8,"NM")</f>
        <v>3.5883741972502374E-2</v>
      </c>
      <c r="X91" s="601">
        <f>IFERROR(W90/'Income Statement'!X8,"NM")</f>
        <v>0.12832321380837822</v>
      </c>
      <c r="Y91" s="160">
        <f>IFERROR(X90/'Income Statement'!Y8,"NM")</f>
        <v>0.1448760531054365</v>
      </c>
      <c r="Z91" s="160">
        <f>IFERROR(Y90/'Income Statement'!Z8,"NM")</f>
        <v>0.10327284860960333</v>
      </c>
      <c r="AA91" s="160">
        <f>IFERROR(Z90/'Income Statement'!AA8,"NM")</f>
        <v>7.9970497848801572E-2</v>
      </c>
      <c r="AB91" s="199">
        <f>IFERROR(AA90/'Income Statement'!AB8,"NM")</f>
        <v>1.3389976956783831E-2</v>
      </c>
      <c r="AC91" s="601">
        <f>IFERROR(AB90/'Income Statement'!AC8,"NM")</f>
        <v>5.3935370106969541E-2</v>
      </c>
      <c r="AD91" s="160">
        <f>IFERROR(AC90/'Income Statement'!AD8,"NM")</f>
        <v>0.13986578916188241</v>
      </c>
      <c r="AE91" s="160">
        <f>IFERROR(AD90/'Income Statement'!AE8,"NM")</f>
        <v>0.12812999183179033</v>
      </c>
      <c r="AF91" s="160">
        <f>IFERROR(AE90/'Income Statement'!AF8,"NM")</f>
        <v>9.7450712649385429E-2</v>
      </c>
      <c r="AG91" s="199">
        <f>IFERROR(AF90/'Income Statement'!AG8,"NM")</f>
        <v>1.6543024007477324E-2</v>
      </c>
      <c r="AH91" s="601">
        <f>IFERROR(AG90/'Income Statement'!AH8,"NM")</f>
        <v>6.6214751028235E-2</v>
      </c>
      <c r="AI91" s="160">
        <f>IFERROR(AH90/'Income Statement'!AI8,"NM")</f>
        <v>0.22748580530668666</v>
      </c>
      <c r="AJ91" s="160">
        <f>IFERROR(AI90/'Income Statement'!AJ8,"NM")</f>
        <v>0.12504206708297488</v>
      </c>
      <c r="AK91" s="160">
        <f>IFERROR(AJ90/'Income Statement'!AK8,"NM")</f>
        <v>9.4152559802888613E-2</v>
      </c>
      <c r="AL91" s="199">
        <f>IFERROR(AK90/'Income Statement'!AL8,"NM")</f>
        <v>2.0160055663900684E-2</v>
      </c>
      <c r="AM91" s="601">
        <f>IFERROR(AL90/'Income Statement'!AM8,"NM")</f>
        <v>7.5895420948036932E-2</v>
      </c>
      <c r="AN91" s="160">
        <f>IFERROR(AM90/'Income Statement'!AN8,"NM")</f>
        <v>0.14430813553566851</v>
      </c>
      <c r="AO91" s="160">
        <f>IFERROR(AN90/'Income Statement'!AO8,"NM")</f>
        <v>0.17915471198410951</v>
      </c>
      <c r="AP91" s="160">
        <f>IFERROR(AO90/'Income Statement'!AP8,"NM")</f>
        <v>0.24685576123717956</v>
      </c>
      <c r="AQ91" s="199">
        <f>IFERROR(AP90/'Income Statement'!AQ8,"NM")</f>
        <v>5.9364601101758868E-2</v>
      </c>
      <c r="AR91" s="601">
        <f>IFERROR(AQ90/'Income Statement'!AR8,"NM")</f>
        <v>0.20548202100372637</v>
      </c>
      <c r="AS91" s="160">
        <f>IFERROR(AR90/'Income Statement'!AS8,"NM")</f>
        <v>0.28422756768792062</v>
      </c>
      <c r="AT91" s="160">
        <f>IFERROR(AS90/'Income Statement'!AT8,"NM")</f>
        <v>0.32528739886041058</v>
      </c>
      <c r="AU91" s="160">
        <f>IFERROR(AT90/'Income Statement'!AU8,"NM")</f>
        <v>0.3836922739070896</v>
      </c>
      <c r="AV91" s="199">
        <f>IFERROR(AU90/'Income Statement'!AV8,"NM")</f>
        <v>0.10610277655506317</v>
      </c>
      <c r="AW91" s="601">
        <f>IFERROR(AV90/'Income Statement'!AW8,"NM")</f>
        <v>0.44849250985943218</v>
      </c>
      <c r="AX91" s="160">
        <f>IFERROR(AW90/'Income Statement'!AX8,"NM")</f>
        <v>0.40697098565838691</v>
      </c>
      <c r="AY91" s="160">
        <f>IFERROR(AX90/'Income Statement'!AY8,"NM")</f>
        <v>0.44978610425933763</v>
      </c>
      <c r="AZ91" s="160">
        <f>IFERROR(AY90/'Income Statement'!AZ8,"NM")</f>
        <v>0.51141610262909842</v>
      </c>
      <c r="BA91" s="199">
        <f>IFERROR(AZ90/'Income Statement'!BA8,"NM")</f>
        <v>0.12582905797219648</v>
      </c>
      <c r="BB91" s="601">
        <f>IFERROR(BA90/'Income Statement'!BB8,"NM")</f>
        <v>0.48036567188897361</v>
      </c>
      <c r="BC91" s="160">
        <f>IFERROR(BB90/'Income Statement'!BC8,"NM")</f>
        <v>0.1366690798839712</v>
      </c>
      <c r="BD91" s="160">
        <f>IFERROR(BC90/'Income Statement'!BD8,"NM")</f>
        <v>0.18034848468655257</v>
      </c>
      <c r="BE91" s="160">
        <f>IFERROR(BD90/'Income Statement'!BE8,"NM")</f>
        <v>0.15604162042839942</v>
      </c>
      <c r="BF91" s="199">
        <f>IFERROR(BE90/'Income Statement'!BF8,"NM")</f>
        <v>3.5711990627280567E-2</v>
      </c>
      <c r="BG91" s="601">
        <f>IFERROR(BF90/'Income Statement'!BG8,"NM")</f>
        <v>0.13784508521598388</v>
      </c>
      <c r="BH91" s="160">
        <f>IFERROR(BG90/'Income Statement'!BH8,"NM")</f>
        <v>0.2027290195068579</v>
      </c>
      <c r="BI91" s="160">
        <f>IFERROR(BH90/'Income Statement'!BI8,"NM")</f>
        <v>0.25693426867602226</v>
      </c>
      <c r="BJ91" s="160">
        <f>IFERROR(BI90/'Income Statement'!BJ8,"NM")</f>
        <v>0.26091840631930607</v>
      </c>
      <c r="BK91" s="199">
        <f>IFERROR(BJ90/'Income Statement'!BK8,"NM")</f>
        <v>5.7608428718577305E-2</v>
      </c>
      <c r="BL91" s="601">
        <f>IFERROR(BK90/'Income Statement'!BL8,"NM")</f>
        <v>0.21778547604754137</v>
      </c>
      <c r="BM91" s="160">
        <f>IFERROR(BL90/'Income Statement'!BM8,"NM")</f>
        <v>0.23993134907293831</v>
      </c>
      <c r="BN91" s="160">
        <f>IFERROR(BM90/'Income Statement'!BN8,"NM")</f>
        <v>0.30150787400564527</v>
      </c>
      <c r="BO91" s="160">
        <f>IFERROR(BN90/'Income Statement'!BO8,"NM")</f>
        <v>0.33745442957577343</v>
      </c>
      <c r="BP91" s="199">
        <f>IFERROR(BO90/'Income Statement'!BP8,"NM")</f>
        <v>9.5341180491928273E-2</v>
      </c>
      <c r="BQ91" s="601">
        <f>IFERROR(BP90/'Income Statement'!BQ8,"NM")</f>
        <v>0.38146001412885144</v>
      </c>
      <c r="BR91" s="160">
        <f>IFERROR(BQ90/'Income Statement'!BR8,"NM")</f>
        <v>0.32349753694427835</v>
      </c>
      <c r="BS91" s="160">
        <f>IFERROR(BR90/'Income Statement'!BS8,"NM")</f>
        <v>0.36118267435254814</v>
      </c>
      <c r="BT91" s="160">
        <f>IFERROR(BS90/'Income Statement'!BT8,"NM")</f>
        <v>0.38104346321779281</v>
      </c>
      <c r="BU91" s="199">
        <f>IFERROR(BT90/'Income Statement'!BU8,"NM")</f>
        <v>0.10259181294267322</v>
      </c>
      <c r="BV91" s="601">
        <f>IFERROR(BU90/'Income Statement'!BV8,"NM")</f>
        <v>0.41435546321645922</v>
      </c>
      <c r="BW91" s="160">
        <f>IFERROR(BV90/'Income Statement'!BW8,"NM")</f>
        <v>0.33995251840159357</v>
      </c>
      <c r="BX91" s="160">
        <f>IFERROR(BW90/'Income Statement'!BX8,"NM")</f>
        <v>0.37794823282026124</v>
      </c>
      <c r="BY91" s="160">
        <f>IFERROR(BX90/'Income Statement'!BY8,"NM")</f>
        <v>0.39914130616711108</v>
      </c>
      <c r="BZ91" s="199">
        <f>IFERROR(BY90/'Income Statement'!BZ8,"NM")</f>
        <v>0.10334380767097494</v>
      </c>
    </row>
    <row r="92" spans="1:78" s="115" customFormat="1" ht="14.1" customHeight="1" outlineLevel="1" x14ac:dyDescent="0.2">
      <c r="A92"/>
      <c r="B92"/>
      <c r="C92" s="565" t="s">
        <v>164</v>
      </c>
      <c r="D92" s="162">
        <f t="shared" ref="D92:O92" si="114">IFERROR(D15/D35,"NM")</f>
        <v>1.217599415309778</v>
      </c>
      <c r="E92" s="162">
        <f t="shared" si="114"/>
        <v>1.0194113993598013</v>
      </c>
      <c r="F92" s="162">
        <f t="shared" si="114"/>
        <v>0.96324458716638317</v>
      </c>
      <c r="G92" s="162">
        <f t="shared" si="114"/>
        <v>0.98528398500112424</v>
      </c>
      <c r="H92" s="162">
        <f t="shared" si="114"/>
        <v>1.2953402541792698</v>
      </c>
      <c r="I92" s="162">
        <f t="shared" si="114"/>
        <v>1.9369392706642101</v>
      </c>
      <c r="J92" s="585">
        <f t="shared" si="114"/>
        <v>2.0142273393447101</v>
      </c>
      <c r="K92" s="162">
        <f t="shared" si="114"/>
        <v>1.2488233311605541</v>
      </c>
      <c r="L92" s="162">
        <f t="shared" si="114"/>
        <v>1.4421887412220438</v>
      </c>
      <c r="M92" s="162">
        <f t="shared" si="114"/>
        <v>1.7553122834450403</v>
      </c>
      <c r="N92" s="162">
        <f t="shared" si="114"/>
        <v>1.7879501688349853</v>
      </c>
      <c r="O92" s="626">
        <f t="shared" si="114"/>
        <v>1.7820806761043624</v>
      </c>
      <c r="P92" s="558"/>
      <c r="Q92" s="480"/>
      <c r="R92" s="210" t="str">
        <f t="shared" si="107"/>
        <v>Current Ratio</v>
      </c>
      <c r="S92" s="162"/>
      <c r="T92" s="162">
        <f>IFERROR(T15/T35,"NM")</f>
        <v>1.178466437290177</v>
      </c>
      <c r="U92" s="162">
        <f>IFERROR(U15/U35,"NM")</f>
        <v>1.0931885187385217</v>
      </c>
      <c r="V92" s="162">
        <f>IFERROR(V15/V35,"NM")</f>
        <v>1.217599415309778</v>
      </c>
      <c r="W92" s="162">
        <f>IFERROR(W15/W35,"NM")</f>
        <v>1.217599415309778</v>
      </c>
      <c r="X92" s="636">
        <f>IFERROR(X15/X35,"NM")</f>
        <v>1.2648466226766735</v>
      </c>
      <c r="Y92" s="162">
        <f t="shared" ref="Y92:BC92" si="115">IFERROR(Y15/Y35,"NM")</f>
        <v>1.1318727289531416</v>
      </c>
      <c r="Z92" s="162">
        <f t="shared" si="115"/>
        <v>1.0710652154220957</v>
      </c>
      <c r="AA92" s="162">
        <f t="shared" si="115"/>
        <v>1.0194113993598013</v>
      </c>
      <c r="AB92" s="626">
        <f t="shared" si="115"/>
        <v>1.0194113993598013</v>
      </c>
      <c r="AC92" s="636">
        <f t="shared" si="115"/>
        <v>1.140074527347186</v>
      </c>
      <c r="AD92" s="162">
        <f t="shared" si="115"/>
        <v>1.1020236940849111</v>
      </c>
      <c r="AE92" s="162">
        <f t="shared" si="115"/>
        <v>1.0230579192972822</v>
      </c>
      <c r="AF92" s="162">
        <f t="shared" si="115"/>
        <v>0.96324458716638317</v>
      </c>
      <c r="AG92" s="626">
        <f t="shared" si="115"/>
        <v>0.96324458716638317</v>
      </c>
      <c r="AH92" s="636">
        <f t="shared" si="115"/>
        <v>1.2283143342421308</v>
      </c>
      <c r="AI92" s="162">
        <f t="shared" si="115"/>
        <v>1.0868582069699386</v>
      </c>
      <c r="AJ92" s="162">
        <f t="shared" si="115"/>
        <v>1.0160542056142563</v>
      </c>
      <c r="AK92" s="162">
        <f t="shared" si="115"/>
        <v>0.98528398500112424</v>
      </c>
      <c r="AL92" s="626">
        <f t="shared" si="115"/>
        <v>0.98528398500112424</v>
      </c>
      <c r="AM92" s="636">
        <f t="shared" si="115"/>
        <v>1.1336238600785009</v>
      </c>
      <c r="AN92" s="162">
        <f t="shared" si="115"/>
        <v>1.2421453517962757</v>
      </c>
      <c r="AO92" s="162">
        <f t="shared" si="115"/>
        <v>1.3307178231710379</v>
      </c>
      <c r="AP92" s="162">
        <f t="shared" si="115"/>
        <v>1.2953402541792698</v>
      </c>
      <c r="AQ92" s="626">
        <f t="shared" si="115"/>
        <v>1.2953402541792698</v>
      </c>
      <c r="AR92" s="636">
        <f t="shared" si="115"/>
        <v>1.505851893571911</v>
      </c>
      <c r="AS92" s="162">
        <f t="shared" si="115"/>
        <v>1.5815349595605472</v>
      </c>
      <c r="AT92" s="162">
        <f t="shared" si="115"/>
        <v>1.6291063583371008</v>
      </c>
      <c r="AU92" s="162">
        <f t="shared" si="115"/>
        <v>1.9369392706642101</v>
      </c>
      <c r="AV92" s="626">
        <f t="shared" si="115"/>
        <v>1.9369392706642101</v>
      </c>
      <c r="AW92" s="636">
        <f t="shared" si="115"/>
        <v>1.8981706347886194</v>
      </c>
      <c r="AX92" s="162">
        <f t="shared" si="115"/>
        <v>2.165664025380293</v>
      </c>
      <c r="AY92" s="162">
        <f t="shared" si="115"/>
        <v>2.1575287072065445</v>
      </c>
      <c r="AZ92" s="162">
        <f t="shared" si="115"/>
        <v>2.0142273393447101</v>
      </c>
      <c r="BA92" s="626">
        <f t="shared" si="115"/>
        <v>2.0142273393447101</v>
      </c>
      <c r="BB92" s="636">
        <f t="shared" si="115"/>
        <v>1.2323697642196509</v>
      </c>
      <c r="BC92" s="162">
        <f t="shared" si="115"/>
        <v>1.3606555876862254</v>
      </c>
      <c r="BD92" s="162">
        <f t="shared" ref="BD92:BZ92" si="116">IFERROR(BD15/BD35,"NM")</f>
        <v>1.26155483697894</v>
      </c>
      <c r="BE92" s="162">
        <f t="shared" si="116"/>
        <v>1.2488233311605541</v>
      </c>
      <c r="BF92" s="626">
        <f t="shared" si="116"/>
        <v>1.2488233311605541</v>
      </c>
      <c r="BG92" s="636">
        <f t="shared" si="116"/>
        <v>1.3870218744739147</v>
      </c>
      <c r="BH92" s="162">
        <f t="shared" si="116"/>
        <v>1.505802198127953</v>
      </c>
      <c r="BI92" s="162">
        <f t="shared" si="116"/>
        <v>1.4795113368144677</v>
      </c>
      <c r="BJ92" s="162">
        <f t="shared" si="116"/>
        <v>1.4421887412220438</v>
      </c>
      <c r="BK92" s="626">
        <f t="shared" si="116"/>
        <v>1.4421887412220438</v>
      </c>
      <c r="BL92" s="636">
        <f t="shared" si="116"/>
        <v>1.4635658960805564</v>
      </c>
      <c r="BM92" s="162">
        <f t="shared" si="116"/>
        <v>1.6191760737700638</v>
      </c>
      <c r="BN92" s="162">
        <f t="shared" si="116"/>
        <v>1.6748208426651361</v>
      </c>
      <c r="BO92" s="162">
        <f t="shared" si="116"/>
        <v>1.7553122834450403</v>
      </c>
      <c r="BP92" s="626">
        <f t="shared" si="116"/>
        <v>1.7553122834450403</v>
      </c>
      <c r="BQ92" s="636">
        <f t="shared" si="116"/>
        <v>1.710926210922044</v>
      </c>
      <c r="BR92" s="162">
        <f t="shared" si="116"/>
        <v>1.7261297916671046</v>
      </c>
      <c r="BS92" s="162">
        <f t="shared" si="116"/>
        <v>1.8201213152743532</v>
      </c>
      <c r="BT92" s="162">
        <f t="shared" si="116"/>
        <v>1.7879501688349853</v>
      </c>
      <c r="BU92" s="626">
        <f t="shared" si="116"/>
        <v>1.7879501688349853</v>
      </c>
      <c r="BV92" s="636">
        <f t="shared" si="116"/>
        <v>1.8058658101121776</v>
      </c>
      <c r="BW92" s="162">
        <f t="shared" si="116"/>
        <v>1.7355490450104798</v>
      </c>
      <c r="BX92" s="162">
        <f t="shared" si="116"/>
        <v>1.9050177762270886</v>
      </c>
      <c r="BY92" s="162">
        <f t="shared" si="116"/>
        <v>1.7820806761043624</v>
      </c>
      <c r="BZ92" s="626">
        <f t="shared" si="116"/>
        <v>1.7820806761043624</v>
      </c>
    </row>
    <row r="93" spans="1:78" s="115" customFormat="1" ht="14.1" customHeight="1" outlineLevel="1" x14ac:dyDescent="0.2">
      <c r="A93"/>
      <c r="B93"/>
      <c r="C93" s="565" t="s">
        <v>165</v>
      </c>
      <c r="D93" s="162">
        <f>IFERROR(SUM(D9:D10)/D35,"NM")</f>
        <v>2.8276002540047685E-2</v>
      </c>
      <c r="E93" s="162">
        <f t="shared" ref="E93:O93" si="117">IFERROR(SUM(E9:E10)/E35,"NM")</f>
        <v>1.0482060102240695E-2</v>
      </c>
      <c r="F93" s="162">
        <f t="shared" si="117"/>
        <v>1.0279958929906017E-3</v>
      </c>
      <c r="G93" s="162">
        <f t="shared" si="117"/>
        <v>9.1777453817533008E-2</v>
      </c>
      <c r="H93" s="162">
        <f t="shared" si="117"/>
        <v>0.3316902548016481</v>
      </c>
      <c r="I93" s="162">
        <f t="shared" si="117"/>
        <v>0.68369301494062062</v>
      </c>
      <c r="J93" s="585">
        <f t="shared" si="117"/>
        <v>0.91976240156991307</v>
      </c>
      <c r="K93" s="162">
        <f t="shared" si="117"/>
        <v>4.6824894054267228E-2</v>
      </c>
      <c r="L93" s="162">
        <f t="shared" si="117"/>
        <v>0.27976755232200801</v>
      </c>
      <c r="M93" s="162">
        <f t="shared" si="117"/>
        <v>0.62166299760614585</v>
      </c>
      <c r="N93" s="162">
        <f t="shared" si="117"/>
        <v>0.63753456335575287</v>
      </c>
      <c r="O93" s="626">
        <f t="shared" si="117"/>
        <v>0.59740253901401541</v>
      </c>
      <c r="P93" s="558"/>
      <c r="Q93" s="480"/>
      <c r="R93" s="210" t="str">
        <f t="shared" si="107"/>
        <v>Quick Ratio</v>
      </c>
      <c r="S93" s="162"/>
      <c r="T93" s="162">
        <f>IFERROR(SUM(T9:T10)/T35,"NM")</f>
        <v>2.3792344708737571E-3</v>
      </c>
      <c r="U93" s="162">
        <f>IFERROR(SUM(U9:U10)/U35,"NM")</f>
        <v>4.4141929928773454E-4</v>
      </c>
      <c r="V93" s="162">
        <f>IFERROR(SUM(V9:V10)/V35,"NM")</f>
        <v>2.8276002540047685E-2</v>
      </c>
      <c r="W93" s="162">
        <f>IFERROR(SUM(W9:W10)/W35,"NM")</f>
        <v>2.8276002540047685E-2</v>
      </c>
      <c r="X93" s="636">
        <f>IFERROR(SUM(X9:X10)/X35,"NM")</f>
        <v>2.7759588531260314E-3</v>
      </c>
      <c r="Y93" s="162">
        <f t="shared" ref="Y93:BC93" si="118">IFERROR(SUM(Y9:Y10)/Y35,"NM")</f>
        <v>5.7837209415450173E-3</v>
      </c>
      <c r="Z93" s="162">
        <f t="shared" si="118"/>
        <v>2.5220380355755159E-3</v>
      </c>
      <c r="AA93" s="162">
        <f t="shared" si="118"/>
        <v>1.0482060102240695E-2</v>
      </c>
      <c r="AB93" s="626">
        <f t="shared" si="118"/>
        <v>1.0482060102240695E-2</v>
      </c>
      <c r="AC93" s="636">
        <f t="shared" si="118"/>
        <v>1.4659567022594648E-4</v>
      </c>
      <c r="AD93" s="162">
        <f t="shared" si="118"/>
        <v>2.1206627598128087E-3</v>
      </c>
      <c r="AE93" s="162">
        <f t="shared" si="118"/>
        <v>6.1455008788066249E-5</v>
      </c>
      <c r="AF93" s="162">
        <f t="shared" si="118"/>
        <v>1.0279958929906017E-3</v>
      </c>
      <c r="AG93" s="626">
        <f t="shared" si="118"/>
        <v>1.0279958929906017E-3</v>
      </c>
      <c r="AH93" s="636">
        <f t="shared" si="118"/>
        <v>0.18835400546884723</v>
      </c>
      <c r="AI93" s="162">
        <f t="shared" si="118"/>
        <v>0.11801978282425209</v>
      </c>
      <c r="AJ93" s="162">
        <f t="shared" si="118"/>
        <v>9.2382413644261141E-2</v>
      </c>
      <c r="AK93" s="162">
        <f t="shared" si="118"/>
        <v>9.1777453817533008E-2</v>
      </c>
      <c r="AL93" s="626">
        <f t="shared" si="118"/>
        <v>9.1777453817533008E-2</v>
      </c>
      <c r="AM93" s="636">
        <f t="shared" si="118"/>
        <v>0.1733396689427126</v>
      </c>
      <c r="AN93" s="162">
        <f t="shared" si="118"/>
        <v>0.18554204180487546</v>
      </c>
      <c r="AO93" s="162">
        <f t="shared" si="118"/>
        <v>0.35940476225632789</v>
      </c>
      <c r="AP93" s="162">
        <f t="shared" si="118"/>
        <v>0.3316902548016481</v>
      </c>
      <c r="AQ93" s="626">
        <f t="shared" si="118"/>
        <v>0.3316902548016481</v>
      </c>
      <c r="AR93" s="636">
        <f t="shared" si="118"/>
        <v>0.41673915799965205</v>
      </c>
      <c r="AS93" s="162">
        <f t="shared" si="118"/>
        <v>0.40652043791961656</v>
      </c>
      <c r="AT93" s="162">
        <f t="shared" si="118"/>
        <v>0.44265501419627801</v>
      </c>
      <c r="AU93" s="162">
        <f t="shared" si="118"/>
        <v>0.68369301494062062</v>
      </c>
      <c r="AV93" s="626">
        <f t="shared" si="118"/>
        <v>0.68369301494062062</v>
      </c>
      <c r="AW93" s="636">
        <f t="shared" si="118"/>
        <v>0.61517903678321528</v>
      </c>
      <c r="AX93" s="162">
        <f t="shared" si="118"/>
        <v>0.87917050139546726</v>
      </c>
      <c r="AY93" s="162">
        <f t="shared" si="118"/>
        <v>0.83301696365313405</v>
      </c>
      <c r="AZ93" s="162">
        <f t="shared" si="118"/>
        <v>0.91976240156991307</v>
      </c>
      <c r="BA93" s="626">
        <f t="shared" si="118"/>
        <v>0.91976240156991307</v>
      </c>
      <c r="BB93" s="636">
        <f t="shared" si="118"/>
        <v>3.6438781189678242E-2</v>
      </c>
      <c r="BC93" s="162">
        <f t="shared" si="118"/>
        <v>3.4069695084007465E-2</v>
      </c>
      <c r="BD93" s="162">
        <f t="shared" ref="BD93:BZ93" si="119">IFERROR(SUM(BD9:BD10)/BD35,"NM")</f>
        <v>4.1552125490015093E-2</v>
      </c>
      <c r="BE93" s="162">
        <f t="shared" si="119"/>
        <v>4.6824894054267228E-2</v>
      </c>
      <c r="BF93" s="626">
        <f t="shared" si="119"/>
        <v>4.6824894054267228E-2</v>
      </c>
      <c r="BG93" s="636">
        <f t="shared" si="119"/>
        <v>0.23867016554833079</v>
      </c>
      <c r="BH93" s="162">
        <f t="shared" si="119"/>
        <v>0.27444319984846755</v>
      </c>
      <c r="BI93" s="162">
        <f t="shared" si="119"/>
        <v>0.45269120975443544</v>
      </c>
      <c r="BJ93" s="162">
        <f t="shared" si="119"/>
        <v>0.27976755232200801</v>
      </c>
      <c r="BK93" s="626">
        <f t="shared" si="119"/>
        <v>0.27976755232200801</v>
      </c>
      <c r="BL93" s="636">
        <f t="shared" si="119"/>
        <v>0.39077771773427905</v>
      </c>
      <c r="BM93" s="162">
        <f t="shared" si="119"/>
        <v>0.41096281177437521</v>
      </c>
      <c r="BN93" s="162">
        <f t="shared" si="119"/>
        <v>0.61400680694456233</v>
      </c>
      <c r="BO93" s="162">
        <f t="shared" si="119"/>
        <v>0.62166299760614585</v>
      </c>
      <c r="BP93" s="626">
        <f t="shared" si="119"/>
        <v>0.62166299760614585</v>
      </c>
      <c r="BQ93" s="636">
        <f t="shared" si="119"/>
        <v>0.64105655628454317</v>
      </c>
      <c r="BR93" s="162">
        <f t="shared" si="119"/>
        <v>0.50068390776609017</v>
      </c>
      <c r="BS93" s="162">
        <f t="shared" si="119"/>
        <v>0.76571481985536471</v>
      </c>
      <c r="BT93" s="162">
        <f t="shared" si="119"/>
        <v>0.63753456335575287</v>
      </c>
      <c r="BU93" s="626">
        <f t="shared" si="119"/>
        <v>0.63753456335575287</v>
      </c>
      <c r="BV93" s="636">
        <f t="shared" si="119"/>
        <v>0.7502565731825922</v>
      </c>
      <c r="BW93" s="162">
        <f t="shared" si="119"/>
        <v>0.48369078753247308</v>
      </c>
      <c r="BX93" s="162">
        <f t="shared" si="119"/>
        <v>0.87328691478035791</v>
      </c>
      <c r="BY93" s="162">
        <f t="shared" si="119"/>
        <v>0.59740253901401541</v>
      </c>
      <c r="BZ93" s="626">
        <f t="shared" si="119"/>
        <v>0.59740253901401541</v>
      </c>
    </row>
    <row r="94" spans="1:78" s="115" customFormat="1" ht="14.1" customHeight="1" outlineLevel="1" x14ac:dyDescent="0.2">
      <c r="A94"/>
      <c r="B94"/>
      <c r="C94" s="565"/>
      <c r="J94" s="569"/>
      <c r="O94" s="480"/>
      <c r="P94" s="558"/>
      <c r="Q94" s="480"/>
      <c r="R94" s="210"/>
      <c r="X94" s="636"/>
      <c r="Y94" s="162"/>
      <c r="Z94" s="162"/>
      <c r="AA94" s="162"/>
      <c r="AB94" s="626"/>
      <c r="AC94" s="636"/>
      <c r="AD94" s="162"/>
      <c r="AE94" s="162"/>
      <c r="AF94" s="162"/>
      <c r="AG94" s="626"/>
      <c r="AH94" s="636"/>
      <c r="AI94" s="162"/>
      <c r="AJ94" s="162"/>
      <c r="AK94" s="162"/>
      <c r="AL94" s="626"/>
      <c r="AM94" s="636"/>
      <c r="AN94" s="162"/>
      <c r="AO94" s="162"/>
      <c r="AP94" s="162"/>
      <c r="AQ94" s="626"/>
      <c r="AR94" s="636"/>
      <c r="AS94" s="162"/>
      <c r="AT94" s="162"/>
      <c r="AU94" s="162"/>
      <c r="AV94" s="626"/>
      <c r="AW94" s="636"/>
      <c r="AX94" s="162"/>
      <c r="AY94" s="162"/>
      <c r="AZ94" s="162"/>
      <c r="BA94" s="626"/>
      <c r="BB94" s="636"/>
      <c r="BC94" s="162"/>
      <c r="BD94" s="162"/>
      <c r="BE94" s="162"/>
      <c r="BF94" s="626"/>
      <c r="BG94" s="636"/>
      <c r="BH94" s="162"/>
      <c r="BI94" s="162"/>
      <c r="BJ94" s="162"/>
      <c r="BK94" s="626"/>
      <c r="BL94" s="636"/>
      <c r="BM94" s="162"/>
      <c r="BN94" s="162"/>
      <c r="BO94" s="162"/>
      <c r="BP94" s="626"/>
      <c r="BQ94" s="636"/>
      <c r="BR94" s="162"/>
      <c r="BS94" s="162"/>
      <c r="BT94" s="162"/>
      <c r="BU94" s="626"/>
      <c r="BV94" s="636"/>
      <c r="BW94" s="162"/>
      <c r="BX94" s="162"/>
      <c r="BY94" s="162"/>
      <c r="BZ94" s="626"/>
    </row>
    <row r="95" spans="1:78" s="115" customFormat="1" ht="14.1" customHeight="1" outlineLevel="1" x14ac:dyDescent="0.2">
      <c r="A95"/>
      <c r="B95"/>
      <c r="C95" s="565"/>
      <c r="J95" s="569"/>
      <c r="O95" s="480"/>
      <c r="P95" s="558"/>
      <c r="Q95" s="480"/>
      <c r="R95" s="210"/>
      <c r="X95" s="558"/>
      <c r="AB95" s="480"/>
      <c r="AC95" s="558"/>
      <c r="AG95" s="480"/>
      <c r="AH95" s="558"/>
      <c r="AL95" s="480"/>
      <c r="AM95" s="558"/>
      <c r="AQ95" s="480"/>
      <c r="AR95" s="558"/>
      <c r="AV95" s="480"/>
      <c r="AW95" s="558"/>
      <c r="BA95" s="480"/>
      <c r="BB95" s="558"/>
      <c r="BF95" s="480"/>
      <c r="BG95" s="558"/>
      <c r="BK95" s="480"/>
      <c r="BL95" s="558"/>
      <c r="BP95" s="480"/>
      <c r="BQ95" s="558"/>
      <c r="BU95" s="480"/>
      <c r="BV95" s="558"/>
      <c r="BZ95" s="480"/>
    </row>
    <row r="96" spans="1:78" s="115" customFormat="1" ht="14.1" customHeight="1" outlineLevel="1" x14ac:dyDescent="0.2">
      <c r="A96"/>
      <c r="B96"/>
      <c r="C96" s="580"/>
      <c r="D96" s="627"/>
      <c r="E96" s="627"/>
      <c r="F96" s="627"/>
      <c r="G96" s="627"/>
      <c r="H96" s="627"/>
      <c r="I96" s="627"/>
      <c r="J96" s="628"/>
      <c r="K96" s="627"/>
      <c r="L96" s="627"/>
      <c r="M96" s="627"/>
      <c r="N96" s="627"/>
      <c r="O96" s="629"/>
      <c r="P96" s="558"/>
      <c r="Q96" s="480"/>
      <c r="R96" s="634"/>
      <c r="S96" s="627"/>
      <c r="T96" s="627"/>
      <c r="U96" s="627"/>
      <c r="V96" s="627"/>
      <c r="W96" s="627"/>
      <c r="X96" s="637"/>
      <c r="Y96" s="627"/>
      <c r="Z96" s="627"/>
      <c r="AA96" s="627"/>
      <c r="AB96" s="629"/>
      <c r="AC96" s="637"/>
      <c r="AD96" s="627"/>
      <c r="AE96" s="627"/>
      <c r="AF96" s="627"/>
      <c r="AG96" s="629"/>
      <c r="AH96" s="637"/>
      <c r="AI96" s="627"/>
      <c r="AJ96" s="627"/>
      <c r="AK96" s="627"/>
      <c r="AL96" s="629"/>
      <c r="AM96" s="637"/>
      <c r="AN96" s="627"/>
      <c r="AO96" s="627"/>
      <c r="AP96" s="627"/>
      <c r="AQ96" s="629"/>
      <c r="AR96" s="637"/>
      <c r="AS96" s="627"/>
      <c r="AT96" s="627"/>
      <c r="AU96" s="627"/>
      <c r="AV96" s="629"/>
      <c r="AW96" s="637"/>
      <c r="AX96" s="627"/>
      <c r="AY96" s="627"/>
      <c r="AZ96" s="627"/>
      <c r="BA96" s="629"/>
      <c r="BB96" s="637"/>
      <c r="BC96" s="627"/>
      <c r="BD96" s="627"/>
      <c r="BE96" s="627"/>
      <c r="BF96" s="629"/>
      <c r="BG96" s="637"/>
      <c r="BH96" s="627"/>
      <c r="BI96" s="627"/>
      <c r="BJ96" s="627"/>
      <c r="BK96" s="629"/>
      <c r="BL96" s="637"/>
      <c r="BM96" s="627"/>
      <c r="BN96" s="627"/>
      <c r="BO96" s="627"/>
      <c r="BP96" s="629"/>
      <c r="BQ96" s="637"/>
      <c r="BR96" s="627"/>
      <c r="BS96" s="627"/>
      <c r="BT96" s="627"/>
      <c r="BU96" s="629"/>
      <c r="BV96" s="637"/>
      <c r="BW96" s="627"/>
      <c r="BX96" s="627"/>
      <c r="BY96" s="627"/>
      <c r="BZ96" s="629"/>
    </row>
    <row r="97" spans="1:78" s="115" customFormat="1" ht="14.1" customHeight="1" outlineLevel="1" x14ac:dyDescent="0.2">
      <c r="A97"/>
      <c r="B97"/>
      <c r="C97" s="112"/>
      <c r="R97" s="114"/>
    </row>
    <row r="98" spans="1:78" s="115" customFormat="1" ht="14.1" customHeight="1" outlineLevel="1" x14ac:dyDescent="0.2">
      <c r="A98"/>
      <c r="B98"/>
      <c r="C98" s="112"/>
      <c r="R98" s="114"/>
    </row>
    <row r="99" spans="1:78" s="115" customFormat="1" ht="14.1" customHeight="1" outlineLevel="1" x14ac:dyDescent="0.2">
      <c r="A99"/>
      <c r="B99"/>
      <c r="C99" s="112"/>
      <c r="R99" s="114"/>
    </row>
    <row r="100" spans="1:78" s="115" customFormat="1" ht="5.0999999999999996" customHeight="1" outlineLevel="1" x14ac:dyDescent="0.2">
      <c r="A100"/>
      <c r="B100"/>
      <c r="C100" s="112"/>
      <c r="R100" s="114"/>
    </row>
    <row r="101" spans="1:78" s="115" customFormat="1" ht="5.0999999999999996" customHeight="1" x14ac:dyDescent="0.2">
      <c r="A101"/>
      <c r="B101"/>
      <c r="C101" s="112"/>
      <c r="R101" s="114"/>
    </row>
    <row r="102" spans="1:78" s="115" customFormat="1" ht="18" customHeight="1" x14ac:dyDescent="0.25">
      <c r="A102"/>
      <c r="B102"/>
      <c r="C102" s="47" t="str">
        <f>C3</f>
        <v>SAIA, Inc.</v>
      </c>
      <c r="D102" s="48"/>
      <c r="E102" s="48"/>
      <c r="F102" s="48"/>
      <c r="G102" s="48"/>
      <c r="H102" s="48"/>
      <c r="I102" s="48"/>
      <c r="J102" s="48"/>
      <c r="K102" s="48"/>
      <c r="L102" s="48"/>
      <c r="M102" s="48"/>
      <c r="N102" s="67" t="str">
        <f>N59</f>
        <v>Model Case:</v>
      </c>
      <c r="O102" s="48" t="str">
        <f>O59</f>
        <v>Base</v>
      </c>
      <c r="R102" s="1374" t="str">
        <f>C102</f>
        <v>SAIA, Inc.</v>
      </c>
      <c r="S102" s="1374"/>
      <c r="T102" s="1374"/>
      <c r="U102" s="1374"/>
      <c r="V102" s="1374"/>
      <c r="W102" s="1374"/>
      <c r="X102" s="1374"/>
      <c r="Y102" s="1374"/>
      <c r="Z102" s="1374"/>
      <c r="AA102" s="1374"/>
      <c r="AB102" s="1374"/>
      <c r="AC102" s="1374"/>
      <c r="AD102" s="1374"/>
      <c r="AE102" s="1374"/>
      <c r="AF102" s="1374"/>
      <c r="AG102" s="1374"/>
      <c r="AH102" s="1374"/>
      <c r="AI102" s="1374"/>
      <c r="AJ102" s="1374"/>
      <c r="AK102" s="1374"/>
      <c r="AL102" s="1374"/>
      <c r="AM102" s="1374"/>
      <c r="AN102" s="1374"/>
      <c r="AO102" s="1374"/>
      <c r="AP102" s="1374"/>
      <c r="AQ102" s="1374"/>
      <c r="AR102" s="1374"/>
      <c r="AS102" s="1374"/>
      <c r="AT102" s="1374"/>
      <c r="AU102" s="1374"/>
      <c r="AV102" s="1374"/>
      <c r="AW102" s="1374"/>
      <c r="AX102" s="1374"/>
      <c r="AY102" s="1374"/>
      <c r="AZ102" s="1374"/>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8"/>
      <c r="BW102" s="48"/>
      <c r="BX102" s="1155" t="str">
        <f t="shared" ref="BX102:BY104" si="120">BX59</f>
        <v>Model Case:</v>
      </c>
      <c r="BY102" s="65" t="str">
        <f t="shared" si="120"/>
        <v>Base</v>
      </c>
      <c r="BZ102" s="48"/>
    </row>
    <row r="103" spans="1:78" s="115" customFormat="1" ht="14.1" customHeight="1" x14ac:dyDescent="0.2">
      <c r="A103"/>
      <c r="B103"/>
      <c r="C103" s="48" t="str">
        <f>"Metrics &amp; Issuance of Debt and Equity"</f>
        <v>Metrics &amp; Issuance of Debt and Equity</v>
      </c>
      <c r="D103" s="48"/>
      <c r="E103" s="48"/>
      <c r="F103" s="48"/>
      <c r="G103" s="48"/>
      <c r="H103" s="48"/>
      <c r="I103" s="48"/>
      <c r="J103" s="48"/>
      <c r="K103" s="48"/>
      <c r="L103" s="48"/>
      <c r="M103" s="48"/>
      <c r="N103" s="67" t="str">
        <f>N4</f>
        <v>DCF Share Value as of 12/31/2024:</v>
      </c>
      <c r="O103" s="65">
        <f>O4</f>
        <v>520.1066763818468</v>
      </c>
      <c r="R103" s="1375" t="str">
        <f>C103</f>
        <v>Metrics &amp; Issuance of Debt and Equity</v>
      </c>
      <c r="S103" s="1375"/>
      <c r="T103" s="1375"/>
      <c r="U103" s="1375"/>
      <c r="V103" s="1375"/>
      <c r="W103" s="1375"/>
      <c r="X103" s="1375"/>
      <c r="Y103" s="1375"/>
      <c r="Z103" s="1375"/>
      <c r="AA103" s="1375"/>
      <c r="AB103" s="1375"/>
      <c r="AC103" s="1375"/>
      <c r="AD103" s="1375"/>
      <c r="AE103" s="1375"/>
      <c r="AF103" s="1375"/>
      <c r="AG103" s="1375"/>
      <c r="AH103" s="1375"/>
      <c r="AI103" s="1375"/>
      <c r="AJ103" s="1375"/>
      <c r="AK103" s="1375"/>
      <c r="AL103" s="1375"/>
      <c r="AM103" s="1375"/>
      <c r="AN103" s="1375"/>
      <c r="AO103" s="1375"/>
      <c r="AP103" s="1375"/>
      <c r="AQ103" s="1375"/>
      <c r="AR103" s="1375"/>
      <c r="AS103" s="1375"/>
      <c r="AT103" s="1375"/>
      <c r="AU103" s="1375"/>
      <c r="AV103" s="1375"/>
      <c r="AW103" s="1375"/>
      <c r="AX103" s="1375"/>
      <c r="AY103" s="1375"/>
      <c r="AZ103" s="1375"/>
      <c r="BA103" s="1375"/>
      <c r="BB103" s="48"/>
      <c r="BC103" s="48"/>
      <c r="BD103" s="48"/>
      <c r="BE103" s="48"/>
      <c r="BF103" s="48"/>
      <c r="BG103" s="48"/>
      <c r="BH103" s="48"/>
      <c r="BI103" s="48"/>
      <c r="BJ103" s="48"/>
      <c r="BK103" s="48"/>
      <c r="BL103" s="48"/>
      <c r="BM103" s="48"/>
      <c r="BN103" s="48"/>
      <c r="BO103" s="48"/>
      <c r="BP103" s="48"/>
      <c r="BQ103" s="48"/>
      <c r="BR103" s="48"/>
      <c r="BS103" s="48"/>
      <c r="BT103" s="48"/>
      <c r="BU103" s="48"/>
      <c r="BV103" s="48"/>
      <c r="BW103" s="48"/>
      <c r="BX103" s="1155" t="str">
        <f t="shared" si="120"/>
        <v>DCF Share Value as of 12/31/2024:</v>
      </c>
      <c r="BY103" s="65">
        <f t="shared" si="120"/>
        <v>520.1066763818468</v>
      </c>
      <c r="BZ103" s="48"/>
    </row>
    <row r="104" spans="1:78" s="115" customFormat="1" ht="14.1" customHeight="1" x14ac:dyDescent="0.2">
      <c r="A104"/>
      <c r="B104"/>
      <c r="C104" s="46" t="str">
        <f>C61</f>
        <v>($ in millions, fiscal year ending December,31)</v>
      </c>
      <c r="D104" s="49"/>
      <c r="E104" s="49"/>
      <c r="F104" s="49"/>
      <c r="G104" s="49"/>
      <c r="H104" s="49"/>
      <c r="I104" s="49"/>
      <c r="J104" s="49"/>
      <c r="K104" s="49"/>
      <c r="L104" s="49"/>
      <c r="M104" s="49"/>
      <c r="N104" s="66" t="str">
        <f>N5</f>
        <v>Market Share Price as of 12/31/2024:</v>
      </c>
      <c r="O104" s="65">
        <f>O5</f>
        <v>455.73</v>
      </c>
      <c r="R104" s="1403" t="str">
        <f>R61</f>
        <v>Quarterly and Year Basis</v>
      </c>
      <c r="S104" s="1403"/>
      <c r="T104" s="1403"/>
      <c r="U104" s="1403"/>
      <c r="V104" s="1403"/>
      <c r="W104" s="1403"/>
      <c r="X104" s="1403"/>
      <c r="Y104" s="1403"/>
      <c r="Z104" s="1403"/>
      <c r="AA104" s="1403"/>
      <c r="AB104" s="1403"/>
      <c r="AC104" s="1403"/>
      <c r="AD104" s="1403"/>
      <c r="AE104" s="1403"/>
      <c r="AF104" s="1403"/>
      <c r="AG104" s="1403"/>
      <c r="AH104" s="1403"/>
      <c r="AI104" s="1403"/>
      <c r="AJ104" s="1403"/>
      <c r="AK104" s="1403"/>
      <c r="AL104" s="1403"/>
      <c r="AM104" s="1403"/>
      <c r="AN104" s="1403"/>
      <c r="AO104" s="1403"/>
      <c r="AP104" s="1403"/>
      <c r="AQ104" s="1403"/>
      <c r="AR104" s="1403"/>
      <c r="AS104" s="1403"/>
      <c r="AT104" s="1403"/>
      <c r="AU104" s="1403"/>
      <c r="AV104" s="1403"/>
      <c r="AW104" s="1403"/>
      <c r="AX104" s="1403"/>
      <c r="AY104" s="1403"/>
      <c r="AZ104" s="1403"/>
      <c r="BA104" s="1403"/>
      <c r="BB104" s="1404"/>
      <c r="BC104" s="1404"/>
      <c r="BD104" s="1404"/>
      <c r="BE104" s="1404"/>
      <c r="BF104" s="1404"/>
      <c r="BG104" s="1402"/>
      <c r="BH104" s="1402"/>
      <c r="BI104" s="1402"/>
      <c r="BJ104" s="1402"/>
      <c r="BK104" s="1402"/>
      <c r="BL104" s="1402"/>
      <c r="BM104" s="1402"/>
      <c r="BN104" s="1402"/>
      <c r="BO104" s="1402"/>
      <c r="BP104" s="1402"/>
      <c r="BQ104" s="1402"/>
      <c r="BR104" s="1402"/>
      <c r="BS104" s="1402"/>
      <c r="BT104" s="1402"/>
      <c r="BU104" s="1402"/>
      <c r="BV104" s="1153"/>
      <c r="BW104" s="1153"/>
      <c r="BX104" s="1155" t="str">
        <f t="shared" si="120"/>
        <v>Market Share Price as of 12/31/2024:</v>
      </c>
      <c r="BY104" s="65">
        <f t="shared" si="120"/>
        <v>455.73</v>
      </c>
      <c r="BZ104" s="1153"/>
    </row>
    <row r="105" spans="1:78" s="115" customFormat="1" ht="14.1" customHeight="1" x14ac:dyDescent="0.2">
      <c r="A105"/>
      <c r="B105"/>
      <c r="C105" s="164"/>
      <c r="D105" s="97">
        <f t="shared" ref="D105:N105" si="121">D7</f>
        <v>43100</v>
      </c>
      <c r="E105" s="98">
        <f t="shared" si="121"/>
        <v>43465</v>
      </c>
      <c r="F105" s="98">
        <f t="shared" si="121"/>
        <v>43830</v>
      </c>
      <c r="G105" s="98">
        <f t="shared" si="121"/>
        <v>44196</v>
      </c>
      <c r="H105" s="98">
        <f t="shared" si="121"/>
        <v>44561</v>
      </c>
      <c r="I105" s="98">
        <f t="shared" si="121"/>
        <v>44926</v>
      </c>
      <c r="J105" s="98">
        <f t="shared" si="121"/>
        <v>45291</v>
      </c>
      <c r="K105" s="137">
        <f t="shared" si="121"/>
        <v>45657</v>
      </c>
      <c r="L105" s="138">
        <f t="shared" si="121"/>
        <v>46022</v>
      </c>
      <c r="M105" s="138">
        <f t="shared" si="121"/>
        <v>46387</v>
      </c>
      <c r="N105" s="138">
        <f t="shared" si="121"/>
        <v>46752</v>
      </c>
      <c r="O105" s="139">
        <f>O7</f>
        <v>47118</v>
      </c>
      <c r="R105" s="96"/>
      <c r="S105" s="1400">
        <f>S5</f>
        <v>43100</v>
      </c>
      <c r="T105" s="1400"/>
      <c r="U105" s="1400"/>
      <c r="V105" s="1400"/>
      <c r="W105" s="1400"/>
      <c r="X105" s="1400">
        <f>X5</f>
        <v>43465</v>
      </c>
      <c r="Y105" s="1400"/>
      <c r="Z105" s="1400"/>
      <c r="AA105" s="1400"/>
      <c r="AB105" s="1400"/>
      <c r="AC105" s="1400">
        <f>AC5</f>
        <v>43830</v>
      </c>
      <c r="AD105" s="1400"/>
      <c r="AE105" s="1400"/>
      <c r="AF105" s="1400"/>
      <c r="AG105" s="1400"/>
      <c r="AH105" s="1400">
        <f>AH5</f>
        <v>44196</v>
      </c>
      <c r="AI105" s="1400"/>
      <c r="AJ105" s="1400"/>
      <c r="AK105" s="1400"/>
      <c r="AL105" s="1400"/>
      <c r="AM105" s="1400">
        <f>AM5</f>
        <v>44561</v>
      </c>
      <c r="AN105" s="1400"/>
      <c r="AO105" s="1400"/>
      <c r="AP105" s="1400"/>
      <c r="AQ105" s="1400"/>
      <c r="AR105" s="1400">
        <f>AR5</f>
        <v>44926</v>
      </c>
      <c r="AS105" s="1400"/>
      <c r="AT105" s="1400"/>
      <c r="AU105" s="1400"/>
      <c r="AV105" s="1400"/>
      <c r="AW105" s="1400">
        <f>AW5</f>
        <v>45291</v>
      </c>
      <c r="AX105" s="1400"/>
      <c r="AY105" s="1400"/>
      <c r="AZ105" s="1400"/>
      <c r="BA105" s="1400"/>
      <c r="BB105" s="1401">
        <f>BB5</f>
        <v>45657</v>
      </c>
      <c r="BC105" s="1401"/>
      <c r="BD105" s="1401"/>
      <c r="BE105" s="1401"/>
      <c r="BF105" s="1401"/>
      <c r="BG105" s="1398">
        <f>BG5</f>
        <v>46022</v>
      </c>
      <c r="BH105" s="1398"/>
      <c r="BI105" s="1398"/>
      <c r="BJ105" s="1398"/>
      <c r="BK105" s="1398"/>
      <c r="BL105" s="1398">
        <f>BL5</f>
        <v>46387</v>
      </c>
      <c r="BM105" s="1398"/>
      <c r="BN105" s="1398"/>
      <c r="BO105" s="1398"/>
      <c r="BP105" s="1398"/>
      <c r="BQ105" s="1398">
        <f>BQ5</f>
        <v>46752</v>
      </c>
      <c r="BR105" s="1398"/>
      <c r="BS105" s="1398"/>
      <c r="BT105" s="1398"/>
      <c r="BU105" s="1398"/>
      <c r="BV105" s="1398">
        <f>BV5</f>
        <v>47118</v>
      </c>
      <c r="BW105" s="1398"/>
      <c r="BX105" s="1398"/>
      <c r="BY105" s="1398"/>
      <c r="BZ105" s="1399"/>
    </row>
    <row r="106" spans="1:78" s="115" customFormat="1" ht="14.1" customHeight="1" x14ac:dyDescent="0.2">
      <c r="A106"/>
      <c r="B106"/>
      <c r="C106" s="574"/>
      <c r="D106" s="129"/>
      <c r="E106" s="129"/>
      <c r="F106" s="129"/>
      <c r="G106" s="129"/>
      <c r="H106" s="129"/>
      <c r="I106" s="129"/>
      <c r="J106" s="583"/>
      <c r="K106" s="129"/>
      <c r="L106" s="129"/>
      <c r="M106" s="129"/>
      <c r="N106" s="129"/>
      <c r="O106" s="575"/>
      <c r="R106" s="96"/>
      <c r="S106" s="96" t="str">
        <f>S7</f>
        <v>2017 Q1</v>
      </c>
      <c r="T106" s="140" t="str">
        <f t="shared" ref="T106:BZ106" si="122">T7</f>
        <v>2017 Q2</v>
      </c>
      <c r="U106" s="140" t="str">
        <f t="shared" si="122"/>
        <v>2017 Q3</v>
      </c>
      <c r="V106" s="140" t="str">
        <f t="shared" si="122"/>
        <v>2017 Q4</v>
      </c>
      <c r="W106" s="140" t="str">
        <f t="shared" si="122"/>
        <v>2017 FY</v>
      </c>
      <c r="X106" s="140" t="str">
        <f t="shared" si="122"/>
        <v>2018 Q1</v>
      </c>
      <c r="Y106" s="140" t="str">
        <f t="shared" si="122"/>
        <v>2018 Q2</v>
      </c>
      <c r="Z106" s="140" t="str">
        <f t="shared" si="122"/>
        <v>2018 Q3</v>
      </c>
      <c r="AA106" s="140" t="str">
        <f t="shared" si="122"/>
        <v>2018 Q4</v>
      </c>
      <c r="AB106" s="140" t="str">
        <f t="shared" si="122"/>
        <v>2018 FY</v>
      </c>
      <c r="AC106" s="140" t="str">
        <f t="shared" si="122"/>
        <v>2019 Q1</v>
      </c>
      <c r="AD106" s="140" t="str">
        <f t="shared" si="122"/>
        <v>2019 Q2</v>
      </c>
      <c r="AE106" s="140" t="str">
        <f t="shared" si="122"/>
        <v>2019 Q3</v>
      </c>
      <c r="AF106" s="140" t="str">
        <f t="shared" si="122"/>
        <v>2019 Q4</v>
      </c>
      <c r="AG106" s="140" t="str">
        <f t="shared" si="122"/>
        <v>2019 FY</v>
      </c>
      <c r="AH106" s="140" t="str">
        <f t="shared" si="122"/>
        <v>2020 Q1</v>
      </c>
      <c r="AI106" s="140" t="str">
        <f t="shared" si="122"/>
        <v>2020 Q2</v>
      </c>
      <c r="AJ106" s="140" t="str">
        <f t="shared" si="122"/>
        <v>2020 Q3</v>
      </c>
      <c r="AK106" s="140" t="str">
        <f t="shared" si="122"/>
        <v>2020 Q4</v>
      </c>
      <c r="AL106" s="140" t="str">
        <f t="shared" si="122"/>
        <v>2020 FY</v>
      </c>
      <c r="AM106" s="140" t="str">
        <f t="shared" si="122"/>
        <v>2021 Q1</v>
      </c>
      <c r="AN106" s="140" t="str">
        <f t="shared" si="122"/>
        <v>2021 Q2</v>
      </c>
      <c r="AO106" s="140" t="str">
        <f t="shared" si="122"/>
        <v>2021 Q3</v>
      </c>
      <c r="AP106" s="140" t="str">
        <f t="shared" si="122"/>
        <v>2021 Q4</v>
      </c>
      <c r="AQ106" s="140" t="str">
        <f t="shared" si="122"/>
        <v>2021 FY</v>
      </c>
      <c r="AR106" s="140" t="str">
        <f t="shared" si="122"/>
        <v>2022 Q1</v>
      </c>
      <c r="AS106" s="140" t="str">
        <f t="shared" si="122"/>
        <v>2022 Q2</v>
      </c>
      <c r="AT106" s="140" t="str">
        <f t="shared" si="122"/>
        <v>2022 Q3</v>
      </c>
      <c r="AU106" s="140" t="str">
        <f t="shared" si="122"/>
        <v>2022 Q4</v>
      </c>
      <c r="AV106" s="140" t="str">
        <f t="shared" si="122"/>
        <v>2022 FY</v>
      </c>
      <c r="AW106" s="140" t="str">
        <f t="shared" si="122"/>
        <v>2023 Q1</v>
      </c>
      <c r="AX106" s="140" t="str">
        <f t="shared" si="122"/>
        <v>2023 Q2</v>
      </c>
      <c r="AY106" s="140" t="str">
        <f t="shared" si="122"/>
        <v>2023 Q3</v>
      </c>
      <c r="AZ106" s="140" t="str">
        <f t="shared" si="122"/>
        <v>2023 Q4</v>
      </c>
      <c r="BA106" s="140" t="str">
        <f t="shared" si="122"/>
        <v>2023 FY</v>
      </c>
      <c r="BB106" s="140" t="str">
        <f t="shared" si="122"/>
        <v>2024 Q1</v>
      </c>
      <c r="BC106" s="140" t="str">
        <f t="shared" si="122"/>
        <v>2024 Q2</v>
      </c>
      <c r="BD106" s="140" t="str">
        <f t="shared" si="122"/>
        <v>2024 Q3</v>
      </c>
      <c r="BE106" s="141" t="str">
        <f t="shared" si="122"/>
        <v>2024 Q4</v>
      </c>
      <c r="BF106" s="141" t="str">
        <f t="shared" si="122"/>
        <v>2024 FY</v>
      </c>
      <c r="BG106" s="141" t="str">
        <f t="shared" si="122"/>
        <v>2025 Q1</v>
      </c>
      <c r="BH106" s="141" t="str">
        <f t="shared" si="122"/>
        <v>2025 Q2</v>
      </c>
      <c r="BI106" s="141" t="str">
        <f t="shared" si="122"/>
        <v>2025 Q3</v>
      </c>
      <c r="BJ106" s="141" t="str">
        <f t="shared" si="122"/>
        <v>2025 Q4</v>
      </c>
      <c r="BK106" s="141" t="str">
        <f t="shared" si="122"/>
        <v>2025 FY</v>
      </c>
      <c r="BL106" s="141" t="str">
        <f t="shared" si="122"/>
        <v>2026 Q1</v>
      </c>
      <c r="BM106" s="141" t="str">
        <f t="shared" si="122"/>
        <v>2026 Q2</v>
      </c>
      <c r="BN106" s="141" t="str">
        <f t="shared" si="122"/>
        <v>2026 Q3</v>
      </c>
      <c r="BO106" s="141" t="str">
        <f t="shared" si="122"/>
        <v>2026 Q4</v>
      </c>
      <c r="BP106" s="141" t="str">
        <f t="shared" si="122"/>
        <v>2026 FY</v>
      </c>
      <c r="BQ106" s="141" t="str">
        <f t="shared" si="122"/>
        <v>2027 Q1</v>
      </c>
      <c r="BR106" s="141" t="str">
        <f t="shared" si="122"/>
        <v>2027 Q2</v>
      </c>
      <c r="BS106" s="141" t="str">
        <f t="shared" si="122"/>
        <v>2027 Q3</v>
      </c>
      <c r="BT106" s="141" t="str">
        <f t="shared" si="122"/>
        <v>2027 Q4</v>
      </c>
      <c r="BU106" s="141" t="str">
        <f t="shared" si="122"/>
        <v>2027 FY</v>
      </c>
      <c r="BV106" s="141" t="str">
        <f t="shared" si="122"/>
        <v>2028 Q1</v>
      </c>
      <c r="BW106" s="141" t="str">
        <f t="shared" si="122"/>
        <v>2028 Q2</v>
      </c>
      <c r="BX106" s="141" t="str">
        <f t="shared" si="122"/>
        <v>2028 Q3</v>
      </c>
      <c r="BY106" s="141" t="str">
        <f t="shared" si="122"/>
        <v>2028 Q4</v>
      </c>
      <c r="BZ106" s="142" t="str">
        <f t="shared" si="122"/>
        <v>2028 FY</v>
      </c>
    </row>
    <row r="107" spans="1:78" s="115" customFormat="1" ht="14.1" customHeight="1" x14ac:dyDescent="0.2">
      <c r="A107"/>
      <c r="B107"/>
      <c r="C107" s="566" t="s">
        <v>166</v>
      </c>
      <c r="J107" s="569"/>
      <c r="O107" s="480"/>
      <c r="R107" s="590" t="str">
        <f>C107</f>
        <v>Last Twelve Months (LTM) Metrics</v>
      </c>
      <c r="S107" s="591"/>
      <c r="T107" s="591"/>
      <c r="U107" s="591"/>
      <c r="V107" s="591"/>
      <c r="W107" s="591"/>
      <c r="X107" s="599"/>
      <c r="Y107" s="591"/>
      <c r="Z107" s="591"/>
      <c r="AA107" s="591"/>
      <c r="AB107" s="592"/>
      <c r="AC107" s="599"/>
      <c r="AD107" s="591"/>
      <c r="AE107" s="591"/>
      <c r="AF107" s="591"/>
      <c r="AG107" s="592"/>
      <c r="AH107" s="599"/>
      <c r="AI107" s="591"/>
      <c r="AJ107" s="591"/>
      <c r="AK107" s="591"/>
      <c r="AL107" s="592"/>
      <c r="AM107" s="599"/>
      <c r="AN107" s="591"/>
      <c r="AO107" s="591"/>
      <c r="AP107" s="591"/>
      <c r="AQ107" s="592"/>
      <c r="AR107" s="599"/>
      <c r="AS107" s="591"/>
      <c r="AT107" s="591"/>
      <c r="AU107" s="591"/>
      <c r="AV107" s="592"/>
      <c r="AW107" s="599"/>
      <c r="AX107" s="591"/>
      <c r="AY107" s="591"/>
      <c r="AZ107" s="591"/>
      <c r="BA107" s="592"/>
      <c r="BB107" s="599"/>
      <c r="BC107" s="591"/>
      <c r="BD107" s="591"/>
      <c r="BE107" s="591"/>
      <c r="BF107" s="592"/>
      <c r="BG107" s="599"/>
      <c r="BH107" s="591"/>
      <c r="BI107" s="591"/>
      <c r="BJ107" s="591"/>
      <c r="BK107" s="592"/>
      <c r="BL107" s="599"/>
      <c r="BM107" s="591"/>
      <c r="BN107" s="591"/>
      <c r="BO107" s="591"/>
      <c r="BP107" s="592"/>
      <c r="BQ107" s="599"/>
      <c r="BR107" s="591"/>
      <c r="BS107" s="591"/>
      <c r="BT107" s="591"/>
      <c r="BU107" s="592"/>
      <c r="BV107" s="599"/>
      <c r="BW107" s="591"/>
      <c r="BX107" s="591"/>
      <c r="BY107" s="591"/>
      <c r="BZ107" s="592"/>
    </row>
    <row r="108" spans="1:78" s="115" customFormat="1" ht="14.1" customHeight="1" x14ac:dyDescent="0.2">
      <c r="A108"/>
      <c r="B108"/>
      <c r="C108" s="576" t="s">
        <v>167</v>
      </c>
      <c r="D108" s="122">
        <f>IFERROR(SUM('Income Statement'!D11:D13,'Income Statement'!D15),"NM")</f>
        <v>1179.7439999999999</v>
      </c>
      <c r="E108" s="122">
        <f>IFERROR(SUM('Income Statement'!E11:E13,'Income Statement'!E15),"NM")</f>
        <v>1360.0509999999999</v>
      </c>
      <c r="F108" s="122">
        <f>IFERROR(SUM('Income Statement'!F11:F13,'Income Statement'!F15),"NM")</f>
        <v>1461.02</v>
      </c>
      <c r="G108" s="122">
        <f>IFERROR(SUM('Income Statement'!G11:G13,'Income Statement'!G15),"NM")</f>
        <v>1453.6239999999998</v>
      </c>
      <c r="H108" s="122">
        <f>IFERROR(SUM('Income Statement'!H11:H13,'Income Statement'!H15),"NM")</f>
        <v>1756.662</v>
      </c>
      <c r="I108" s="122">
        <f>IFERROR(SUM('Income Statement'!I11:I13,'Income Statement'!I15),"NM")</f>
        <v>2100.4920000000002</v>
      </c>
      <c r="J108" s="584">
        <f>IFERROR(SUM('Income Statement'!J11:J13,'Income Statement'!J15),"NM")</f>
        <v>2171.64</v>
      </c>
      <c r="K108" s="115">
        <f>IFERROR(SUM('Income Statement'!K11:K13,'Income Statement'!K15),"NM")</f>
        <v>2428.8997240275708</v>
      </c>
      <c r="L108" s="115">
        <f>IFERROR(SUM('Income Statement'!L11:L13,'Income Statement'!L15),"NM")</f>
        <v>2582.4134670522808</v>
      </c>
      <c r="M108" s="115">
        <f>IFERROR(SUM('Income Statement'!M11:M13,'Income Statement'!M15),"NM")</f>
        <v>2894.0854186135493</v>
      </c>
      <c r="N108" s="115">
        <f>IFERROR(SUM('Income Statement'!N11:N13,'Income Statement'!N15),"NM")</f>
        <v>3094.9040373408602</v>
      </c>
      <c r="O108" s="480">
        <f>IFERROR(SUM('Income Statement'!O11:O13,'Income Statement'!O15),"NM")</f>
        <v>3284.8118821212511</v>
      </c>
      <c r="R108" s="210" t="str">
        <f t="shared" si="107"/>
        <v>Cost of Goods Sold (Estimated)</v>
      </c>
      <c r="S108" s="115">
        <f>IFERROR(SUM('Income Statement'!S11:S13,'Income Statement'!S15),"NM")</f>
        <v>274.76199999999994</v>
      </c>
      <c r="T108" s="115">
        <f>IFERROR(SUM('Income Statement'!T11:T13,'Income Statement'!T15),"NM")</f>
        <v>295.26900000000001</v>
      </c>
      <c r="U108" s="115">
        <f>IFERROR(SUM('Income Statement'!U11:U13,'Income Statement'!U15),"NM")</f>
        <v>293.20800000000003</v>
      </c>
      <c r="V108" s="115">
        <f>IFERROR(SUM('Income Statement'!V11:V13,'Income Statement'!V15),"NM")</f>
        <v>316.50499999999994</v>
      </c>
      <c r="W108" s="115">
        <f>IFERROR(SUM('Income Statement'!W11:W13,'Income Statement'!W15),"NM")</f>
        <v>1179.7439999999999</v>
      </c>
      <c r="X108" s="558">
        <f>IFERROR(SUM('Income Statement'!X11:X13,'Income Statement'!X15),"NM")</f>
        <v>330.02499999999998</v>
      </c>
      <c r="Y108" s="115">
        <f>IFERROR(SUM('Income Statement'!Y11:Y13,'Income Statement'!Y15),"NM")</f>
        <v>349.17400000000004</v>
      </c>
      <c r="Z108" s="115">
        <f>IFERROR(SUM('Income Statement'!Z11:Z13,'Income Statement'!Z15),"NM")</f>
        <v>347.47900000000004</v>
      </c>
      <c r="AA108" s="115">
        <f>IFERROR(SUM('Income Statement'!AA11:AA13,'Income Statement'!AA15),"NM")</f>
        <v>333.37299999999999</v>
      </c>
      <c r="AB108" s="480">
        <f>IFERROR(SUM('Income Statement'!AB11:AB13,'Income Statement'!AB15),"NM")</f>
        <v>1360.0509999999999</v>
      </c>
      <c r="AC108" s="558">
        <f>IFERROR(SUM('Income Statement'!AC11:AC13,'Income Statement'!AC15),"NM")</f>
        <v>341.84299999999996</v>
      </c>
      <c r="AD108" s="115">
        <f>IFERROR(SUM('Income Statement'!AD11:AD13,'Income Statement'!AD15),"NM")</f>
        <v>370.32700000000006</v>
      </c>
      <c r="AE108" s="115">
        <f>IFERROR(SUM('Income Statement'!AE11:AE13,'Income Statement'!AE15),"NM")</f>
        <v>378.11400000000003</v>
      </c>
      <c r="AF108" s="115">
        <f>IFERROR(SUM('Income Statement'!AF11:AF13,'Income Statement'!AF15),"NM")</f>
        <v>370.73599999999993</v>
      </c>
      <c r="AG108" s="480">
        <f>IFERROR(SUM('Income Statement'!AG11:AG13,'Income Statement'!AG15),"NM")</f>
        <v>1461.02</v>
      </c>
      <c r="AH108" s="558">
        <f>IFERROR(SUM('Income Statement'!AH11:AH13,'Income Statement'!AH15),"NM")</f>
        <v>362.024</v>
      </c>
      <c r="AI108" s="115">
        <f>IFERROR(SUM('Income Statement'!AI11:AI13,'Income Statement'!AI15),"NM")</f>
        <v>334.87799999999999</v>
      </c>
      <c r="AJ108" s="115">
        <f>IFERROR(SUM('Income Statement'!AJ11:AJ13,'Income Statement'!AJ15),"NM")</f>
        <v>378.18899999999996</v>
      </c>
      <c r="AK108" s="115">
        <f>IFERROR(SUM('Income Statement'!AK11:AK13,'Income Statement'!AK15),"NM")</f>
        <v>378.53299999999996</v>
      </c>
      <c r="AL108" s="480">
        <f>IFERROR(SUM('Income Statement'!AL11:AL13,'Income Statement'!AL15),"NM")</f>
        <v>1453.6239999999998</v>
      </c>
      <c r="AM108" s="558">
        <f>IFERROR(SUM('Income Statement'!AM11:AM13,'Income Statement'!AM15),"NM")</f>
        <v>385.84900000000005</v>
      </c>
      <c r="AN108" s="115">
        <f>IFERROR(SUM('Income Statement'!AN11:AN13,'Income Statement'!AN15),"NM")</f>
        <v>439.25899999999996</v>
      </c>
      <c r="AO108" s="115">
        <f>IFERROR(SUM('Income Statement'!AO11:AO13,'Income Statement'!AO15),"NM")</f>
        <v>463.62900000000002</v>
      </c>
      <c r="AP108" s="115">
        <f>IFERROR(SUM('Income Statement'!AP11:AP13,'Income Statement'!AP15),"NM")</f>
        <v>467.92499999999995</v>
      </c>
      <c r="AQ108" s="480">
        <f>IFERROR(SUM('Income Statement'!AQ11:AQ13,'Income Statement'!AQ15),"NM")</f>
        <v>1756.662</v>
      </c>
      <c r="AR108" s="558">
        <f>IFERROR(SUM('Income Statement'!AR11:AR13,'Income Statement'!AR15),"NM")</f>
        <v>501.21800000000002</v>
      </c>
      <c r="AS108" s="115">
        <f>IFERROR(SUM('Income Statement'!AS11:AS13,'Income Statement'!AS15),"NM")</f>
        <v>546.61700000000008</v>
      </c>
      <c r="AT108" s="115">
        <f>IFERROR(SUM('Income Statement'!AT11:AT13,'Income Statement'!AT15),"NM")</f>
        <v>544.14800000000014</v>
      </c>
      <c r="AU108" s="115">
        <f>IFERROR(SUM('Income Statement'!AU11:AU13,'Income Statement'!AU15),"NM")</f>
        <v>508.50899999999984</v>
      </c>
      <c r="AV108" s="480">
        <f>IFERROR(SUM('Income Statement'!AV11:AV13,'Income Statement'!AV15),"NM")</f>
        <v>2100.4920000000002</v>
      </c>
      <c r="AW108" s="558">
        <f>IFERROR(SUM('Income Statement'!AW11:AW13,'Income Statement'!AW15),"NM")</f>
        <v>501.36700000000002</v>
      </c>
      <c r="AX108" s="115">
        <f>IFERROR(SUM('Income Statement'!AX11:AX13,'Income Statement'!AX15),"NM")</f>
        <v>512.10500000000002</v>
      </c>
      <c r="AY108" s="115">
        <f>IFERROR(SUM('Income Statement'!AY11:AY13,'Income Statement'!AY15),"NM")</f>
        <v>583.65700000000004</v>
      </c>
      <c r="AZ108" s="115">
        <f>IFERROR(SUM('Income Statement'!AZ11:AZ13,'Income Statement'!AZ15),"NM")</f>
        <v>574.51099999999974</v>
      </c>
      <c r="BA108" s="480">
        <f>IFERROR(SUM('Income Statement'!BA11:BA13,'Income Statement'!BA15),"NM")</f>
        <v>2171.64</v>
      </c>
      <c r="BB108" s="558">
        <f>IFERROR(SUM('Income Statement'!BB11:BB13,'Income Statement'!BB15),"NM")</f>
        <v>568.00800000000004</v>
      </c>
      <c r="BC108" s="115">
        <f>IFERROR(SUM('Income Statement'!BC11:BC13,'Income Statement'!BC15),"NM")</f>
        <v>612.99199999999996</v>
      </c>
      <c r="BD108" s="115">
        <f>IFERROR(SUM('Income Statement'!BD11:BD13,'Income Statement'!BD15),"NM")</f>
        <v>641.72500000000002</v>
      </c>
      <c r="BE108" s="1212">
        <f>IFERROR(SUM('Income Statement'!BE11:BE13,'Income Statement'!BE15),"NM")</f>
        <v>606.17472402757085</v>
      </c>
      <c r="BF108" s="1210">
        <f>IFERROR(SUM('Income Statement'!BF11:BF13,'Income Statement'!BF15),"NM")</f>
        <v>2428.8997240275708</v>
      </c>
      <c r="BG108" s="1211">
        <f>IFERROR(SUM('Income Statement'!BG11:BG13,'Income Statement'!BG15),"NM")</f>
        <v>594.1136774291449</v>
      </c>
      <c r="BH108" s="1212">
        <f>IFERROR(SUM('Income Statement'!BH11:BH13,'Income Statement'!BH15),"NM")</f>
        <v>638.52996479852675</v>
      </c>
      <c r="BI108" s="1212">
        <f>IFERROR(SUM('Income Statement'!BI11:BI13,'Income Statement'!BI15),"NM")</f>
        <v>678.06931072068289</v>
      </c>
      <c r="BJ108" s="1212">
        <f>IFERROR(SUM('Income Statement'!BJ11:BJ13,'Income Statement'!BJ15),"NM")</f>
        <v>671.70051410392625</v>
      </c>
      <c r="BK108" s="1210">
        <f>IFERROR(SUM('Income Statement'!BK11:BK13,'Income Statement'!BK15),"NM")</f>
        <v>2582.4134670522808</v>
      </c>
      <c r="BL108" s="1211">
        <f>IFERROR(SUM('Income Statement'!BL11:BL13,'Income Statement'!BL15),"NM")</f>
        <v>674.52825678179204</v>
      </c>
      <c r="BM108" s="1212">
        <f>IFERROR(SUM('Income Statement'!BM11:BM13,'Income Statement'!BM15),"NM")</f>
        <v>730.88212474425711</v>
      </c>
      <c r="BN108" s="1212">
        <f>IFERROR(SUM('Income Statement'!BN11:BN13,'Income Statement'!BN15),"NM")</f>
        <v>742.95740835532229</v>
      </c>
      <c r="BO108" s="1212">
        <f>IFERROR(SUM('Income Statement'!BO11:BO13,'Income Statement'!BO15),"NM")</f>
        <v>745.71762873217813</v>
      </c>
      <c r="BP108" s="1210">
        <f>IFERROR(SUM('Income Statement'!BP11:BP13,'Income Statement'!BP15),"NM")</f>
        <v>2894.0854186135493</v>
      </c>
      <c r="BQ108" s="1211">
        <f>IFERROR(SUM('Income Statement'!BQ11:BQ13,'Income Statement'!BQ15),"NM")</f>
        <v>717.40302330711575</v>
      </c>
      <c r="BR108" s="1212">
        <f>IFERROR(SUM('Income Statement'!BR11:BR13,'Income Statement'!BR15),"NM")</f>
        <v>780.80450478818557</v>
      </c>
      <c r="BS108" s="1212">
        <f>IFERROR(SUM('Income Statement'!BS11:BS13,'Income Statement'!BS15),"NM")</f>
        <v>800.97937494884559</v>
      </c>
      <c r="BT108" s="1212">
        <f>IFERROR(SUM('Income Statement'!BT11:BT13,'Income Statement'!BT15),"NM")</f>
        <v>795.71713429671365</v>
      </c>
      <c r="BU108" s="1210">
        <f>IFERROR(SUM('Income Statement'!BU11:BU13,'Income Statement'!BU15),"NM")</f>
        <v>3094.9040373408602</v>
      </c>
      <c r="BV108" s="1211">
        <f>IFERROR(SUM('Income Statement'!BV11:BV13,'Income Statement'!BV15),"NM")</f>
        <v>766.64892021568892</v>
      </c>
      <c r="BW108" s="1212">
        <f>IFERROR(SUM('Income Statement'!BW11:BW13,'Income Statement'!BW15),"NM")</f>
        <v>832.27518994957074</v>
      </c>
      <c r="BX108" s="1212">
        <f>IFERROR(SUM('Income Statement'!BX11:BX13,'Income Statement'!BX15),"NM")</f>
        <v>854.50158519183606</v>
      </c>
      <c r="BY108" s="1212">
        <f>IFERROR(SUM('Income Statement'!BY11:BY13,'Income Statement'!BY15),"NM")</f>
        <v>831.38618676415547</v>
      </c>
      <c r="BZ108" s="1210">
        <f>IFERROR(SUM('Income Statement'!BZ11:BZ13,'Income Statement'!BZ15),"NM")</f>
        <v>3284.8118821212511</v>
      </c>
    </row>
    <row r="109" spans="1:78" s="115" customFormat="1" ht="14.1" customHeight="1" x14ac:dyDescent="0.2">
      <c r="A109"/>
      <c r="B109"/>
      <c r="C109" s="565" t="s">
        <v>168</v>
      </c>
      <c r="E109" s="162">
        <f>IFERROR(AVERAGE(D11:E11)/('Income Statement'!E8/365),"NM")</f>
        <v>38.830585500852855</v>
      </c>
      <c r="F109" s="162">
        <f>IFERROR(AVERAGE(E11:F11)/('Income Statement'!F8/365),"NM")</f>
        <v>38.582054697534893</v>
      </c>
      <c r="G109" s="162">
        <f>IFERROR(AVERAGE(F11:G11)/('Income Statement'!G8/365),"NM")</f>
        <v>41.361496538017064</v>
      </c>
      <c r="H109" s="162">
        <f>IFERROR(AVERAGE(G11:H11)/('Income Statement'!H8/365),"NM")</f>
        <v>39.363698844411509</v>
      </c>
      <c r="I109" s="162">
        <f>IFERROR(AVERAGE(H11:I11)/('Income Statement'!I8/365),"NM")</f>
        <v>37.065372411809641</v>
      </c>
      <c r="J109" s="585">
        <f>IFERROR(AVERAGE(I11:J11)/('Income Statement'!J8/365),"NM")</f>
        <v>38.131637973189036</v>
      </c>
      <c r="K109" s="947">
        <f>IFERROR(AVERAGE(J11:K11)/('Income Statement'!K8/365),"NM")</f>
        <v>37.746500005867716</v>
      </c>
      <c r="L109" s="947">
        <f>IFERROR(AVERAGE(K11:L11)/('Income Statement'!L8/365),"NM")</f>
        <v>38.187611099227318</v>
      </c>
      <c r="M109" s="947">
        <f>IFERROR(AVERAGE(L11:M11)/('Income Statement'!M8/365),"NM")</f>
        <v>38.32771811729895</v>
      </c>
      <c r="N109" s="947">
        <f>IFERROR(AVERAGE(M11:N11)/('Income Statement'!N8/365),"NM")</f>
        <v>41.202080659383498</v>
      </c>
      <c r="O109" s="948">
        <f>IFERROR(AVERAGE(N11:O11)/('Income Statement'!O8/365),"NM")</f>
        <v>43.817894652532274</v>
      </c>
      <c r="R109" s="210" t="str">
        <f t="shared" si="107"/>
        <v>Average Receivables Period (Days)</v>
      </c>
      <c r="T109" s="166"/>
      <c r="U109" s="166"/>
      <c r="V109" s="166"/>
      <c r="W109" s="166"/>
      <c r="X109" s="600">
        <f>IFERROR(AVERAGE(W11:X11)/('Income Statement'!X8/(365/4)),"NM")</f>
        <v>42.013841155280616</v>
      </c>
      <c r="Y109" s="166">
        <f>IFERROR(AVERAGE(X11:Y11)/('Income Statement'!Y8/(365/4)),"NM")</f>
        <v>41.724656953528076</v>
      </c>
      <c r="Z109" s="166">
        <f>IFERROR(AVERAGE(Y11:Z11)/('Income Statement'!Z8/(365/4)),"NM")</f>
        <v>42.736195019762107</v>
      </c>
      <c r="AA109" s="166">
        <f>IFERROR(AVERAGE(Z11:AA11)/('Income Statement'!AA8/(365/4)),"NM")</f>
        <v>42.577911800860512</v>
      </c>
      <c r="AB109" s="593">
        <f>IFERROR(AVERAGE(AA11:AB11)/('Income Statement'!AB8/(365)),"NM")</f>
        <v>40.081277069430158</v>
      </c>
      <c r="AC109" s="600">
        <f>IFERROR(AVERAGE(AB11:AC11)/('Income Statement'!AC8/(365/4)),"NM")</f>
        <v>42.642591101942593</v>
      </c>
      <c r="AD109" s="166">
        <f>IFERROR(AVERAGE(AC11:AD11)/('Income Statement'!AD8/(365/4)),"NM")</f>
        <v>42.183332166438667</v>
      </c>
      <c r="AE109" s="166">
        <f>IFERROR(AVERAGE(AD11:AE11)/('Income Statement'!AE8/(365/4)),"NM")</f>
        <v>43.304784587462755</v>
      </c>
      <c r="AF109" s="166">
        <f>IFERROR(AVERAGE(AE11:AF11)/('Income Statement'!AF8/(365/4)),"NM")</f>
        <v>42.644260717953372</v>
      </c>
      <c r="AG109" s="593">
        <f>IFERROR(AVERAGE(AF11:AG11)/('Income Statement'!AG8/(365)),"NM")</f>
        <v>40.063823118705351</v>
      </c>
      <c r="AH109" s="600">
        <f>IFERROR(AVERAGE(AG11:AH11)/('Income Statement'!AH8/(365/4)),"NM")</f>
        <v>41.599763718760919</v>
      </c>
      <c r="AI109" s="166">
        <f>IFERROR(AVERAGE(AH11:AI11)/('Income Statement'!AI8/(365/4)),"NM")</f>
        <v>45.39704631990319</v>
      </c>
      <c r="AJ109" s="166">
        <f>IFERROR(AVERAGE(AI11:AJ11)/('Income Statement'!AJ8/(365/4)),"NM")</f>
        <v>40.927096187164246</v>
      </c>
      <c r="AK109" s="166">
        <f>IFERROR(AVERAGE(AJ11:AK11)/('Income Statement'!AK8/(365/4)),"NM")</f>
        <v>42.474122841996135</v>
      </c>
      <c r="AL109" s="593">
        <f>IFERROR(AVERAGE(AK11:AL11)/('Income Statement'!AL8/(365)),"NM")</f>
        <v>43.442500024693175</v>
      </c>
      <c r="AM109" s="600">
        <f>IFERROR(AVERAGE(AL11:AM11)/('Income Statement'!AM8/(365/4)),"NM")</f>
        <v>43.336558563360143</v>
      </c>
      <c r="AN109" s="166">
        <f>IFERROR(AVERAGE(AM11:AN11)/('Income Statement'!AN8/(365/4)),"NM")</f>
        <v>40.248620331750487</v>
      </c>
      <c r="AO109" s="166">
        <f>IFERROR(AVERAGE(AN11:AO11)/('Income Statement'!AO8/(365/4)),"NM")</f>
        <v>41.238761043205635</v>
      </c>
      <c r="AP109" s="166">
        <f>IFERROR(AVERAGE(AO11:AP11)/('Income Statement'!AP8/(365/4)),"NM")</f>
        <v>42.337473727111991</v>
      </c>
      <c r="AQ109" s="593">
        <f>IFERROR(AVERAGE(AP11:AQ11)/('Income Statement'!AQ8/(365)),"NM")</f>
        <v>44.136583411397886</v>
      </c>
      <c r="AR109" s="600">
        <f>IFERROR(AVERAGE(AQ11:AR11)/('Income Statement'!AR8/(365/4)),"NM")</f>
        <v>41.338755036175769</v>
      </c>
      <c r="AS109" s="166">
        <f>IFERROR(AVERAGE(AR11:AS11)/('Income Statement'!AS8/(365/4)),"NM")</f>
        <v>41.576326966255962</v>
      </c>
      <c r="AT109" s="166">
        <f>IFERROR(AVERAGE(AS11:AT11)/('Income Statement'!AT8/(365/4)),"NM")</f>
        <v>43.316486729690865</v>
      </c>
      <c r="AU109" s="166">
        <f>IFERROR(AVERAGE(AT11:AU11)/('Income Statement'!AU8/(365/4)),"NM")</f>
        <v>43.549795379472549</v>
      </c>
      <c r="AV109" s="593">
        <f>IFERROR(AVERAGE(AU11:AV11)/('Income Statement'!AV8/(365)),"NM")</f>
        <v>37.951119909084952</v>
      </c>
      <c r="AW109" s="600">
        <f>IFERROR(AVERAGE(AV11:AW11)/('Income Statement'!AW8/(365/4)),"NM")</f>
        <v>40.422989508504465</v>
      </c>
      <c r="AX109" s="166">
        <f>IFERROR(AVERAGE(AW11:AX11)/('Income Statement'!AX8/(365/4)),"NM")</f>
        <v>39.046564174471868</v>
      </c>
      <c r="AY109" s="166">
        <f>IFERROR(AVERAGE(AX11:AY11)/('Income Statement'!AY8/(365/4)),"NM")</f>
        <v>37.99362037892314</v>
      </c>
      <c r="AZ109" s="166">
        <f>IFERROR(AVERAGE(AY11:AZ11)/('Income Statement'!AZ8/(365/4)),"NM")</f>
        <v>39.948692440210245</v>
      </c>
      <c r="BA109" s="593">
        <f>IFERROR(AVERAGE(AZ11:BA11)/('Income Statement'!BA8/(365)),"NM")</f>
        <v>39.489320070950811</v>
      </c>
      <c r="BB109" s="600">
        <f>IFERROR(AVERAGE(BA11:BB11)/('Income Statement'!BB8/(365/4)),"NM")</f>
        <v>39.747896724189324</v>
      </c>
      <c r="BC109" s="166">
        <f>IFERROR(AVERAGE(BB11:BC11)/('Income Statement'!BC8/(365/4)),"NM")</f>
        <v>39.996000578200388</v>
      </c>
      <c r="BD109" s="166">
        <f>IFERROR(AVERAGE(BC11:BD11)/('Income Statement'!BD8/(365/4)),"NM")</f>
        <v>40.5408186409501</v>
      </c>
      <c r="BE109" s="1227">
        <v>41.89</v>
      </c>
      <c r="BF109" s="1228">
        <f>IFERROR(AVERAGE(BE11:BF11)/('Income Statement'!BF8/(365)),"NM")</f>
        <v>40.035801751926201</v>
      </c>
      <c r="BG109" s="1229">
        <v>39.700000000000003</v>
      </c>
      <c r="BH109" s="1227">
        <v>38.9</v>
      </c>
      <c r="BI109" s="1227">
        <v>38.6</v>
      </c>
      <c r="BJ109" s="1227">
        <v>38.9</v>
      </c>
      <c r="BK109" s="1228">
        <f>IFERROR(AVERAGE(BJ11:BK11)/('Income Statement'!BK8/(365)),"NM")</f>
        <v>40.310635546654453</v>
      </c>
      <c r="BL109" s="1229">
        <v>39.700000000000003</v>
      </c>
      <c r="BM109" s="1227">
        <v>38.9</v>
      </c>
      <c r="BN109" s="1227">
        <v>38.6</v>
      </c>
      <c r="BO109" s="1227">
        <v>38.9</v>
      </c>
      <c r="BP109" s="1228">
        <f>IFERROR(AVERAGE(BO11:BP11)/('Income Statement'!BP8/(365)),"NM")</f>
        <v>41.553678478551184</v>
      </c>
      <c r="BQ109" s="1229">
        <v>39.700000000000003</v>
      </c>
      <c r="BR109" s="1227">
        <v>38.9</v>
      </c>
      <c r="BS109" s="1227">
        <v>38.6</v>
      </c>
      <c r="BT109" s="1227">
        <v>38.9</v>
      </c>
      <c r="BU109" s="1228">
        <f>IFERROR(AVERAGE(BT11:BU11)/('Income Statement'!BU8/(365)),"NM")</f>
        <v>44.235716653233091</v>
      </c>
      <c r="BV109" s="1229">
        <v>39.700000000000003</v>
      </c>
      <c r="BW109" s="1227">
        <v>38.9</v>
      </c>
      <c r="BX109" s="1227">
        <v>38.6</v>
      </c>
      <c r="BY109" s="1227">
        <v>38.9</v>
      </c>
      <c r="BZ109" s="1228">
        <f>IFERROR(AVERAGE(BY11:BZ11)/('Income Statement'!BZ8/(365)),"NM")</f>
        <v>46.659137749049229</v>
      </c>
    </row>
    <row r="110" spans="1:78" s="115" customFormat="1" ht="14.1" customHeight="1" x14ac:dyDescent="0.2">
      <c r="A110"/>
      <c r="B110"/>
      <c r="C110" s="565" t="str">
        <f>C12&amp;" / "&amp;'Income Statement'!$C$8</f>
        <v>Prepaid expenses / Revenue</v>
      </c>
      <c r="D110" s="160">
        <f>IFERROR(D12/'Income Statement'!D8,"NM")</f>
        <v>2.011172468486221E-2</v>
      </c>
      <c r="E110" s="160">
        <f>IFERROR(E12/'Income Statement'!E8,"NM")</f>
        <v>1.7877690163975068E-2</v>
      </c>
      <c r="F110" s="160">
        <f>IFERROR(F12/'Income Statement'!F8,"NM")</f>
        <v>1.5516570728171778E-2</v>
      </c>
      <c r="G110" s="160">
        <f>IFERROR(G12/'Income Statement'!G8,"NM")</f>
        <v>1.6129032258064516E-2</v>
      </c>
      <c r="H110" s="160">
        <f>IFERROR(H12/'Income Statement'!H8,"NM")</f>
        <v>1.4380190710550599E-2</v>
      </c>
      <c r="I110" s="160">
        <f>IFERROR(I12/'Income Statement'!I8,"NM")</f>
        <v>8.0675287073293991E-3</v>
      </c>
      <c r="J110" s="586">
        <f>IFERROR(J12/'Income Statement'!J8,"NM")</f>
        <v>1.1330473413749341E-2</v>
      </c>
      <c r="K110" s="160">
        <f>IFERROR(K12/'Income Statement'!K8,"NM")</f>
        <v>1.0080151999207922E-2</v>
      </c>
      <c r="L110" s="160">
        <f>IFERROR(L12/'Income Statement'!L8,"NM")</f>
        <v>1.200153069337687E-2</v>
      </c>
      <c r="M110" s="160">
        <f>IFERROR(M12/'Income Statement'!M8,"NM")</f>
        <v>1.2018837380552322E-2</v>
      </c>
      <c r="N110" s="160">
        <f>IFERROR(N12/'Income Statement'!N8,"NM")</f>
        <v>1.198332452020715E-2</v>
      </c>
      <c r="O110" s="199">
        <f>IFERROR(O12/'Income Statement'!O8,"NM")</f>
        <v>1.1884689381204449E-2</v>
      </c>
      <c r="R110" s="210" t="str">
        <f t="shared" si="107"/>
        <v>Prepaid expenses / Revenue</v>
      </c>
      <c r="S110" s="160">
        <f>IFERROR(S12/'Income Statement'!S8,"NM")</f>
        <v>0.1082330000928534</v>
      </c>
      <c r="T110" s="160">
        <f>IFERROR(T12/'Income Statement'!T8,"NM")</f>
        <v>8.4372905963815054E-2</v>
      </c>
      <c r="U110" s="160">
        <f>IFERROR(U12/'Income Statement'!U8,"NM")</f>
        <v>8.1125629174260555E-2</v>
      </c>
      <c r="V110" s="160">
        <f>IFERROR(V12/'Income Statement'!V8,"NM")</f>
        <v>7.5660634562697004E-2</v>
      </c>
      <c r="W110" s="160">
        <f>IFERROR(W12/'Income Statement'!W8,"NM")</f>
        <v>2.011172468486221E-2</v>
      </c>
      <c r="X110" s="601">
        <f>IFERROR(X12/'Income Statement'!X8,"NM")</f>
        <v>8.6724965313577984E-2</v>
      </c>
      <c r="Y110" s="160">
        <f>IFERROR(Y12/'Income Statement'!Y8,"NM")</f>
        <v>7.1965703516415847E-2</v>
      </c>
      <c r="Z110" s="160">
        <f>IFERROR(Z12/'Income Statement'!Z8,"NM")</f>
        <v>6.145990478473172E-2</v>
      </c>
      <c r="AA110" s="160">
        <f>IFERROR(AA12/'Income Statement'!AA8,"NM")</f>
        <v>7.2690842040565501E-2</v>
      </c>
      <c r="AB110" s="199">
        <f>IFERROR(AB12/'Income Statement'!AB8,"NM")</f>
        <v>1.7877690163975068E-2</v>
      </c>
      <c r="AC110" s="601">
        <f>IFERROR(AC12/'Income Statement'!AC8,"NM")</f>
        <v>9.4799115406348028E-2</v>
      </c>
      <c r="AD110" s="160">
        <f>IFERROR(AD12/'Income Statement'!AD8,"NM")</f>
        <v>7.2900397462273406E-2</v>
      </c>
      <c r="AE110" s="160">
        <f>IFERROR(AE12/'Income Statement'!AE8,"NM")</f>
        <v>6.7593534531479593E-2</v>
      </c>
      <c r="AF110" s="160">
        <f>IFERROR(AF12/'Income Statement'!AF8,"NM")</f>
        <v>6.2573211605520665E-2</v>
      </c>
      <c r="AG110" s="199">
        <f>IFERROR(AG12/'Income Statement'!AG8,"NM")</f>
        <v>1.5516570728171778E-2</v>
      </c>
      <c r="AH110" s="601">
        <f>IFERROR(AH12/'Income Statement'!AH8,"NM")</f>
        <v>9.3107913153343672E-2</v>
      </c>
      <c r="AI110" s="160">
        <f>IFERROR(AI12/'Income Statement'!AI8,"NM")</f>
        <v>8.1513654170872071E-2</v>
      </c>
      <c r="AJ110" s="160">
        <f>IFERROR(AJ12/'Income Statement'!AJ8,"NM")</f>
        <v>5.8106586562631131E-2</v>
      </c>
      <c r="AK110" s="160">
        <f>IFERROR(AK12/'Income Statement'!AK8,"NM")</f>
        <v>6.168753489113965E-2</v>
      </c>
      <c r="AL110" s="199">
        <f>IFERROR(AL12/'Income Statement'!AL8,"NM")</f>
        <v>1.6129032258064516E-2</v>
      </c>
      <c r="AM110" s="601">
        <f>IFERROR(AM12/'Income Statement'!AM8,"NM")</f>
        <v>0.10775212054355325</v>
      </c>
      <c r="AN110" s="160">
        <f>IFERROR(AN12/'Income Statement'!AN8,"NM")</f>
        <v>6.7053714733789238E-2</v>
      </c>
      <c r="AO110" s="160">
        <f>IFERROR(AO12/'Income Statement'!AO8,"NM")</f>
        <v>5.3625676710763757E-2</v>
      </c>
      <c r="AP110" s="160">
        <f>IFERROR(AP12/'Income Statement'!AP8,"NM")</f>
        <v>5.3334975473236075E-2</v>
      </c>
      <c r="AQ110" s="199">
        <f>IFERROR(AQ12/'Income Statement'!AQ8,"NM")</f>
        <v>1.4380190710550599E-2</v>
      </c>
      <c r="AR110" s="601">
        <f>IFERROR(AR12/'Income Statement'!AR8,"NM")</f>
        <v>7.1078134830373133E-2</v>
      </c>
      <c r="AS110" s="160">
        <f>IFERROR(AS12/'Income Statement'!AS8,"NM")</f>
        <v>4.2976095628217401E-2</v>
      </c>
      <c r="AT110" s="160">
        <f>IFERROR(AT12/'Income Statement'!AT8,"NM")</f>
        <v>7.418570894003379E-2</v>
      </c>
      <c r="AU110" s="160">
        <f>IFERROR(AU12/'Income Statement'!AU8,"NM")</f>
        <v>3.4351238169601346E-2</v>
      </c>
      <c r="AV110" s="199">
        <f>IFERROR(AV12/'Income Statement'!AV8,"NM")</f>
        <v>8.0675287073293991E-3</v>
      </c>
      <c r="AW110" s="601">
        <f>IFERROR(AW12/'Income Statement'!AW8,"NM")</f>
        <v>5.8490466061601583E-2</v>
      </c>
      <c r="AX110" s="160">
        <f>IFERROR(AX12/'Income Statement'!AX8,"NM")</f>
        <v>5.2568159373011514E-2</v>
      </c>
      <c r="AY110" s="160">
        <f>IFERROR(AY12/'Income Statement'!AY8,"NM")</f>
        <v>3.6748010692206866E-2</v>
      </c>
      <c r="AZ110" s="160">
        <f>IFERROR(AZ12/'Income Statement'!AZ8,"NM")</f>
        <v>4.3465063397645158E-2</v>
      </c>
      <c r="BA110" s="199">
        <f>IFERROR(BA12/'Income Statement'!BA8,"NM")</f>
        <v>1.1330473413749341E-2</v>
      </c>
      <c r="BB110" s="601">
        <f>IFERROR(BB12/'Income Statement'!BB8,"NM")</f>
        <v>6.7875857043489793E-2</v>
      </c>
      <c r="BC110" s="160">
        <f>IFERROR(BC12/'Income Statement'!BC8,"NM")</f>
        <v>5.1943287773734151E-2</v>
      </c>
      <c r="BD110" s="160">
        <f>IFERROR(BD12/'Income Statement'!BD8,"NM")</f>
        <v>4.2448489080314407E-2</v>
      </c>
      <c r="BE110" s="1230">
        <v>4.1000000000000002E-2</v>
      </c>
      <c r="BF110" s="1231">
        <f>IFERROR(BF12/'Income Statement'!BF8,"NM")</f>
        <v>1.0080151999207922E-2</v>
      </c>
      <c r="BG110" s="1232">
        <v>7.6999999999999999E-2</v>
      </c>
      <c r="BH110" s="1230">
        <v>6.4799999999999996E-2</v>
      </c>
      <c r="BI110" s="1230">
        <v>4.5999999999999999E-2</v>
      </c>
      <c r="BJ110" s="1230">
        <v>4.8000000000000001E-2</v>
      </c>
      <c r="BK110" s="1231">
        <f>IFERROR(BK12/'Income Statement'!BK8,"NM")</f>
        <v>1.200153069337687E-2</v>
      </c>
      <c r="BL110" s="1232">
        <v>5.3999999999999999E-2</v>
      </c>
      <c r="BM110" s="1230">
        <v>5.6000000000000001E-2</v>
      </c>
      <c r="BN110" s="1230">
        <v>4.3999999999999997E-2</v>
      </c>
      <c r="BO110" s="1230">
        <v>4.7E-2</v>
      </c>
      <c r="BP110" s="1231">
        <f>IFERROR(BP12/'Income Statement'!BP8,"NM")</f>
        <v>1.2018837380552322E-2</v>
      </c>
      <c r="BQ110" s="1232">
        <v>5.3999999999999999E-2</v>
      </c>
      <c r="BR110" s="1230">
        <v>5.6000000000000001E-2</v>
      </c>
      <c r="BS110" s="1230">
        <v>4.3999999999999997E-2</v>
      </c>
      <c r="BT110" s="1230">
        <v>4.7E-2</v>
      </c>
      <c r="BU110" s="1231">
        <f>IFERROR(BU12/'Income Statement'!BU8,"NM")</f>
        <v>1.198332452020715E-2</v>
      </c>
      <c r="BV110" s="1232">
        <v>5.3999999999999999E-2</v>
      </c>
      <c r="BW110" s="1230">
        <v>5.6000000000000001E-2</v>
      </c>
      <c r="BX110" s="1230">
        <v>4.3999999999999997E-2</v>
      </c>
      <c r="BY110" s="1230">
        <v>4.7E-2</v>
      </c>
      <c r="BZ110" s="1231">
        <f>IFERROR(BZ12/'Income Statement'!BZ8,"NM")</f>
        <v>1.1884689381204449E-2</v>
      </c>
    </row>
    <row r="111" spans="1:78" s="115" customFormat="1" ht="14.1" customHeight="1" x14ac:dyDescent="0.2">
      <c r="A111"/>
      <c r="B111"/>
      <c r="C111" s="565" t="str">
        <f>C13&amp;" / "&amp;'Income Statement'!$C$8</f>
        <v>Income tax receivable / Revenue</v>
      </c>
      <c r="D111" s="160">
        <f>IFERROR(D13/'Income Statement'!D8,"NM")</f>
        <v>0</v>
      </c>
      <c r="E111" s="160">
        <f>IFERROR(E13/'Income Statement'!E8,"NM")</f>
        <v>0</v>
      </c>
      <c r="F111" s="160">
        <f>IFERROR(F13/'Income Statement'!F8,"NM")</f>
        <v>4.638628559915153E-3</v>
      </c>
      <c r="G111" s="160">
        <f>IFERROR(G13/'Income Statement'!G8,"NM")</f>
        <v>5.2678770345803206E-5</v>
      </c>
      <c r="H111" s="160">
        <f>IFERROR(H13/'Income Statement'!H8,"NM")</f>
        <v>0</v>
      </c>
      <c r="I111" s="160">
        <f>IFERROR(I13/'Income Statement'!I8,"NM")</f>
        <v>8.394527762148123E-3</v>
      </c>
      <c r="J111" s="586">
        <f>IFERROR(J13/'Income Statement'!J8,"NM")</f>
        <v>0</v>
      </c>
      <c r="K111" s="160">
        <f>IFERROR(K13/'Income Statement'!K8,"NM")</f>
        <v>2.4585736583433958E-3</v>
      </c>
      <c r="L111" s="160">
        <f>IFERROR(L13/'Income Statement'!L8,"NM")</f>
        <v>2.2502870050081628E-3</v>
      </c>
      <c r="M111" s="160">
        <f>IFERROR(M13/'Income Statement'!M8,"NM")</f>
        <v>2.301479498403636E-3</v>
      </c>
      <c r="N111" s="160">
        <f>IFERROR(N13/'Income Statement'!N8,"NM")</f>
        <v>2.294679163443922E-3</v>
      </c>
      <c r="O111" s="199">
        <f>IFERROR(O13/'Income Statement'!O8,"NM")</f>
        <v>2.275791583634894E-3</v>
      </c>
      <c r="R111" s="210" t="str">
        <f t="shared" si="107"/>
        <v>Income tax receivable / Revenue</v>
      </c>
      <c r="S111" s="160">
        <f>IFERROR(S13/'Income Statement'!S8,"NM")</f>
        <v>0</v>
      </c>
      <c r="T111" s="160">
        <f>IFERROR(T13/'Income Statement'!T8,"NM")</f>
        <v>0</v>
      </c>
      <c r="U111" s="160">
        <f>IFERROR(U13/'Income Statement'!U8,"NM")</f>
        <v>0</v>
      </c>
      <c r="V111" s="160">
        <f>IFERROR(V13/'Income Statement'!V8,"NM")</f>
        <v>0</v>
      </c>
      <c r="W111" s="160">
        <f>IFERROR(W13/'Income Statement'!W8,"NM")</f>
        <v>0</v>
      </c>
      <c r="X111" s="601">
        <f>IFERROR(X13/'Income Statement'!X8,"NM")</f>
        <v>0</v>
      </c>
      <c r="Y111" s="160">
        <f>IFERROR(Y13/'Income Statement'!Y8,"NM")</f>
        <v>0</v>
      </c>
      <c r="Z111" s="160">
        <f>IFERROR(Z13/'Income Statement'!Z8,"NM")</f>
        <v>0</v>
      </c>
      <c r="AA111" s="160">
        <f>IFERROR(AA13/'Income Statement'!AA8,"NM")</f>
        <v>0</v>
      </c>
      <c r="AB111" s="199">
        <f>IFERROR(AB13/'Income Statement'!AB8,"NM")</f>
        <v>0</v>
      </c>
      <c r="AC111" s="601">
        <f>IFERROR(AC13/'Income Statement'!AC8,"NM")</f>
        <v>0</v>
      </c>
      <c r="AD111" s="160">
        <f>IFERROR(AD13/'Income Statement'!AD8,"NM")</f>
        <v>0</v>
      </c>
      <c r="AE111" s="160">
        <f>IFERROR(AE13/'Income Statement'!AE8,"NM")</f>
        <v>0</v>
      </c>
      <c r="AF111" s="160">
        <f>IFERROR(AF13/'Income Statement'!AF8,"NM")</f>
        <v>1.8706058930405254E-2</v>
      </c>
      <c r="AG111" s="199">
        <f>IFERROR(AG13/'Income Statement'!AG8,"NM")</f>
        <v>4.638628559915153E-3</v>
      </c>
      <c r="AH111" s="601">
        <f>IFERROR(AH13/'Income Statement'!AH8,"NM")</f>
        <v>1.4655149239688527E-2</v>
      </c>
      <c r="AI111" s="160">
        <f>IFERROR(AI13/'Income Statement'!AI8,"NM")</f>
        <v>2.7504460505986404E-3</v>
      </c>
      <c r="AJ111" s="160">
        <f>IFERROR(AJ13/'Income Statement'!AJ8,"NM")</f>
        <v>0</v>
      </c>
      <c r="AK111" s="160">
        <f>IFERROR(AK13/'Income Statement'!AK8,"NM")</f>
        <v>2.0147665599120222E-4</v>
      </c>
      <c r="AL111" s="199">
        <f>IFERROR(AL13/'Income Statement'!AL8,"NM")</f>
        <v>5.2678770345803206E-5</v>
      </c>
      <c r="AM111" s="601">
        <f>IFERROR(AM13/'Income Statement'!AM8,"NM")</f>
        <v>0</v>
      </c>
      <c r="AN111" s="160">
        <f>IFERROR(AN13/'Income Statement'!AN8,"NM")</f>
        <v>2.7969677928633566E-3</v>
      </c>
      <c r="AO111" s="160">
        <f>IFERROR(AO13/'Income Statement'!AO8,"NM")</f>
        <v>0</v>
      </c>
      <c r="AP111" s="160">
        <f>IFERROR(AP13/'Income Statement'!AP8,"NM")</f>
        <v>0</v>
      </c>
      <c r="AQ111" s="199">
        <f>IFERROR(AQ13/'Income Statement'!AQ8,"NM")</f>
        <v>0</v>
      </c>
      <c r="AR111" s="601">
        <f>IFERROR(AR13/'Income Statement'!AR8,"NM")</f>
        <v>0</v>
      </c>
      <c r="AS111" s="160">
        <f>IFERROR(AS13/'Income Statement'!AS8,"NM")</f>
        <v>1.2624169409593405E-2</v>
      </c>
      <c r="AT111" s="160">
        <f>IFERROR(AT13/'Income Statement'!AT8,"NM")</f>
        <v>1.6254980734989946E-2</v>
      </c>
      <c r="AU111" s="160">
        <f>IFERROR(AU13/'Income Statement'!AU8,"NM")</f>
        <v>3.5743588023046231E-2</v>
      </c>
      <c r="AV111" s="199">
        <f>IFERROR(AV13/'Income Statement'!AV8,"NM")</f>
        <v>8.394527762148123E-3</v>
      </c>
      <c r="AW111" s="601">
        <f>IFERROR(AW13/'Income Statement'!AW8,"NM")</f>
        <v>9.6754903222387913E-3</v>
      </c>
      <c r="AX111" s="160">
        <f>IFERROR(AX13/'Income Statement'!AX8,"NM")</f>
        <v>2.0759492213030975E-3</v>
      </c>
      <c r="AY111" s="160">
        <f>IFERROR(AY13/'Income Statement'!AY8,"NM")</f>
        <v>1.8621056216651357E-2</v>
      </c>
      <c r="AZ111" s="160">
        <f>IFERROR(AZ13/'Income Statement'!AZ8,"NM")</f>
        <v>0</v>
      </c>
      <c r="BA111" s="199">
        <f>IFERROR(BA13/'Income Statement'!BA8,"NM")</f>
        <v>0</v>
      </c>
      <c r="BB111" s="601">
        <f>IFERROR(BB13/'Income Statement'!BB8,"NM")</f>
        <v>0</v>
      </c>
      <c r="BC111" s="160">
        <f>IFERROR(BC13/'Income Statement'!BC8,"NM")</f>
        <v>8.7033734834386887E-3</v>
      </c>
      <c r="BD111" s="160">
        <f>IFERROR(BD13/'Income Statement'!BD8,"NM")</f>
        <v>9.8907140812940948E-3</v>
      </c>
      <c r="BE111" s="1230">
        <v>0.01</v>
      </c>
      <c r="BF111" s="1231">
        <f>IFERROR(BF13/'Income Statement'!BF8,"NM")</f>
        <v>2.4585736583433958E-3</v>
      </c>
      <c r="BG111" s="1232">
        <v>1E-3</v>
      </c>
      <c r="BH111" s="1230">
        <v>4.0000000000000001E-3</v>
      </c>
      <c r="BI111" s="1230">
        <v>8.0000000000000002E-3</v>
      </c>
      <c r="BJ111" s="1230">
        <v>8.9999999999999993E-3</v>
      </c>
      <c r="BK111" s="1231">
        <f>IFERROR(BK13/'Income Statement'!BK8,"NM")</f>
        <v>2.2502870050081628E-3</v>
      </c>
      <c r="BL111" s="1232">
        <v>1E-3</v>
      </c>
      <c r="BM111" s="1230">
        <v>4.0000000000000001E-3</v>
      </c>
      <c r="BN111" s="1230">
        <v>1.2E-2</v>
      </c>
      <c r="BO111" s="1230">
        <v>8.9999999999999993E-3</v>
      </c>
      <c r="BP111" s="1231">
        <f>IFERROR(BP13/'Income Statement'!BP8,"NM")</f>
        <v>2.301479498403636E-3</v>
      </c>
      <c r="BQ111" s="1232">
        <v>1E-3</v>
      </c>
      <c r="BR111" s="1230">
        <v>4.0000000000000001E-3</v>
      </c>
      <c r="BS111" s="1230">
        <v>1.2E-2</v>
      </c>
      <c r="BT111" s="1230">
        <v>8.9999999999999993E-3</v>
      </c>
      <c r="BU111" s="1231">
        <f>IFERROR(BU13/'Income Statement'!BU8,"NM")</f>
        <v>2.294679163443922E-3</v>
      </c>
      <c r="BV111" s="1232">
        <v>1E-3</v>
      </c>
      <c r="BW111" s="1230">
        <v>4.0000000000000001E-3</v>
      </c>
      <c r="BX111" s="1230">
        <v>1.2E-2</v>
      </c>
      <c r="BY111" s="1230">
        <v>8.9999999999999993E-3</v>
      </c>
      <c r="BZ111" s="1231">
        <f>IFERROR(BZ13/'Income Statement'!BZ8,"NM")</f>
        <v>2.275791583634894E-3</v>
      </c>
    </row>
    <row r="112" spans="1:78" s="115" customFormat="1" ht="14.1" customHeight="1" x14ac:dyDescent="0.2">
      <c r="A112"/>
      <c r="B112"/>
      <c r="C112" s="565" t="str">
        <f>C14&amp;" / "&amp;'Income Statement'!$C$8</f>
        <v>Other current assets / Revenue</v>
      </c>
      <c r="D112" s="160">
        <f>IFERROR(D14/'Income Statement'!D8,"NM")</f>
        <v>0</v>
      </c>
      <c r="E112" s="160">
        <f>IFERROR(E14/'Income Statement'!E8,"NM")</f>
        <v>0</v>
      </c>
      <c r="F112" s="160">
        <f>IFERROR(F14/'Income Statement'!F8,"NM")</f>
        <v>0</v>
      </c>
      <c r="G112" s="160">
        <f>IFERROR(G14/'Income Statement'!G8,"NM")</f>
        <v>0</v>
      </c>
      <c r="H112" s="160">
        <f>IFERROR(H14/'Income Statement'!H8,"NM")</f>
        <v>0</v>
      </c>
      <c r="I112" s="160">
        <f>IFERROR(I14/'Income Statement'!I8,"NM")</f>
        <v>2.5884142050108579E-3</v>
      </c>
      <c r="J112" s="586">
        <f>IFERROR(J14/'Income Statement'!J8,"NM")</f>
        <v>2.8072837369461654E-3</v>
      </c>
      <c r="K112" s="160">
        <f>IFERROR(K14/'Income Statement'!K8,"NM")</f>
        <v>1.8439302437575466E-3</v>
      </c>
      <c r="L112" s="160">
        <f>IFERROR(L14/'Income Statement'!L8,"NM")</f>
        <v>1.7502232261174602E-3</v>
      </c>
      <c r="M112" s="160">
        <f>IFERROR(M14/'Income Statement'!M8,"NM")</f>
        <v>7.67159832801212E-4</v>
      </c>
      <c r="N112" s="160">
        <f>IFERROR(N14/'Income Statement'!N8,"NM")</f>
        <v>7.6489305448130737E-4</v>
      </c>
      <c r="O112" s="199">
        <f>IFERROR(O14/'Income Statement'!O8,"NM")</f>
        <v>7.5859719454496473E-4</v>
      </c>
      <c r="R112" s="210" t="str">
        <f t="shared" si="107"/>
        <v>Other current assets / Revenue</v>
      </c>
      <c r="S112" s="160">
        <f>IFERROR(S14/'Income Statement'!S8,"NM")</f>
        <v>0</v>
      </c>
      <c r="T112" s="160">
        <f>IFERROR(T14/'Income Statement'!T8,"NM")</f>
        <v>0</v>
      </c>
      <c r="U112" s="160">
        <f>IFERROR(U14/'Income Statement'!U8,"NM")</f>
        <v>0</v>
      </c>
      <c r="V112" s="160">
        <f>IFERROR(V14/'Income Statement'!V8,"NM")</f>
        <v>0</v>
      </c>
      <c r="W112" s="160">
        <f>IFERROR(W14/'Income Statement'!W8,"NM")</f>
        <v>0</v>
      </c>
      <c r="X112" s="601">
        <f>IFERROR(X14/'Income Statement'!X8,"NM")</f>
        <v>0</v>
      </c>
      <c r="Y112" s="160">
        <f>IFERROR(Y14/'Income Statement'!Y8,"NM")</f>
        <v>0</v>
      </c>
      <c r="Z112" s="160">
        <f>IFERROR(Z14/'Income Statement'!Z8,"NM")</f>
        <v>0</v>
      </c>
      <c r="AA112" s="160">
        <f>IFERROR(AA14/'Income Statement'!AA8,"NM")</f>
        <v>0</v>
      </c>
      <c r="AB112" s="199">
        <f>IFERROR(AB14/'Income Statement'!AB8,"NM")</f>
        <v>0</v>
      </c>
      <c r="AC112" s="601">
        <f>IFERROR(AC14/'Income Statement'!AC8,"NM")</f>
        <v>0</v>
      </c>
      <c r="AD112" s="160">
        <f>IFERROR(AD14/'Income Statement'!AD8,"NM")</f>
        <v>0</v>
      </c>
      <c r="AE112" s="160">
        <f>IFERROR(AE14/'Income Statement'!AE8,"NM")</f>
        <v>0</v>
      </c>
      <c r="AF112" s="160">
        <f>IFERROR(AF14/'Income Statement'!AF8,"NM")</f>
        <v>0</v>
      </c>
      <c r="AG112" s="199">
        <f>IFERROR(AG14/'Income Statement'!AG8,"NM")</f>
        <v>0</v>
      </c>
      <c r="AH112" s="601">
        <f>IFERROR(AH14/'Income Statement'!AH8,"NM")</f>
        <v>0</v>
      </c>
      <c r="AI112" s="160">
        <f>IFERROR(AI14/'Income Statement'!AI8,"NM")</f>
        <v>0</v>
      </c>
      <c r="AJ112" s="160">
        <f>IFERROR(AJ14/'Income Statement'!AJ8,"NM")</f>
        <v>0</v>
      </c>
      <c r="AK112" s="160">
        <f>IFERROR(AK14/'Income Statement'!AK8,"NM")</f>
        <v>0</v>
      </c>
      <c r="AL112" s="199">
        <f>IFERROR(AL14/'Income Statement'!AL8,"NM")</f>
        <v>0</v>
      </c>
      <c r="AM112" s="601">
        <f>IFERROR(AM14/'Income Statement'!AM8,"NM")</f>
        <v>0</v>
      </c>
      <c r="AN112" s="160">
        <f>IFERROR(AN14/'Income Statement'!AN8,"NM")</f>
        <v>0</v>
      </c>
      <c r="AO112" s="160">
        <f>IFERROR(AO14/'Income Statement'!AO8,"NM")</f>
        <v>0</v>
      </c>
      <c r="AP112" s="160">
        <f>IFERROR(AP14/'Income Statement'!AP8,"NM")</f>
        <v>0</v>
      </c>
      <c r="AQ112" s="199">
        <f>IFERROR(AQ14/'Income Statement'!AQ8,"NM")</f>
        <v>0</v>
      </c>
      <c r="AR112" s="601">
        <f>IFERROR(AR14/'Income Statement'!AR8,"NM")</f>
        <v>0</v>
      </c>
      <c r="AS112" s="160">
        <f>IFERROR(AS14/'Income Statement'!AS8,"NM")</f>
        <v>0</v>
      </c>
      <c r="AT112" s="160">
        <f>IFERROR(AT14/'Income Statement'!AT8,"NM")</f>
        <v>0</v>
      </c>
      <c r="AU112" s="160">
        <f>IFERROR(AU14/'Income Statement'!AU8,"NM")</f>
        <v>1.1021371731485412E-2</v>
      </c>
      <c r="AV112" s="199">
        <f>IFERROR(AV14/'Income Statement'!AV8,"NM")</f>
        <v>2.5884142050108579E-3</v>
      </c>
      <c r="AW112" s="601">
        <f>IFERROR(AW14/'Income Statement'!AW8,"NM")</f>
        <v>1.0818503183025881E-2</v>
      </c>
      <c r="AX112" s="160">
        <f>IFERROR(AX14/'Income Statement'!AX8,"NM")</f>
        <v>9.1618175064999384E-3</v>
      </c>
      <c r="AY112" s="160">
        <f>IFERROR(AY14/'Income Statement'!AY8,"NM")</f>
        <v>9.6394992414312701E-3</v>
      </c>
      <c r="AZ112" s="160">
        <f>IFERROR(AZ14/'Income Statement'!AZ8,"NM")</f>
        <v>1.0769079203122754E-2</v>
      </c>
      <c r="BA112" s="199">
        <f>IFERROR(BA14/'Income Statement'!BA8,"NM")</f>
        <v>2.8072837369461654E-3</v>
      </c>
      <c r="BB112" s="601">
        <f>IFERROR(BB14/'Income Statement'!BB8,"NM")</f>
        <v>9.1590209002682926E-3</v>
      </c>
      <c r="BC112" s="160">
        <f>IFERROR(BC14/'Income Statement'!BC8,"NM")</f>
        <v>1.1050186821889985E-2</v>
      </c>
      <c r="BD112" s="160">
        <f>IFERROR(BD14/'Income Statement'!BD8,"NM")</f>
        <v>7.6843331516453454E-3</v>
      </c>
      <c r="BE112" s="1230">
        <v>7.4999999999999997E-3</v>
      </c>
      <c r="BF112" s="1231">
        <f>IFERROR(BF14/'Income Statement'!BF8,"NM")</f>
        <v>1.8439302437575466E-3</v>
      </c>
      <c r="BG112" s="1232">
        <v>8.9999999999999993E-3</v>
      </c>
      <c r="BH112" s="1230">
        <v>1.0999999999999999E-2</v>
      </c>
      <c r="BI112" s="1230">
        <v>8.0000000000000002E-3</v>
      </c>
      <c r="BJ112" s="1230">
        <v>7.0000000000000001E-3</v>
      </c>
      <c r="BK112" s="1231">
        <f>IFERROR(BK14/'Income Statement'!BK8,"NM")</f>
        <v>1.7502232261174602E-3</v>
      </c>
      <c r="BL112" s="1232">
        <v>8.9999999999999993E-3</v>
      </c>
      <c r="BM112" s="1230">
        <v>1.0999999999999999E-2</v>
      </c>
      <c r="BN112" s="1230">
        <v>8.0000000000000002E-3</v>
      </c>
      <c r="BO112" s="1230">
        <v>3.0000000000000001E-3</v>
      </c>
      <c r="BP112" s="1231">
        <f>IFERROR(BP14/'Income Statement'!BP8,"NM")</f>
        <v>7.67159832801212E-4</v>
      </c>
      <c r="BQ112" s="1232">
        <v>8.9999999999999993E-3</v>
      </c>
      <c r="BR112" s="1230">
        <v>1.0999999999999999E-2</v>
      </c>
      <c r="BS112" s="1230">
        <v>8.0000000000000002E-3</v>
      </c>
      <c r="BT112" s="1230">
        <v>3.0000000000000001E-3</v>
      </c>
      <c r="BU112" s="1231">
        <f>IFERROR(BU14/'Income Statement'!BU8,"NM")</f>
        <v>7.6489305448130737E-4</v>
      </c>
      <c r="BV112" s="1232">
        <v>8.9999999999999993E-3</v>
      </c>
      <c r="BW112" s="1230">
        <v>1.0999999999999999E-2</v>
      </c>
      <c r="BX112" s="1230">
        <v>8.0000000000000002E-3</v>
      </c>
      <c r="BY112" s="1230">
        <v>3.0000000000000001E-3</v>
      </c>
      <c r="BZ112" s="1231">
        <f>IFERROR(BZ14/'Income Statement'!BZ8,"NM")</f>
        <v>7.5859719454496473E-4</v>
      </c>
    </row>
    <row r="113" spans="1:80" s="115" customFormat="1" ht="14.1" customHeight="1" x14ac:dyDescent="0.2">
      <c r="A113"/>
      <c r="B113"/>
      <c r="C113" s="577" t="str">
        <f>C15&amp;" / "&amp;'Income Statement'!$C$8</f>
        <v>Total Current Assets / Revenue</v>
      </c>
      <c r="D113" s="180">
        <f>IFERROR(D15/'Income Statement'!D8,"NM")</f>
        <v>0.14469179605938051</v>
      </c>
      <c r="E113" s="180">
        <f>IFERROR(E15/'Income Statement'!E8,"NM")</f>
        <v>0.12901601053058653</v>
      </c>
      <c r="F113" s="180">
        <f>IFERROR(F15/'Income Statement'!F8,"NM")</f>
        <v>0.13005789890498592</v>
      </c>
      <c r="G113" s="180">
        <f>IFERROR(G15/'Income Statement'!G8,"NM")</f>
        <v>0.1490896998736807</v>
      </c>
      <c r="H113" s="180">
        <f>IFERROR(H15/'Income Statement'!H8,"NM")</f>
        <v>0.18187367173736749</v>
      </c>
      <c r="I113" s="180">
        <f>IFERROR(I15/'Income Statement'!I8,"NM")</f>
        <v>0.19014153364347505</v>
      </c>
      <c r="J113" s="669">
        <f>IFERROR(J15/'Income Statement'!J8,"NM")</f>
        <v>0.2251289549331878</v>
      </c>
      <c r="K113" s="180">
        <f>IFERROR(K15/'Income Statement'!K8,"NM")</f>
        <v>0.12890303028200639</v>
      </c>
      <c r="L113" s="180">
        <f>IFERROR(L15/'Income Statement'!L8,"NM")</f>
        <v>0.15687379930077089</v>
      </c>
      <c r="M113" s="180">
        <f>IFERROR(M15/'Income Statement'!M8,"NM")</f>
        <v>0.19963667946649372</v>
      </c>
      <c r="N113" s="180">
        <f>IFERROR(N15/'Income Statement'!N8,"NM")</f>
        <v>0.21173593621801223</v>
      </c>
      <c r="O113" s="665">
        <f>IFERROR(O15/'Income Statement'!O8,"NM")</f>
        <v>0.21473864067884255</v>
      </c>
      <c r="P113" s="706"/>
      <c r="Q113" s="706"/>
      <c r="R113" s="594" t="str">
        <f t="shared" si="107"/>
        <v>Total Current Assets / Revenue</v>
      </c>
      <c r="S113" s="180">
        <f>IFERROR(S15/'Income Statement'!S8,"NM")</f>
        <v>0.57150639140796688</v>
      </c>
      <c r="T113" s="180">
        <f>IFERROR(T15/'Income Statement'!T8,"NM")</f>
        <v>0.55179249497431315</v>
      </c>
      <c r="U113" s="180">
        <f>IFERROR(U15/'Income Statement'!U8,"NM")</f>
        <v>0.57303849032457099</v>
      </c>
      <c r="V113" s="180">
        <f>IFERROR(V15/'Income Statement'!V8,"NM")</f>
        <v>0.5443328842955506</v>
      </c>
      <c r="W113" s="180">
        <f>IFERROR(W15/'Income Statement'!W8,"NM")</f>
        <v>0.14469179605938051</v>
      </c>
      <c r="X113" s="677">
        <f>IFERROR(X15/'Income Statement'!X8,"NM")</f>
        <v>0.57534654599610502</v>
      </c>
      <c r="Y113" s="180">
        <f>IFERROR(Y15/'Income Statement'!Y8,"NM")</f>
        <v>0.54273298937331482</v>
      </c>
      <c r="Z113" s="180">
        <f>IFERROR(Z15/'Income Statement'!Z8,"NM")</f>
        <v>0.52790662700147095</v>
      </c>
      <c r="AA113" s="180">
        <f>IFERROR(AA15/'Income Statement'!AA8,"NM")</f>
        <v>0.52458020897357127</v>
      </c>
      <c r="AB113" s="665">
        <f>IFERROR(AB15/'Income Statement'!AB8,"NM")</f>
        <v>0.12901601053058653</v>
      </c>
      <c r="AC113" s="677">
        <f>IFERROR(AC15/'Income Statement'!AC8,"NM")</f>
        <v>0.58718069871207845</v>
      </c>
      <c r="AD113" s="180">
        <f>IFERROR(AD15/'Income Statement'!AD8,"NM")</f>
        <v>0.56310171371944984</v>
      </c>
      <c r="AE113" s="180">
        <f>IFERROR(AE15/'Income Statement'!AE8,"NM")</f>
        <v>0.53255234158898324</v>
      </c>
      <c r="AF113" s="180">
        <f>IFERROR(AF15/'Income Statement'!AF8,"NM")</f>
        <v>0.52448060668299257</v>
      </c>
      <c r="AG113" s="665">
        <f>IFERROR(AG15/'Income Statement'!AG8,"NM")</f>
        <v>0.13005789890498592</v>
      </c>
      <c r="AH113" s="677">
        <f>IFERROR(AH15/'Income Statement'!AH8,"NM")</f>
        <v>0.68528391831468016</v>
      </c>
      <c r="AI113" s="180">
        <f>IFERROR(AI15/'Income Statement'!AI8,"NM")</f>
        <v>0.64490306471440806</v>
      </c>
      <c r="AJ113" s="180">
        <f>IFERROR(AJ15/'Income Statement'!AJ8,"NM")</f>
        <v>0.58191136205943805</v>
      </c>
      <c r="AK113" s="180">
        <f>IFERROR(AK15/'Income Statement'!AK8,"NM")</f>
        <v>0.57021251589776745</v>
      </c>
      <c r="AL113" s="665">
        <f>IFERROR(AL15/'Income Statement'!AL8,"NM")</f>
        <v>0.1490896998736807</v>
      </c>
      <c r="AM113" s="677">
        <f>IFERROR(AM15/'Income Statement'!AM8,"NM")</f>
        <v>0.71954907720720396</v>
      </c>
      <c r="AN113" s="180">
        <f>IFERROR(AN15/'Income Statement'!AN8,"NM")</f>
        <v>0.6193953438712626</v>
      </c>
      <c r="AO113" s="180">
        <f>IFERROR(AO15/'Income Statement'!AO8,"NM")</f>
        <v>0.73125170394796635</v>
      </c>
      <c r="AP113" s="180">
        <f>IFERROR(AP15/'Income Statement'!AP8,"NM")</f>
        <v>0.67455488015349663</v>
      </c>
      <c r="AQ113" s="665">
        <f>IFERROR(AQ15/'Income Statement'!AQ8,"NM")</f>
        <v>0.18187367173736749</v>
      </c>
      <c r="AR113" s="677">
        <f>IFERROR(AR15/'Income Statement'!AR8,"NM")</f>
        <v>0.77231343464162994</v>
      </c>
      <c r="AS113" s="180">
        <f>IFERROR(AS15/'Income Statement'!AS8,"NM")</f>
        <v>0.719432797624317</v>
      </c>
      <c r="AT113" s="180">
        <f>IFERROR(AT15/'Income Statement'!AT8,"NM")</f>
        <v>0.75579972065392753</v>
      </c>
      <c r="AU113" s="180">
        <f>IFERROR(AU15/'Income Statement'!AU8,"NM")</f>
        <v>0.80961560163848967</v>
      </c>
      <c r="AV113" s="665">
        <f>IFERROR(AV15/'Income Statement'!AV8,"NM")</f>
        <v>0.19014153364347505</v>
      </c>
      <c r="AW113" s="677">
        <f>IFERROR(AW15/'Income Statement'!AW8,"NM")</f>
        <v>0.77742133270757796</v>
      </c>
      <c r="AX113" s="180">
        <f>IFERROR(AX15/'Income Statement'!AX8,"NM")</f>
        <v>0.83335828695319192</v>
      </c>
      <c r="AY113" s="180">
        <f>IFERROR(AY15/'Income Statement'!AY8,"NM")</f>
        <v>0.83286847347073567</v>
      </c>
      <c r="AZ113" s="180">
        <f>IFERROR(AZ15/'Income Statement'!AZ8,"NM")</f>
        <v>0.86362184010267173</v>
      </c>
      <c r="BA113" s="665">
        <f>IFERROR(BA15/'Income Statement'!BA8,"NM")</f>
        <v>0.2251289549331878</v>
      </c>
      <c r="BB113" s="677">
        <f>IFERROR(BB15/'Income Statement'!BB8,"NM")</f>
        <v>0.55150210327581073</v>
      </c>
      <c r="BC113" s="180">
        <f>IFERROR(BC15/'Income Statement'!BC8,"NM")</f>
        <v>0.54183328393526098</v>
      </c>
      <c r="BD113" s="180">
        <f>IFERROR(BD15/'Income Statement'!BD8,"NM")</f>
        <v>0.51935095825570032</v>
      </c>
      <c r="BE113" s="180">
        <f>IFERROR(BE15/'Income Statement'!BE8,"NM")</f>
        <v>0.52430005440171423</v>
      </c>
      <c r="BF113" s="665">
        <f>IFERROR(BF15/'Income Statement'!BF8,"NM")</f>
        <v>0.12890303028200639</v>
      </c>
      <c r="BG113" s="677">
        <f>IFERROR(BG15/'Income Statement'!BG8,"NM")</f>
        <v>0.6446885183970168</v>
      </c>
      <c r="BH113" s="180">
        <f>IFERROR(BH15/'Income Statement'!BH8,"NM")</f>
        <v>0.64640262611156696</v>
      </c>
      <c r="BI113" s="180">
        <f>IFERROR(BI15/'Income Statement'!BI8,"NM")</f>
        <v>0.66221295443212547</v>
      </c>
      <c r="BJ113" s="180">
        <f>IFERROR(BJ15/'Income Statement'!BJ8,"NM")</f>
        <v>0.62741516551654986</v>
      </c>
      <c r="BK113" s="665">
        <f>IFERROR(BK15/'Income Statement'!BK8,"NM")</f>
        <v>0.15687379930077089</v>
      </c>
      <c r="BL113" s="677">
        <f>IFERROR(BL15/'Income Statement'!BL8,"NM")</f>
        <v>0.70481175890678949</v>
      </c>
      <c r="BM113" s="180">
        <f>IFERROR(BM15/'Income Statement'!BM8,"NM")</f>
        <v>0.69202458259212574</v>
      </c>
      <c r="BN113" s="180">
        <f>IFERROR(BN15/'Income Statement'!BN8,"NM")</f>
        <v>0.7387689342363617</v>
      </c>
      <c r="BO113" s="180">
        <f>IFERROR(BO15/'Income Statement'!BO8,"NM")</f>
        <v>0.78068482315167298</v>
      </c>
      <c r="BP113" s="665">
        <f>IFERROR(BP15/'Income Statement'!BP8,"NM")</f>
        <v>0.19963667946649372</v>
      </c>
      <c r="BQ113" s="677">
        <f>IFERROR(BQ15/'Income Statement'!BQ8,"NM")</f>
        <v>0.76543758283779717</v>
      </c>
      <c r="BR113" s="180">
        <f>IFERROR(BR15/'Income Statement'!BR8,"NM")</f>
        <v>0.77749117774644083</v>
      </c>
      <c r="BS113" s="180">
        <f>IFERROR(BS15/'Income Statement'!BS8,"NM")</f>
        <v>0.75079030729489749</v>
      </c>
      <c r="BT113" s="180">
        <f>IFERROR(BT15/'Income Statement'!BT8,"NM")</f>
        <v>0.83045310051192256</v>
      </c>
      <c r="BU113" s="665">
        <f>IFERROR(BU15/'Income Statement'!BU8,"NM")</f>
        <v>0.21173593621801223</v>
      </c>
      <c r="BV113" s="677">
        <f>IFERROR(BV15/'Income Statement'!BV8,"NM")</f>
        <v>0.76067865736583518</v>
      </c>
      <c r="BW113" s="180">
        <f>IFERROR(BW15/'Income Statement'!BW8,"NM")</f>
        <v>0.81064136268103071</v>
      </c>
      <c r="BX113" s="180">
        <f>IFERROR(BX15/'Income Statement'!BX8,"NM")</f>
        <v>0.74102814994390243</v>
      </c>
      <c r="BY113" s="180">
        <f>IFERROR(BY15/'Income Statement'!BY8,"NM")</f>
        <v>0.84922001645807921</v>
      </c>
      <c r="BZ113" s="665">
        <f>IFERROR(BZ15/'Income Statement'!BZ8,"NM")</f>
        <v>0.21473864067884255</v>
      </c>
    </row>
    <row r="114" spans="1:80" ht="14.1" customHeight="1" x14ac:dyDescent="0.2">
      <c r="C114" s="565" t="s">
        <v>169</v>
      </c>
      <c r="E114" s="578">
        <f t="shared" ref="E114:J114" si="123">IFERROR(AVERAGE(D31:E31)/(E108/365),"NM")</f>
        <v>18.307284065082857</v>
      </c>
      <c r="F114" s="578">
        <f t="shared" si="123"/>
        <v>20.312683946831669</v>
      </c>
      <c r="G114" s="578">
        <f t="shared" si="123"/>
        <v>21.720104373620693</v>
      </c>
      <c r="H114" s="578">
        <f t="shared" si="123"/>
        <v>21.130335545483423</v>
      </c>
      <c r="I114" s="578">
        <f t="shared" si="123"/>
        <v>18.576059799323207</v>
      </c>
      <c r="J114" s="587">
        <f t="shared" si="123"/>
        <v>20.309348004273271</v>
      </c>
      <c r="K114" s="728">
        <f>IFERROR(AVERAGE(J31:K31)/(K108/365),"NM")</f>
        <v>22.104232388472727</v>
      </c>
      <c r="L114" s="728">
        <f>IFERROR(AVERAGE(K31:L31)/(L108/365),"NM")</f>
        <v>22.661640221953743</v>
      </c>
      <c r="M114" s="728">
        <f>IFERROR(AVERAGE(L31:M31)/(M108/365),"NM")</f>
        <v>23.801080662970083</v>
      </c>
      <c r="N114" s="728">
        <f>IFERROR(AVERAGE(M31:N31)/(N108/365),"NM")</f>
        <v>27.066192235132494</v>
      </c>
      <c r="O114" s="729">
        <f>IFERROR(AVERAGE(N31:O31)/(O108/365),"NM")</f>
        <v>29.592583760541505</v>
      </c>
      <c r="R114" s="210" t="str">
        <f t="shared" si="107"/>
        <v>Average Payable Period (Days)</v>
      </c>
      <c r="T114" s="595"/>
      <c r="U114" s="595"/>
      <c r="V114" s="595"/>
      <c r="W114" s="595"/>
      <c r="X114" s="602">
        <f>IFERROR(AVERAGE(W31:X31)/(X108/(365/4)),"NM")</f>
        <v>17.0464207257026</v>
      </c>
      <c r="Y114" s="595">
        <f>IFERROR(AVERAGE(X31:Y31)/(Y108/(365/4)),"NM")</f>
        <v>17.889546114544611</v>
      </c>
      <c r="Z114" s="595">
        <f>IFERROR(AVERAGE(Y31:Z31)/(Z108/(365/4)),"NM")</f>
        <v>17.472476753990886</v>
      </c>
      <c r="AA114" s="595">
        <f>IFERROR(AVERAGE(Z31:AA31)/(AA108/(365/4)),"NM")</f>
        <v>19.29967896320338</v>
      </c>
      <c r="AB114" s="596">
        <f>IFERROR(AVERAGE(AA31:AB31)/(AB108/365),"NM")</f>
        <v>21.199800595712958</v>
      </c>
      <c r="AC114" s="602">
        <f t="shared" ref="AC114:BD114" si="124">IFERROR(AVERAGE(AB31:AC31)/(AC108/(365/4)),"NM")</f>
        <v>20.150553397319825</v>
      </c>
      <c r="AD114" s="595">
        <f t="shared" si="124"/>
        <v>18.419180886081758</v>
      </c>
      <c r="AE114" s="595">
        <f t="shared" si="124"/>
        <v>19.593287341912752</v>
      </c>
      <c r="AF114" s="595">
        <f t="shared" si="124"/>
        <v>20.733915104009327</v>
      </c>
      <c r="AG114" s="596">
        <f>IFERROR(AVERAGE(AF31:AG31)/(AG108/365),"NM")</f>
        <v>20.890655158724726</v>
      </c>
      <c r="AH114" s="602">
        <f>IFERROR(AVERAGE(AG31:AH31)/(AH108/(365/4)),"NM")</f>
        <v>22.056838773120013</v>
      </c>
      <c r="AI114" s="595">
        <f t="shared" si="124"/>
        <v>23.558025236056118</v>
      </c>
      <c r="AJ114" s="595">
        <f t="shared" si="124"/>
        <v>21.543540399112615</v>
      </c>
      <c r="AK114" s="595">
        <f t="shared" si="124"/>
        <v>22.471939368562321</v>
      </c>
      <c r="AL114" s="596">
        <f>IFERROR(AVERAGE(AK31:AL31)/(AL108/365),"NM")</f>
        <v>22.443262494290138</v>
      </c>
      <c r="AM114" s="602">
        <f>IFERROR(AVERAGE(AL31:AM31)/(AM108/(365/4)),"NM")</f>
        <v>24.949141373957165</v>
      </c>
      <c r="AN114" s="595">
        <f t="shared" si="124"/>
        <v>23.070352571034402</v>
      </c>
      <c r="AO114" s="595">
        <f t="shared" si="124"/>
        <v>23.743296094506597</v>
      </c>
      <c r="AP114" s="595">
        <f t="shared" si="124"/>
        <v>24.842699150504888</v>
      </c>
      <c r="AQ114" s="596">
        <f>IFERROR(AVERAGE(AP31:AQ31)/(AQ108/365),"NM")</f>
        <v>23.689047750790987</v>
      </c>
      <c r="AR114" s="602">
        <f>IFERROR(AVERAGE(AQ31:AR31)/(AR108/(365/4)),"NM")</f>
        <v>22.226642149723276</v>
      </c>
      <c r="AS114" s="595">
        <f t="shared" si="124"/>
        <v>22.992164760700817</v>
      </c>
      <c r="AT114" s="595">
        <f t="shared" si="124"/>
        <v>21.799716023949362</v>
      </c>
      <c r="AU114" s="595">
        <f t="shared" si="124"/>
        <v>19.244616368638518</v>
      </c>
      <c r="AV114" s="596">
        <f>IFERROR(AVERAGE(AU31:AV31)/(AV108/365),"NM")</f>
        <v>17.340737312972387</v>
      </c>
      <c r="AW114" s="602">
        <f>IFERROR(AVERAGE(AV31:AW31)/(AW108/(365/4)),"NM")</f>
        <v>18.942264349269095</v>
      </c>
      <c r="AX114" s="595">
        <f t="shared" si="124"/>
        <v>18.407605617988498</v>
      </c>
      <c r="AY114" s="595">
        <f t="shared" si="124"/>
        <v>16.481789604168199</v>
      </c>
      <c r="AZ114" s="595">
        <f t="shared" si="124"/>
        <v>20.208907009613402</v>
      </c>
      <c r="BA114" s="596">
        <f>IFERROR(AVERAGE(AZ31:BA31)/(BA108/365),"NM")</f>
        <v>23.84608176309149</v>
      </c>
      <c r="BB114" s="602">
        <f>IFERROR(AVERAGE(BA31:BB31)/(BB108/(365/4)),"NM")</f>
        <v>23.724987148068337</v>
      </c>
      <c r="BC114" s="595">
        <f t="shared" si="124"/>
        <v>23.004603852905099</v>
      </c>
      <c r="BD114" s="595">
        <f t="shared" si="124"/>
        <v>22.525870700066228</v>
      </c>
      <c r="BE114" s="1233">
        <v>23.6</v>
      </c>
      <c r="BF114" s="1234">
        <f>IFERROR(AVERAGE(BE31:BF31)/(BF108/365),"NM")</f>
        <v>22.888068348997987</v>
      </c>
      <c r="BG114" s="1235">
        <v>24.3</v>
      </c>
      <c r="BH114" s="1233">
        <v>24.1</v>
      </c>
      <c r="BI114" s="1233">
        <v>23.9</v>
      </c>
      <c r="BJ114" s="1233">
        <v>23.8</v>
      </c>
      <c r="BK114" s="1234">
        <f>IFERROR(AVERAGE(BJ31:BK31)/(BK108/365),"NM")</f>
        <v>23.795812590410609</v>
      </c>
      <c r="BL114" s="1235">
        <v>25.1</v>
      </c>
      <c r="BM114" s="1233">
        <v>24.9</v>
      </c>
      <c r="BN114" s="1233">
        <v>24.5</v>
      </c>
      <c r="BO114" s="1233">
        <v>25.2</v>
      </c>
      <c r="BP114" s="1234">
        <f>IFERROR(AVERAGE(BO31:BP31)/(BP108/365),"NM")</f>
        <v>26.368984689997156</v>
      </c>
      <c r="BQ114" s="1235">
        <v>25.1</v>
      </c>
      <c r="BR114" s="1233">
        <v>24.9</v>
      </c>
      <c r="BS114" s="1233">
        <v>24.5</v>
      </c>
      <c r="BT114" s="1233">
        <v>25.2</v>
      </c>
      <c r="BU114" s="1234">
        <f>IFERROR(AVERAGE(BT31:BU31)/(BU108/365),"NM")</f>
        <v>29.474400515281456</v>
      </c>
      <c r="BV114" s="1235">
        <v>25.1</v>
      </c>
      <c r="BW114" s="1233">
        <v>24.9</v>
      </c>
      <c r="BX114" s="1233">
        <v>24.5</v>
      </c>
      <c r="BY114" s="1233">
        <v>25.2</v>
      </c>
      <c r="BZ114" s="1234">
        <f>IFERROR(AVERAGE(BY31:BZ31)/(BZ108/365),"NM")</f>
        <v>31.414797580129747</v>
      </c>
    </row>
    <row r="115" spans="1:80" ht="14.1" customHeight="1" x14ac:dyDescent="0.2">
      <c r="C115" s="565" t="str">
        <f>C32&amp;" / "&amp;'Income Statement'!$C$8</f>
        <v>Wages, vacation and employees’ benefits / Revenue</v>
      </c>
      <c r="D115" s="160">
        <f>IFERROR(D32/'Income Statement'!D8,"NM")</f>
        <v>2.8296372969944535E-2</v>
      </c>
      <c r="E115" s="160">
        <f>IFERROR(E32/'Income Statement'!E8,"NM")</f>
        <v>2.9093345281219748E-2</v>
      </c>
      <c r="F115" s="160">
        <f>IFERROR(F32/'Income Statement'!F8,"NM")</f>
        <v>2.7798190554279175E-2</v>
      </c>
      <c r="G115" s="160">
        <f>IFERROR(G32/'Income Statement'!G8,"NM")</f>
        <v>3.0395650489528449E-2</v>
      </c>
      <c r="H115" s="160">
        <f>IFERROR(H32/'Income Statement'!H8,"NM")</f>
        <v>3.1943405525572545E-2</v>
      </c>
      <c r="I115" s="160">
        <f>IFERROR(I32/'Income Statement'!I8,"NM")</f>
        <v>2.3883466562466312E-2</v>
      </c>
      <c r="J115" s="586">
        <f>IFERROR(J32/'Income Statement'!J8,"NM")</f>
        <v>2.6207099037180458E-2</v>
      </c>
      <c r="K115" s="165">
        <f>IFERROR(K32/'Income Statement'!K8,"NM")</f>
        <v>2.138959082758754E-2</v>
      </c>
      <c r="L115" s="165">
        <f>IFERROR(L32/'Income Statement'!L8,"NM")</f>
        <v>2.4503125165644443E-2</v>
      </c>
      <c r="M115" s="165">
        <f>IFERROR(M32/'Income Statement'!M8,"NM")</f>
        <v>2.5060554538172925E-2</v>
      </c>
      <c r="N115" s="165">
        <f>IFERROR(N32/'Income Statement'!N8,"NM")</f>
        <v>2.4986506446389375E-2</v>
      </c>
      <c r="O115" s="199">
        <f>IFERROR(O32/'Income Statement'!O8,"NM")</f>
        <v>2.4780841688468849E-2</v>
      </c>
      <c r="R115" s="210" t="str">
        <f t="shared" si="107"/>
        <v>Wages, vacation and employees’ benefits / Revenue</v>
      </c>
      <c r="S115" s="160">
        <f>IFERROR(S32/'Income Statement'!S8,"NM")</f>
        <v>0.10244204401250426</v>
      </c>
      <c r="T115" s="160">
        <f>IFERROR(T32/'Income Statement'!T8,"NM")</f>
        <v>0.11411659593477774</v>
      </c>
      <c r="U115" s="160">
        <f>IFERROR(U32/'Income Statement'!U8,"NM")</f>
        <v>0.12609194942610166</v>
      </c>
      <c r="V115" s="160">
        <f>IFERROR(V32/'Income Statement'!V8,"NM")</f>
        <v>0.10645141420119925</v>
      </c>
      <c r="W115" s="160">
        <f>IFERROR(W32/'Income Statement'!W8,"NM")</f>
        <v>2.8296372969944535E-2</v>
      </c>
      <c r="X115" s="601">
        <f>IFERROR(X32/'Income Statement'!X8,"NM")</f>
        <v>9.9130611881213318E-2</v>
      </c>
      <c r="Y115" s="160">
        <f>IFERROR(Y32/'Income Statement'!Y8,"NM")</f>
        <v>0.10901682169747066</v>
      </c>
      <c r="Z115" s="160">
        <f>IFERROR(Z32/'Income Statement'!Z8,"NM")</f>
        <v>0.12495241586419839</v>
      </c>
      <c r="AA115" s="160">
        <f>IFERROR(AA32/'Income Statement'!AA8,"NM")</f>
        <v>0.11829379225568537</v>
      </c>
      <c r="AB115" s="199">
        <f>IFERROR(AB32/'Income Statement'!AB8,"NM")</f>
        <v>2.9093345281219748E-2</v>
      </c>
      <c r="AC115" s="601">
        <f>IFERROR(AC32/'Income Statement'!AC8,"NM")</f>
        <v>9.4582350992732309E-2</v>
      </c>
      <c r="AD115" s="160">
        <f>IFERROR(AD32/'Income Statement'!AD8,"NM")</f>
        <v>0.10145520740206163</v>
      </c>
      <c r="AE115" s="160">
        <f>IFERROR(AE32/'Income Statement'!AE8,"NM")</f>
        <v>0.11317768948433643</v>
      </c>
      <c r="AF115" s="160">
        <f>IFERROR(AF32/'Income Statement'!AF8,"NM")</f>
        <v>0.1121009332716419</v>
      </c>
      <c r="AG115" s="199">
        <f>IFERROR(AG32/'Income Statement'!AG8,"NM")</f>
        <v>2.7798190554279175E-2</v>
      </c>
      <c r="AH115" s="601">
        <f>IFERROR(AH32/'Income Statement'!AH8,"NM")</f>
        <v>0.10456634916083477</v>
      </c>
      <c r="AI115" s="160">
        <f>IFERROR(AI32/'Income Statement'!AI8,"NM")</f>
        <v>0.13239212272251108</v>
      </c>
      <c r="AJ115" s="160">
        <f>IFERROR(AJ32/'Income Statement'!AJ8,"NM")</f>
        <v>0.1141461732457507</v>
      </c>
      <c r="AK115" s="160">
        <f>IFERROR(AK32/'Income Statement'!AK8,"NM")</f>
        <v>0.11625203050692368</v>
      </c>
      <c r="AL115" s="199">
        <f>IFERROR(AL32/'Income Statement'!AL8,"NM")</f>
        <v>3.0395650489528449E-2</v>
      </c>
      <c r="AM115" s="601">
        <f>IFERROR(AM32/'Income Statement'!AM8,"NM")</f>
        <v>0.10123865359428516</v>
      </c>
      <c r="AN115" s="160">
        <f>IFERROR(AN32/'Income Statement'!AN8,"NM")</f>
        <v>0.1140963326116293</v>
      </c>
      <c r="AO115" s="160">
        <f>IFERROR(AO32/'Income Statement'!AO8,"NM")</f>
        <v>0.12582925467693146</v>
      </c>
      <c r="AP115" s="160">
        <f>IFERROR(AP32/'Income Statement'!AP8,"NM")</f>
        <v>0.11847553238553768</v>
      </c>
      <c r="AQ115" s="199">
        <f>IFERROR(AQ32/'Income Statement'!AQ8,"NM")</f>
        <v>3.1943405525572545E-2</v>
      </c>
      <c r="AR115" s="601">
        <f>IFERROR(AR32/'Income Statement'!AR8,"NM")</f>
        <v>9.3955681653196538E-2</v>
      </c>
      <c r="AS115" s="160">
        <f>IFERROR(AS32/'Income Statement'!AS8,"NM")</f>
        <v>0.10588770229922984</v>
      </c>
      <c r="AT115" s="160">
        <f>IFERROR(AT32/'Income Statement'!AT8,"NM")</f>
        <v>0.10854883964466301</v>
      </c>
      <c r="AU115" s="160">
        <f>IFERROR(AU32/'Income Statement'!AU8,"NM")</f>
        <v>0.10169491525423734</v>
      </c>
      <c r="AV115" s="199">
        <f>IFERROR(AV32/'Income Statement'!AV8,"NM")</f>
        <v>2.3883466562466312E-2</v>
      </c>
      <c r="AW115" s="601">
        <f>IFERROR(AW32/'Income Statement'!AW8,"NM")</f>
        <v>8.2820743791017892E-2</v>
      </c>
      <c r="AX115" s="160">
        <f>IFERROR(AX32/'Income Statement'!AX8,"NM")</f>
        <v>9.0917074322437244E-2</v>
      </c>
      <c r="AY115" s="160">
        <f>IFERROR(AY32/'Income Statement'!AY8,"NM")</f>
        <v>0.10026653112195928</v>
      </c>
      <c r="AZ115" s="160">
        <f>IFERROR(AZ32/'Income Statement'!AZ8,"NM")</f>
        <v>0.1005335946278417</v>
      </c>
      <c r="BA115" s="199">
        <f>IFERROR(BA32/'Income Statement'!BA8,"NM")</f>
        <v>2.6207099037180458E-2</v>
      </c>
      <c r="BB115" s="601">
        <f>IFERROR(BB32/'Income Statement'!BB8,"NM")</f>
        <v>7.3290715776224702E-2</v>
      </c>
      <c r="BC115" s="160">
        <f>IFERROR(BC32/'Income Statement'!BC8,"NM")</f>
        <v>7.6057645121009071E-2</v>
      </c>
      <c r="BD115" s="160">
        <f>IFERROR(BD32/'Income Statement'!BD8,"NM")</f>
        <v>8.3853162855375182E-2</v>
      </c>
      <c r="BE115" s="1230">
        <v>8.6999999999999994E-2</v>
      </c>
      <c r="BF115" s="1231">
        <f>IFERROR(BF32/'Income Statement'!BF8,"NM")</f>
        <v>2.138959082758754E-2</v>
      </c>
      <c r="BG115" s="1232">
        <v>9.6000000000000002E-2</v>
      </c>
      <c r="BH115" s="1230">
        <v>0.10100000000000001</v>
      </c>
      <c r="BI115" s="1230">
        <v>0.104</v>
      </c>
      <c r="BJ115" s="1230">
        <v>9.8000000000000004E-2</v>
      </c>
      <c r="BK115" s="1231">
        <f>IFERROR(BK32/'Income Statement'!BK8,"NM")</f>
        <v>2.4503125165644443E-2</v>
      </c>
      <c r="BL115" s="1232">
        <v>9.6000000000000002E-2</v>
      </c>
      <c r="BM115" s="1230">
        <v>0.10100000000000001</v>
      </c>
      <c r="BN115" s="1230">
        <v>0.104</v>
      </c>
      <c r="BO115" s="1230">
        <v>9.8000000000000004E-2</v>
      </c>
      <c r="BP115" s="1231">
        <f>IFERROR(BP32/'Income Statement'!BP8,"NM")</f>
        <v>2.5060554538172925E-2</v>
      </c>
      <c r="BQ115" s="1232">
        <v>9.6000000000000002E-2</v>
      </c>
      <c r="BR115" s="1230">
        <v>0.10100000000000001</v>
      </c>
      <c r="BS115" s="1230">
        <v>0.104</v>
      </c>
      <c r="BT115" s="1230">
        <v>9.8000000000000004E-2</v>
      </c>
      <c r="BU115" s="1231">
        <f>IFERROR(BU32/'Income Statement'!BU8,"NM")</f>
        <v>2.4986506446389375E-2</v>
      </c>
      <c r="BV115" s="1232">
        <v>9.6000000000000002E-2</v>
      </c>
      <c r="BW115" s="1230">
        <v>0.10100000000000001</v>
      </c>
      <c r="BX115" s="1230">
        <v>0.104</v>
      </c>
      <c r="BY115" s="1230">
        <v>9.8000000000000004E-2</v>
      </c>
      <c r="BZ115" s="1231">
        <f>IFERROR(BZ32/'Income Statement'!BZ8,"NM")</f>
        <v>2.4780841688468849E-2</v>
      </c>
      <c r="CA115" s="165"/>
      <c r="CB115" s="165"/>
    </row>
    <row r="116" spans="1:80" ht="14.1" customHeight="1" x14ac:dyDescent="0.2">
      <c r="C116" s="565" t="str">
        <f>C33&amp;" / "&amp;'Income Statement'!$C$8</f>
        <v>Claims and insurance accruals / Revenue</v>
      </c>
      <c r="D116" s="160">
        <f>IFERROR(D33/'Income Statement'!D8,"NM")</f>
        <v>2.5521409151970206E-2</v>
      </c>
      <c r="E116" s="160">
        <f>IFERROR(E33/'Income Statement'!E8,"NM")</f>
        <v>2.4778562008986309E-2</v>
      </c>
      <c r="F116" s="160">
        <f>IFERROR(F33/'Income Statement'!F8,"NM")</f>
        <v>2.0645479044178346E-2</v>
      </c>
      <c r="G116" s="160">
        <f>IFERROR(G33/'Income Statement'!G8,"NM")</f>
        <v>2.7224498262149316E-2</v>
      </c>
      <c r="H116" s="160">
        <f>IFERROR(H33/'Income Statement'!H8,"NM")</f>
        <v>2.3907416599088391E-2</v>
      </c>
      <c r="I116" s="160">
        <f>IFERROR(I33/'Income Statement'!I8,"NM")</f>
        <v>1.6289423890701375E-2</v>
      </c>
      <c r="J116" s="586">
        <f>IFERROR(J33/'Income Statement'!J8,"NM")</f>
        <v>1.4451489935736837E-2</v>
      </c>
      <c r="K116" s="165">
        <f>IFERROR(K33/'Income Statement'!K8,"NM")</f>
        <v>1.2292868291716977E-2</v>
      </c>
      <c r="L116" s="165">
        <f>IFERROR(L33/'Income Statement'!L8,"NM")</f>
        <v>1.2751626361712924E-2</v>
      </c>
      <c r="M116" s="165">
        <f>IFERROR(M33/'Income Statement'!M8,"NM")</f>
        <v>1.3041717157620604E-2</v>
      </c>
      <c r="N116" s="165">
        <f>IFERROR(N33/'Income Statement'!N8,"NM")</f>
        <v>1.3003181926182225E-2</v>
      </c>
      <c r="O116" s="199">
        <f>IFERROR(O33/'Income Statement'!O8,"NM")</f>
        <v>1.2896152307264399E-2</v>
      </c>
      <c r="R116" s="210" t="str">
        <f t="shared" si="107"/>
        <v>Claims and insurance accruals / Revenue</v>
      </c>
      <c r="S116" s="160">
        <f>IFERROR(S33/'Income Statement'!S8,"NM")</f>
        <v>0.15816955028010773</v>
      </c>
      <c r="T116" s="160">
        <f>IFERROR(T33/'Income Statement'!T8,"NM")</f>
        <v>0.10087949519767701</v>
      </c>
      <c r="U116" s="160">
        <f>IFERROR(U33/'Income Statement'!U8,"NM")</f>
        <v>0.1077066348246882</v>
      </c>
      <c r="V116" s="160">
        <f>IFERROR(V33/'Income Statement'!V8,"NM")</f>
        <v>9.6011955296190846E-2</v>
      </c>
      <c r="W116" s="160">
        <f>IFERROR(W33/'Income Statement'!W8,"NM")</f>
        <v>2.5521409151970206E-2</v>
      </c>
      <c r="X116" s="601">
        <f>IFERROR(X33/'Income Statement'!X8,"NM")</f>
        <v>9.9410649049782973E-2</v>
      </c>
      <c r="Y116" s="160">
        <f>IFERROR(Y33/'Income Statement'!Y8,"NM")</f>
        <v>9.639121875670581E-2</v>
      </c>
      <c r="Z116" s="160">
        <f>IFERROR(Z33/'Income Statement'!Z8,"NM")</f>
        <v>9.3631480254346006E-2</v>
      </c>
      <c r="AA116" s="160">
        <f>IFERROR(AA33/'Income Statement'!AA8,"NM")</f>
        <v>0.10074984634296255</v>
      </c>
      <c r="AB116" s="199">
        <f>IFERROR(AB33/'Income Statement'!AB8,"NM")</f>
        <v>2.4778562008986309E-2</v>
      </c>
      <c r="AC116" s="601">
        <f>IFERROR(AC33/'Income Statement'!AC8,"NM")</f>
        <v>9.7758314985484082E-2</v>
      </c>
      <c r="AD116" s="160">
        <f>IFERROR(AD33/'Income Statement'!AD8,"NM")</f>
        <v>0.10179989013237972</v>
      </c>
      <c r="AE116" s="160">
        <f>IFERROR(AE33/'Income Statement'!AE8,"NM")</f>
        <v>7.6286386388307731E-2</v>
      </c>
      <c r="AF116" s="160">
        <f>IFERROR(AF33/'Income Statement'!AF8,"NM")</f>
        <v>8.3256407073454261E-2</v>
      </c>
      <c r="AG116" s="199">
        <f>IFERROR(AG33/'Income Statement'!AG8,"NM")</f>
        <v>2.0645479044178346E-2</v>
      </c>
      <c r="AH116" s="601">
        <f>IFERROR(AH33/'Income Statement'!AH8,"NM")</f>
        <v>8.4445201121873842E-2</v>
      </c>
      <c r="AI116" s="160">
        <f>IFERROR(AI33/'Income Statement'!AI8,"NM")</f>
        <v>9.4775587519193336E-2</v>
      </c>
      <c r="AJ116" s="160">
        <f>IFERROR(AJ33/'Income Statement'!AJ8,"NM")</f>
        <v>9.0401641966537452E-2</v>
      </c>
      <c r="AK116" s="160">
        <f>IFERROR(AK33/'Income Statement'!AK8,"NM")</f>
        <v>0.10412355555928661</v>
      </c>
      <c r="AL116" s="199">
        <f>IFERROR(AL33/'Income Statement'!AL8,"NM")</f>
        <v>2.7224498262149316E-2</v>
      </c>
      <c r="AM116" s="601">
        <f>IFERROR(AM33/'Income Statement'!AM8,"NM")</f>
        <v>9.701409288662477E-2</v>
      </c>
      <c r="AN116" s="160">
        <f>IFERROR(AN33/'Income Statement'!AN8,"NM")</f>
        <v>8.4946957378621582E-2</v>
      </c>
      <c r="AO116" s="160">
        <f>IFERROR(AO33/'Income Statement'!AO8,"NM")</f>
        <v>6.9167304970984195E-2</v>
      </c>
      <c r="AP116" s="160">
        <f>IFERROR(AP33/'Income Statement'!AP8,"NM")</f>
        <v>8.8670693150494001E-2</v>
      </c>
      <c r="AQ116" s="199">
        <f>IFERROR(AQ33/'Income Statement'!AQ8,"NM")</f>
        <v>2.3907416599088391E-2</v>
      </c>
      <c r="AR116" s="601">
        <f>IFERROR(AR33/'Income Statement'!AR8,"NM")</f>
        <v>6.7834111697236604E-2</v>
      </c>
      <c r="AS116" s="160">
        <f>IFERROR(AS33/'Income Statement'!AS8,"NM")</f>
        <v>6.6020704067042774E-2</v>
      </c>
      <c r="AT116" s="160">
        <f>IFERROR(AT33/'Income Statement'!AT8,"NM")</f>
        <v>0.1025260396320527</v>
      </c>
      <c r="AU116" s="160">
        <f>IFERROR(AU33/'Income Statement'!AU8,"NM")</f>
        <v>6.9359763071770872E-2</v>
      </c>
      <c r="AV116" s="199">
        <f>IFERROR(AV33/'Income Statement'!AV8,"NM")</f>
        <v>1.6289423890701375E-2</v>
      </c>
      <c r="AW116" s="601">
        <f>IFERROR(AW33/'Income Statement'!AW8,"NM")</f>
        <v>6.5516588825724614E-2</v>
      </c>
      <c r="AX116" s="160">
        <f>IFERROR(AX33/'Income Statement'!AX8,"NM")</f>
        <v>6.0490453800772226E-2</v>
      </c>
      <c r="AY116" s="160">
        <f>IFERROR(AY33/'Income Statement'!AY8,"NM")</f>
        <v>5.9404446141620132E-2</v>
      </c>
      <c r="AZ116" s="160">
        <f>IFERROR(AZ33/'Income Statement'!AZ8,"NM")</f>
        <v>5.543765942603962E-2</v>
      </c>
      <c r="BA116" s="199">
        <f>IFERROR(BA33/'Income Statement'!BA8,"NM")</f>
        <v>1.4451489935736837E-2</v>
      </c>
      <c r="BB116" s="601">
        <f>IFERROR(BB33/'Income Statement'!BB8,"NM")</f>
        <v>4.8507171011228513E-2</v>
      </c>
      <c r="BC116" s="160">
        <f>IFERROR(BC33/'Income Statement'!BC8,"NM")</f>
        <v>4.8201991147217592E-2</v>
      </c>
      <c r="BD116" s="160">
        <f>IFERROR(BD33/'Income Statement'!BD8,"NM")</f>
        <v>4.8448942706533528E-2</v>
      </c>
      <c r="BE116" s="1230">
        <v>0.05</v>
      </c>
      <c r="BF116" s="1231">
        <f>IFERROR(BF33/'Income Statement'!BF8,"NM")</f>
        <v>1.2292868291716977E-2</v>
      </c>
      <c r="BG116" s="1232">
        <v>4.9000000000000002E-2</v>
      </c>
      <c r="BH116" s="1230">
        <v>4.8000000000000001E-2</v>
      </c>
      <c r="BI116" s="1230">
        <v>4.9000000000000002E-2</v>
      </c>
      <c r="BJ116" s="1230">
        <v>5.0999999999999997E-2</v>
      </c>
      <c r="BK116" s="1231">
        <f>IFERROR(BK33/'Income Statement'!BK8,"NM")</f>
        <v>1.2751626361712924E-2</v>
      </c>
      <c r="BL116" s="1232">
        <v>4.9000000000000002E-2</v>
      </c>
      <c r="BM116" s="1230">
        <v>4.8000000000000001E-2</v>
      </c>
      <c r="BN116" s="1230">
        <v>4.9000000000000002E-2</v>
      </c>
      <c r="BO116" s="1230">
        <v>5.0999999999999997E-2</v>
      </c>
      <c r="BP116" s="1231">
        <f>IFERROR(BP33/'Income Statement'!BP8,"NM")</f>
        <v>1.3041717157620604E-2</v>
      </c>
      <c r="BQ116" s="1232">
        <v>4.9000000000000002E-2</v>
      </c>
      <c r="BR116" s="1230">
        <v>4.8000000000000001E-2</v>
      </c>
      <c r="BS116" s="1230">
        <v>4.9000000000000002E-2</v>
      </c>
      <c r="BT116" s="1230">
        <v>5.0999999999999997E-2</v>
      </c>
      <c r="BU116" s="1231">
        <f>IFERROR(BU33/'Income Statement'!BU8,"NM")</f>
        <v>1.3003181926182225E-2</v>
      </c>
      <c r="BV116" s="1232">
        <v>4.9000000000000002E-2</v>
      </c>
      <c r="BW116" s="1230">
        <v>4.8000000000000001E-2</v>
      </c>
      <c r="BX116" s="1230">
        <v>4.9000000000000002E-2</v>
      </c>
      <c r="BY116" s="1230">
        <v>5.0999999999999997E-2</v>
      </c>
      <c r="BZ116" s="1231">
        <f>IFERROR(BZ33/'Income Statement'!BZ8,"NM")</f>
        <v>1.2896152307264399E-2</v>
      </c>
    </row>
    <row r="117" spans="1:80" ht="14.1" customHeight="1" x14ac:dyDescent="0.2">
      <c r="C117" s="565" t="str">
        <f>C34&amp;" / "&amp;'Income Statement'!$C$8</f>
        <v>Other current liabilities / Revenue</v>
      </c>
      <c r="D117" s="160">
        <f>IFERROR(D34/'Income Statement'!D8,"NM")</f>
        <v>1.4100489569681277E-2</v>
      </c>
      <c r="E117" s="160">
        <f>IFERROR(E34/'Income Statement'!E8,"NM")</f>
        <v>1.3990394528158255E-2</v>
      </c>
      <c r="F117" s="160">
        <f>IFERROR(F34/'Income Statement'!F8,"NM")</f>
        <v>1.8270196755534537E-2</v>
      </c>
      <c r="G117" s="160">
        <f>IFERROR(G34/'Income Statement'!G8,"NM")</f>
        <v>2.2262816580203976E-2</v>
      </c>
      <c r="H117" s="160">
        <f>IFERROR(H34/'Income Statement'!H8,"NM")</f>
        <v>1.6844030508095412E-2</v>
      </c>
      <c r="I117" s="160">
        <f>IFERROR(I34/'Income Statement'!I8,"NM")</f>
        <v>8.1244759687929009E-3</v>
      </c>
      <c r="J117" s="586">
        <f>IFERROR(J34/'Income Statement'!J8,"NM")</f>
        <v>9.402960263174609E-3</v>
      </c>
      <c r="K117" s="165">
        <f>IFERROR(K34/'Income Statement'!K8,"NM")</f>
        <v>1.204701092588264E-2</v>
      </c>
      <c r="L117" s="165">
        <f>IFERROR(L34/'Income Statement'!L8,"NM")</f>
        <v>1.4751881477275734E-2</v>
      </c>
      <c r="M117" s="165">
        <f>IFERROR(M34/'Income Statement'!M8,"NM")</f>
        <v>1.508747671175717E-2</v>
      </c>
      <c r="N117" s="165">
        <f>IFERROR(N34/'Income Statement'!N8,"NM")</f>
        <v>1.504289673813238E-2</v>
      </c>
      <c r="O117" s="199">
        <f>IFERROR(O34/'Income Statement'!O8,"NM")</f>
        <v>1.4919078159384307E-2</v>
      </c>
      <c r="R117" s="210" t="str">
        <f t="shared" si="107"/>
        <v>Other current liabilities / Revenue</v>
      </c>
      <c r="S117" s="160">
        <f>IFERROR(S34/'Income Statement'!S8,"NM")</f>
        <v>5.9373549165867102E-2</v>
      </c>
      <c r="T117" s="160">
        <f>IFERROR(T34/'Income Statement'!T8,"NM")</f>
        <v>5.104701809247264E-2</v>
      </c>
      <c r="U117" s="160">
        <f>IFERROR(U34/'Income Statement'!U8,"NM")</f>
        <v>5.9535168055944374E-2</v>
      </c>
      <c r="V117" s="160">
        <f>IFERROR(V34/'Income Statement'!V8,"NM")</f>
        <v>5.3046270531426826E-2</v>
      </c>
      <c r="W117" s="160">
        <f>IFERROR(W34/'Income Statement'!W8,"NM")</f>
        <v>1.4100489569681277E-2</v>
      </c>
      <c r="X117" s="601">
        <f>IFERROR(X34/'Income Statement'!X8,"NM")</f>
        <v>5.0997314188974172E-2</v>
      </c>
      <c r="Y117" s="160">
        <f>IFERROR(Y34/'Income Statement'!Y8,"NM")</f>
        <v>6.9106108244777614E-2</v>
      </c>
      <c r="Z117" s="160">
        <f>IFERROR(Z34/'Income Statement'!Z8,"NM")</f>
        <v>8.7138889280527862E-2</v>
      </c>
      <c r="AA117" s="160">
        <f>IFERROR(AA34/'Income Statement'!AA8,"NM")</f>
        <v>5.6885064535955786E-2</v>
      </c>
      <c r="AB117" s="199">
        <f>IFERROR(AB34/'Income Statement'!AB8,"NM")</f>
        <v>1.3990394528158255E-2</v>
      </c>
      <c r="AC117" s="601">
        <f>IFERROR(AC34/'Income Statement'!AC8,"NM")</f>
        <v>6.1393040157434291E-2</v>
      </c>
      <c r="AD117" s="160">
        <f>IFERROR(AD34/'Income Statement'!AD8,"NM")</f>
        <v>6.3419468111461777E-2</v>
      </c>
      <c r="AE117" s="160">
        <f>IFERROR(AE34/'Income Statement'!AE8,"NM")</f>
        <v>7.0031201281321245E-2</v>
      </c>
      <c r="AF117" s="160">
        <f>IFERROR(AF34/'Income Statement'!AF8,"NM")</f>
        <v>7.3677677090268942E-2</v>
      </c>
      <c r="AG117" s="199">
        <f>IFERROR(AG34/'Income Statement'!AG8,"NM")</f>
        <v>1.8270196755534537E-2</v>
      </c>
      <c r="AH117" s="601">
        <f>IFERROR(AH34/'Income Statement'!AH8,"NM")</f>
        <v>7.8459484403982108E-2</v>
      </c>
      <c r="AI117" s="160">
        <f>IFERROR(AI34/'Income Statement'!AI8,"NM")</f>
        <v>7.8813433656849577E-2</v>
      </c>
      <c r="AJ117" s="160">
        <f>IFERROR(AJ34/'Income Statement'!AJ8,"NM")</f>
        <v>8.2536655490325614E-2</v>
      </c>
      <c r="AK117" s="160">
        <f>IFERROR(AK34/'Income Statement'!AK8,"NM")</f>
        <v>8.5146973023115247E-2</v>
      </c>
      <c r="AL117" s="199">
        <f>IFERROR(AL34/'Income Statement'!AL8,"NM")</f>
        <v>2.2262816580203976E-2</v>
      </c>
      <c r="AM117" s="601">
        <f>IFERROR(AM34/'Income Statement'!AM8,"NM")</f>
        <v>9.9747146097497477E-2</v>
      </c>
      <c r="AN117" s="160">
        <f>IFERROR(AN34/'Income Statement'!AN8,"NM")</f>
        <v>5.1220566639770503E-2</v>
      </c>
      <c r="AO117" s="160">
        <f>IFERROR(AO34/'Income Statement'!AO8,"NM")</f>
        <v>6.0603749334648883E-2</v>
      </c>
      <c r="AP117" s="160">
        <f>IFERROR(AP34/'Income Statement'!AP8,"NM")</f>
        <v>6.24731599255203E-2</v>
      </c>
      <c r="AQ117" s="199">
        <f>IFERROR(AQ34/'Income Statement'!AQ8,"NM")</f>
        <v>1.6844030508095412E-2</v>
      </c>
      <c r="AR117" s="601">
        <f>IFERROR(AR34/'Income Statement'!AR8,"NM")</f>
        <v>9.3188912549000635E-2</v>
      </c>
      <c r="AS117" s="160">
        <f>IFERROR(AS34/'Income Statement'!AS8,"NM")</f>
        <v>3.4328834665228812E-2</v>
      </c>
      <c r="AT117" s="160">
        <f>IFERROR(AT34/'Income Statement'!AT8,"NM")</f>
        <v>4.2650306143009284E-2</v>
      </c>
      <c r="AU117" s="160">
        <f>IFERROR(AU34/'Income Statement'!AU8,"NM")</f>
        <v>3.4593717497857356E-2</v>
      </c>
      <c r="AV117" s="199">
        <f>IFERROR(AV34/'Income Statement'!AV8,"NM")</f>
        <v>8.1244759687929009E-3</v>
      </c>
      <c r="AW117" s="601">
        <f>IFERROR(AW34/'Income Statement'!AW8,"NM")</f>
        <v>3.7059353402923385E-2</v>
      </c>
      <c r="AX117" s="160">
        <f>IFERROR(AX34/'Income Statement'!AX8,"NM")</f>
        <v>3.8582135319641477E-2</v>
      </c>
      <c r="AY117" s="160">
        <f>IFERROR(AY34/'Income Statement'!AY8,"NM")</f>
        <v>3.2368179331840274E-2</v>
      </c>
      <c r="AZ117" s="160">
        <f>IFERROR(AZ34/'Income Statement'!AZ8,"NM")</f>
        <v>3.6070890336185914E-2</v>
      </c>
      <c r="BA117" s="199">
        <f>IFERROR(BA34/'Income Statement'!BA8,"NM")</f>
        <v>9.402960263174609E-3</v>
      </c>
      <c r="BB117" s="601">
        <f>IFERROR(BB34/'Income Statement'!BB8,"NM")</f>
        <v>7.7282633897519132E-2</v>
      </c>
      <c r="BC117" s="160">
        <f>IFERROR(BC34/'Income Statement'!BC8,"NM")</f>
        <v>4.4097497218321659E-2</v>
      </c>
      <c r="BD117" s="160">
        <f>IFERROR(BD34/'Income Statement'!BD8,"NM")</f>
        <v>4.9376382699028505E-2</v>
      </c>
      <c r="BE117" s="1230">
        <v>4.9000000000000002E-2</v>
      </c>
      <c r="BF117" s="1231">
        <f>IFERROR(BF34/'Income Statement'!BF8,"NM")</f>
        <v>1.204701092588264E-2</v>
      </c>
      <c r="BG117" s="1232">
        <v>7.8E-2</v>
      </c>
      <c r="BH117" s="1230">
        <v>5.1999999999999998E-2</v>
      </c>
      <c r="BI117" s="1230">
        <v>5.8999999999999997E-2</v>
      </c>
      <c r="BJ117" s="1230">
        <v>5.8999999999999997E-2</v>
      </c>
      <c r="BK117" s="1231">
        <f>IFERROR(BK34/'Income Statement'!BK8,"NM")</f>
        <v>1.4751881477275734E-2</v>
      </c>
      <c r="BL117" s="1232">
        <v>7.8E-2</v>
      </c>
      <c r="BM117" s="1230">
        <v>5.1999999999999998E-2</v>
      </c>
      <c r="BN117" s="1230">
        <v>5.8999999999999997E-2</v>
      </c>
      <c r="BO117" s="1230">
        <v>5.8999999999999997E-2</v>
      </c>
      <c r="BP117" s="1231">
        <f>IFERROR(BP34/'Income Statement'!BP8,"NM")</f>
        <v>1.508747671175717E-2</v>
      </c>
      <c r="BQ117" s="1232">
        <v>7.8E-2</v>
      </c>
      <c r="BR117" s="1230">
        <v>5.1999999999999998E-2</v>
      </c>
      <c r="BS117" s="1230">
        <v>5.8999999999999997E-2</v>
      </c>
      <c r="BT117" s="1230">
        <v>5.8999999999999997E-2</v>
      </c>
      <c r="BU117" s="1231">
        <f>IFERROR(BU34/'Income Statement'!BU8,"NM")</f>
        <v>1.504289673813238E-2</v>
      </c>
      <c r="BV117" s="1232">
        <v>7.8E-2</v>
      </c>
      <c r="BW117" s="1230">
        <v>5.1999999999999998E-2</v>
      </c>
      <c r="BX117" s="1230">
        <v>5.8999999999999997E-2</v>
      </c>
      <c r="BY117" s="1230">
        <v>5.8999999999999997E-2</v>
      </c>
      <c r="BZ117" s="1231">
        <f>IFERROR(BZ34/'Income Statement'!BZ8,"NM")</f>
        <v>1.4919078159384307E-2</v>
      </c>
    </row>
    <row r="118" spans="1:80" ht="14.1" customHeight="1" x14ac:dyDescent="0.2">
      <c r="C118" s="577" t="str">
        <f>C35&amp;" / "&amp;'Income Statement'!$C$8</f>
        <v>Total Current Liabilities / Revenue</v>
      </c>
      <c r="D118" s="180">
        <f>IFERROR(D35/'Income Statement'!D8,"NM")</f>
        <v>0.11883366092334108</v>
      </c>
      <c r="E118" s="180">
        <f>IFERROR(E35/'Income Statement'!E8,"NM")</f>
        <v>0.12655931708396595</v>
      </c>
      <c r="F118" s="180">
        <f>IFERROR(F35/'Income Statement'!F8,"NM")</f>
        <v>0.13502063820320306</v>
      </c>
      <c r="G118" s="180">
        <f>IFERROR(G35/'Income Statement'!G8,"NM")</f>
        <v>0.15131647539517309</v>
      </c>
      <c r="H118" s="180">
        <f>IFERROR(H35/'Income Statement'!H8,"NM")</f>
        <v>0.14040609882273983</v>
      </c>
      <c r="I118" s="180">
        <f>IFERROR(I35/'Income Statement'!I8,"NM")</f>
        <v>9.8165975837885833E-2</v>
      </c>
      <c r="J118" s="669">
        <f>IFERROR(J35/'Income Statement'!J8,"NM")</f>
        <v>0.11176938696822034</v>
      </c>
      <c r="K118" s="990">
        <f>IFERROR(K35/'Income Statement'!K8,"NM")</f>
        <v>0.10321958844427935</v>
      </c>
      <c r="L118" s="990">
        <f>IFERROR(L35/'Income Statement'!L8,"NM")</f>
        <v>0.10877480513947385</v>
      </c>
      <c r="M118" s="990">
        <f>IFERROR(M35/'Income Statement'!M8,"NM")</f>
        <v>0.11373285617000267</v>
      </c>
      <c r="N118" s="990">
        <f>IFERROR(N35/'Income Statement'!N8,"NM")</f>
        <v>0.11842384642966741</v>
      </c>
      <c r="O118" s="665">
        <f>IFERROR(O35/'Income Statement'!O8,"NM")</f>
        <v>0.12049883238073281</v>
      </c>
      <c r="P118" s="714"/>
      <c r="Q118" s="714"/>
      <c r="R118" s="594" t="str">
        <f t="shared" si="107"/>
        <v>Total Current Liabilities / Revenue</v>
      </c>
      <c r="S118" s="180">
        <f>IFERROR(S35/'Income Statement'!S8,"NM")</f>
        <v>0.53964839518400443</v>
      </c>
      <c r="T118" s="180">
        <f>IFERROR(T35/'Income Statement'!T8,"NM")</f>
        <v>0.46822928300201028</v>
      </c>
      <c r="U118" s="180">
        <f>IFERROR(U35/'Income Statement'!U8,"NM")</f>
        <v>0.52419000062846011</v>
      </c>
      <c r="V118" s="180">
        <f>IFERROR(V35/'Income Statement'!V8,"NM")</f>
        <v>0.4470541603841548</v>
      </c>
      <c r="W118" s="180">
        <f>IFERROR(W35/'Income Statement'!W8,"NM")</f>
        <v>0.11883366092334108</v>
      </c>
      <c r="X118" s="677">
        <f>IFERROR(X35/'Income Statement'!X8,"NM")</f>
        <v>0.45487455607744304</v>
      </c>
      <c r="Y118" s="180">
        <f>IFERROR(Y35/'Income Statement'!Y8,"NM")</f>
        <v>0.47950001399475661</v>
      </c>
      <c r="Z118" s="180">
        <f>IFERROR(Z35/'Income Statement'!Z8,"NM")</f>
        <v>0.49288000338376076</v>
      </c>
      <c r="AA118" s="180">
        <f>IFERROR(AA35/'Income Statement'!AA8,"NM")</f>
        <v>0.51459127228027068</v>
      </c>
      <c r="AB118" s="665">
        <f>IFERROR(AB35/'Income Statement'!AB8,"NM")</f>
        <v>0.12655931708396595</v>
      </c>
      <c r="AC118" s="677">
        <f>IFERROR(AC35/'Income Statement'!AC8,"NM")</f>
        <v>0.51503711786138773</v>
      </c>
      <c r="AD118" s="180">
        <f>IFERROR(AD35/'Income Statement'!AD8,"NM")</f>
        <v>0.51097060502590497</v>
      </c>
      <c r="AE118" s="180">
        <f>IFERROR(AE35/'Income Statement'!AE8,"NM")</f>
        <v>0.52054955202808328</v>
      </c>
      <c r="AF118" s="180">
        <f>IFERROR(AF35/'Income Statement'!AF8,"NM")</f>
        <v>0.54449369731303554</v>
      </c>
      <c r="AG118" s="665">
        <f>IFERROR(AG35/'Income Statement'!AG8,"NM")</f>
        <v>0.13502063820320306</v>
      </c>
      <c r="AH118" s="677">
        <f>IFERROR(AH35/'Income Statement'!AH8,"NM")</f>
        <v>0.55790598482065246</v>
      </c>
      <c r="AI118" s="180">
        <f>IFERROR(AI35/'Income Statement'!AI8,"NM")</f>
        <v>0.59336448911062545</v>
      </c>
      <c r="AJ118" s="180">
        <f>IFERROR(AJ35/'Income Statement'!AJ8,"NM")</f>
        <v>0.57271684802253553</v>
      </c>
      <c r="AK118" s="180">
        <f>IFERROR(AK35/'Income Statement'!AK8,"NM")</f>
        <v>0.57872910204372885</v>
      </c>
      <c r="AL118" s="665">
        <f>IFERROR(AL35/'Income Statement'!AL8,"NM")</f>
        <v>0.15131647539517309</v>
      </c>
      <c r="AM118" s="677">
        <f>IFERROR(AM35/'Income Statement'!AM8,"NM")</f>
        <v>0.6347335324764396</v>
      </c>
      <c r="AN118" s="180">
        <f>IFERROR(AN35/'Income Statement'!AN8,"NM")</f>
        <v>0.4986496491538211</v>
      </c>
      <c r="AO118" s="180">
        <f>IFERROR(AO35/'Income Statement'!AO8,"NM")</f>
        <v>0.54951672790060624</v>
      </c>
      <c r="AP118" s="180">
        <f>IFERROR(AP35/'Income Statement'!AP8,"NM")</f>
        <v>0.52075497382029245</v>
      </c>
      <c r="AQ118" s="665">
        <f>IFERROR(AQ35/'Income Statement'!AQ8,"NM")</f>
        <v>0.14040609882273983</v>
      </c>
      <c r="AR118" s="677">
        <f>IFERROR(AR35/'Income Statement'!AR8,"NM")</f>
        <v>0.51287476407104482</v>
      </c>
      <c r="AS118" s="180">
        <f>IFERROR(AS35/'Income Statement'!AS8,"NM")</f>
        <v>0.45489528592160994</v>
      </c>
      <c r="AT118" s="180">
        <f>IFERROR(AT35/'Income Statement'!AT8,"NM")</f>
        <v>0.46393516100778404</v>
      </c>
      <c r="AU118" s="180">
        <f>IFERROR(AU35/'Income Statement'!AU8,"NM")</f>
        <v>0.41798708606948654</v>
      </c>
      <c r="AV118" s="665">
        <f>IFERROR(AV35/'Income Statement'!AV8,"NM")</f>
        <v>9.8165975837885833E-2</v>
      </c>
      <c r="AW118" s="677">
        <f>IFERROR(AW35/'Income Statement'!AW8,"NM")</f>
        <v>0.40956345992263848</v>
      </c>
      <c r="AX118" s="180">
        <f>IFERROR(AX35/'Income Statement'!AX8,"NM")</f>
        <v>0.38480497306448685</v>
      </c>
      <c r="AY118" s="180">
        <f>IFERROR(AY35/'Income Statement'!AY8,"NM")</f>
        <v>0.3860289184977243</v>
      </c>
      <c r="AZ118" s="180">
        <f>IFERROR(AZ35/'Income Statement'!AZ8,"NM")</f>
        <v>0.428760856946582</v>
      </c>
      <c r="BA118" s="665">
        <f>IFERROR(BA35/'Income Statement'!BA8,"NM")</f>
        <v>0.11176938696822034</v>
      </c>
      <c r="BB118" s="677">
        <f>IFERROR(BB35/'Income Statement'!BB8,"NM")</f>
        <v>0.44751349739988744</v>
      </c>
      <c r="BC118" s="180">
        <f>IFERROR(BC35/'Income Statement'!BC8,"NM")</f>
        <v>0.39821486703820497</v>
      </c>
      <c r="BD118" s="180">
        <f>IFERROR(BD35/'Income Statement'!BD8,"NM")</f>
        <v>0.41167529387735224</v>
      </c>
      <c r="BE118" s="180">
        <f>IFERROR(BE35/'Income Statement'!BE8,"NM")</f>
        <v>0.41983524916568676</v>
      </c>
      <c r="BF118" s="665">
        <f>IFERROR(BF35/'Income Statement'!BF8,"NM")</f>
        <v>0.10321958844427935</v>
      </c>
      <c r="BG118" s="677">
        <f>IFERROR(BG35/'Income Statement'!BG8,"NM")</f>
        <v>0.46480054154988831</v>
      </c>
      <c r="BH118" s="180">
        <f>IFERROR(BH35/'Income Statement'!BH8,"NM")</f>
        <v>0.42927459324683492</v>
      </c>
      <c r="BI118" s="180">
        <f>IFERROR(BI35/'Income Statement'!BI8,"NM")</f>
        <v>0.44758896938088666</v>
      </c>
      <c r="BJ118" s="180">
        <f>IFERROR(BJ35/'Income Statement'!BJ8,"NM")</f>
        <v>0.43504372734522073</v>
      </c>
      <c r="BK118" s="665">
        <f>IFERROR(BK35/'Income Statement'!BK8,"NM")</f>
        <v>0.10877480513947385</v>
      </c>
      <c r="BL118" s="677">
        <f>IFERROR(BL35/'Income Statement'!BL8,"NM")</f>
        <v>0.48157159222846219</v>
      </c>
      <c r="BM118" s="180">
        <f>IFERROR(BM35/'Income Statement'!BM8,"NM")</f>
        <v>0.42739303884402563</v>
      </c>
      <c r="BN118" s="180">
        <f>IFERROR(BN35/'Income Statement'!BN8,"NM")</f>
        <v>0.44110326037068032</v>
      </c>
      <c r="BO118" s="180">
        <f>IFERROR(BO35/'Income Statement'!BO8,"NM")</f>
        <v>0.44475551758771509</v>
      </c>
      <c r="BP118" s="665">
        <f>IFERROR(BP35/'Income Statement'!BP8,"NM")</f>
        <v>0.11373285617000267</v>
      </c>
      <c r="BQ118" s="677">
        <f>IFERROR(BQ35/'Income Statement'!BQ8,"NM")</f>
        <v>0.44738199575847942</v>
      </c>
      <c r="BR118" s="180">
        <f>IFERROR(BR35/'Income Statement'!BR8,"NM")</f>
        <v>0.45042451703213815</v>
      </c>
      <c r="BS118" s="180">
        <f>IFERROR(BS35/'Income Statement'!BS8,"NM")</f>
        <v>0.41249465131489227</v>
      </c>
      <c r="BT118" s="180">
        <f>IFERROR(BT35/'Income Statement'!BT8,"NM")</f>
        <v>0.46447217321109091</v>
      </c>
      <c r="BU118" s="665">
        <f>IFERROR(BU35/'Income Statement'!BU8,"NM")</f>
        <v>0.11842384642966741</v>
      </c>
      <c r="BV118" s="677">
        <f>IFERROR(BV35/'Income Statement'!BV8,"NM")</f>
        <v>0.42122656794669755</v>
      </c>
      <c r="BW118" s="180">
        <f>IFERROR(BW35/'Income Statement'!BW8,"NM")</f>
        <v>0.46708064229676427</v>
      </c>
      <c r="BX118" s="180">
        <f>IFERROR(BX35/'Income Statement'!BX8,"NM")</f>
        <v>0.38898752504636358</v>
      </c>
      <c r="BY118" s="180">
        <f>IFERROR(BY35/'Income Statement'!BY8,"NM")</f>
        <v>0.47653286848633508</v>
      </c>
      <c r="BZ118" s="665">
        <f>IFERROR(BZ35/'Income Statement'!BZ8,"NM")</f>
        <v>0.12049883238073281</v>
      </c>
    </row>
    <row r="119" spans="1:80" ht="14.1" customHeight="1" x14ac:dyDescent="0.2">
      <c r="C119" s="565"/>
      <c r="D119" s="160"/>
      <c r="E119" s="160"/>
      <c r="F119" s="160"/>
      <c r="G119" s="160"/>
      <c r="H119" s="160"/>
      <c r="I119" s="160"/>
      <c r="J119" s="586"/>
      <c r="O119" s="551"/>
      <c r="R119" s="210"/>
      <c r="X119" s="559"/>
      <c r="AB119" s="551"/>
      <c r="AC119" s="559"/>
      <c r="AG119" s="551"/>
      <c r="AH119" s="559"/>
      <c r="AL119" s="551"/>
      <c r="AM119" s="559"/>
      <c r="AQ119" s="551"/>
      <c r="AR119" s="559"/>
      <c r="AV119" s="551"/>
      <c r="AW119" s="559"/>
      <c r="BA119" s="996"/>
      <c r="BB119" s="559"/>
      <c r="BF119" s="551"/>
      <c r="BG119" s="559"/>
      <c r="BK119" s="551"/>
      <c r="BL119" s="559"/>
      <c r="BP119" s="551"/>
      <c r="BQ119" s="559"/>
      <c r="BU119" s="551"/>
      <c r="BV119" s="559"/>
      <c r="BZ119" s="551"/>
    </row>
    <row r="120" spans="1:80" ht="14.1" customHeight="1" x14ac:dyDescent="0.2">
      <c r="C120" s="566" t="s">
        <v>170</v>
      </c>
      <c r="J120" s="570"/>
      <c r="O120" s="551"/>
      <c r="R120" s="553" t="str">
        <f t="shared" si="107"/>
        <v>Other Asset, Net:</v>
      </c>
      <c r="X120" s="559"/>
      <c r="AB120" s="551"/>
      <c r="AC120" s="559"/>
      <c r="AG120" s="551"/>
      <c r="AH120" s="559"/>
      <c r="AL120" s="551"/>
      <c r="AM120" s="559"/>
      <c r="AQ120" s="551"/>
      <c r="AR120" s="559"/>
      <c r="AV120" s="551"/>
      <c r="AW120" s="559"/>
      <c r="BA120" s="597"/>
      <c r="BB120" s="559"/>
      <c r="BF120" s="551"/>
      <c r="BG120" s="559"/>
      <c r="BK120" s="551"/>
      <c r="BL120" s="559"/>
      <c r="BP120" s="551"/>
      <c r="BQ120" s="559"/>
      <c r="BU120" s="551"/>
      <c r="BV120" s="559"/>
      <c r="BZ120" s="551"/>
    </row>
    <row r="121" spans="1:80" ht="14.1" customHeight="1" x14ac:dyDescent="0.2">
      <c r="C121" s="565" t="str">
        <f>"Change in "&amp;C22</f>
        <v>Change in Goodwill and Identifiable Intangibles, net</v>
      </c>
      <c r="D121" s="579"/>
      <c r="E121" s="579">
        <f t="shared" ref="E121:J121" si="125">IFERROR(E22-D22,"NM")</f>
        <v>-1.3629999999999995</v>
      </c>
      <c r="F121" s="579">
        <f t="shared" si="125"/>
        <v>-1.1799999999999997</v>
      </c>
      <c r="G121" s="579">
        <f t="shared" si="125"/>
        <v>-1.1630000000000003</v>
      </c>
      <c r="H121" s="579">
        <f t="shared" si="125"/>
        <v>-1.1640000000000015</v>
      </c>
      <c r="I121" s="579">
        <f t="shared" si="125"/>
        <v>-1.0079999999999991</v>
      </c>
      <c r="J121" s="588">
        <f t="shared" si="125"/>
        <v>-0.85300000000000153</v>
      </c>
      <c r="K121" s="116">
        <f>IFERROR(K22-J22,"NM")</f>
        <v>-0.85300000000000153</v>
      </c>
      <c r="L121" s="116">
        <f>IFERROR(L22-K22,"NM")</f>
        <v>-0.85300000000000153</v>
      </c>
      <c r="M121" s="116">
        <f>IFERROR(M22-L22,"NM")</f>
        <v>-0.85300000000000153</v>
      </c>
      <c r="N121" s="116">
        <f>IFERROR(N22-M22,"NM")</f>
        <v>-0.85300000000000153</v>
      </c>
      <c r="O121" s="551">
        <f>IFERROR(O22-N22,"NM")</f>
        <v>-0.85300000000000153</v>
      </c>
      <c r="R121" s="210" t="str">
        <f t="shared" si="107"/>
        <v>Change in Goodwill and Identifiable Intangibles, net</v>
      </c>
      <c r="T121" s="579">
        <f>IFERROR(T22-S22,"NM")</f>
        <v>-0.34499999999999886</v>
      </c>
      <c r="U121" s="579">
        <f>IFERROR(U22-T22,"NM")</f>
        <v>-0.34100000000000108</v>
      </c>
      <c r="V121" s="579">
        <f>IFERROR(V22-U22,"NM")</f>
        <v>-0.34099999999999753</v>
      </c>
      <c r="W121" s="579"/>
      <c r="X121" s="603">
        <f>IFERROR(X22-W22,"NM")</f>
        <v>-0.34100000000000108</v>
      </c>
      <c r="Y121" s="579">
        <f>IFERROR(Y22-X22,"NM")</f>
        <v>-0.33999999999999986</v>
      </c>
      <c r="Z121" s="579">
        <f>IFERROR(Z22-Y22,"NM")</f>
        <v>-0.34100000000000108</v>
      </c>
      <c r="AA121" s="579">
        <f>IFERROR(AA22-Z22,"NM")</f>
        <v>-0.34099999999999753</v>
      </c>
      <c r="AB121" s="597">
        <f>IFERROR(AB22-W22,"NM")</f>
        <v>-1.3629999999999995</v>
      </c>
      <c r="AC121" s="603">
        <f>IFERROR(AC22-AB22,"NM")</f>
        <v>-0.30799999999999983</v>
      </c>
      <c r="AD121" s="579">
        <f>IFERROR(AD22-AC22,"NM")</f>
        <v>-0.2900000000000027</v>
      </c>
      <c r="AE121" s="579">
        <f>IFERROR(AE22-AD22,"NM")</f>
        <v>-0.29100000000000037</v>
      </c>
      <c r="AF121" s="579">
        <f>IFERROR(AF22-AE22,"NM")</f>
        <v>-0.29099999999999682</v>
      </c>
      <c r="AG121" s="597">
        <f>IFERROR(AG22-AB22,"NM")</f>
        <v>-1.1799999999999997</v>
      </c>
      <c r="AH121" s="603">
        <f>IFERROR(AH22-AG22,"NM")</f>
        <v>-0.29100000000000037</v>
      </c>
      <c r="AI121" s="579">
        <f>IFERROR(AI22-AH22,"NM")</f>
        <v>-0.29100000000000037</v>
      </c>
      <c r="AJ121" s="579">
        <f>IFERROR(AJ22-AI22,"NM")</f>
        <v>-0.29100000000000037</v>
      </c>
      <c r="AK121" s="579">
        <f>IFERROR(AK22-AJ22,"NM")</f>
        <v>-0.28999999999999915</v>
      </c>
      <c r="AL121" s="597">
        <f>IFERROR(AL22-AG22,"NM")</f>
        <v>-1.1630000000000003</v>
      </c>
      <c r="AM121" s="603">
        <f>IFERROR(AM22-AL22,"NM")</f>
        <v>-0.29100000000000037</v>
      </c>
      <c r="AN121" s="579">
        <f>IFERROR(AN22-AM22,"NM")</f>
        <v>-0.29100000000000037</v>
      </c>
      <c r="AO121" s="579">
        <f>IFERROR(AO22-AN22,"NM")</f>
        <v>-0.29100000000000037</v>
      </c>
      <c r="AP121" s="579">
        <f>IFERROR(AP22-AO22,"NM")</f>
        <v>-0.29100000000000037</v>
      </c>
      <c r="AQ121" s="597">
        <f>IFERROR(AQ22-AL22,"NM")</f>
        <v>-1.1640000000000015</v>
      </c>
      <c r="AR121" s="603">
        <f>IFERROR(AR22-AQ22,"NM")</f>
        <v>-0.29100000000000037</v>
      </c>
      <c r="AS121" s="579">
        <f>IFERROR(AS22-AR22,"NM")</f>
        <v>-0.28999999999999915</v>
      </c>
      <c r="AT121" s="579">
        <f>IFERROR(AT22-AS22,"NM")</f>
        <v>-0.21400000000000219</v>
      </c>
      <c r="AU121" s="579">
        <f>IFERROR(AU22-AT22,"NM")</f>
        <v>-0.21299999999999741</v>
      </c>
      <c r="AV121" s="597">
        <f>IFERROR(AV22-AQ22,"NM")</f>
        <v>-1.0079999999999991</v>
      </c>
      <c r="AW121" s="603">
        <f>IFERROR(AW22-AV22,"NM")</f>
        <v>-0.21300000000000097</v>
      </c>
      <c r="AX121" s="579">
        <f>IFERROR(AX22-AW22,"NM")</f>
        <v>-0.21399999999999864</v>
      </c>
      <c r="AY121" s="579">
        <f>IFERROR(AY22-AX22,"NM")</f>
        <v>-0.21300000000000097</v>
      </c>
      <c r="AZ121" s="579">
        <f>IFERROR(AZ22-AY22,"NM")</f>
        <v>-0.21300000000000097</v>
      </c>
      <c r="BA121" s="597">
        <f>IFERROR(BA22-AV22,"NM")</f>
        <v>-0.85300000000000153</v>
      </c>
      <c r="BB121" s="603">
        <f>IFERROR(BB22-BA22,"NM")</f>
        <v>-0.21399999999999864</v>
      </c>
      <c r="BC121" s="579">
        <f>IFERROR(BC22-BB22,"NM")</f>
        <v>-0.21300000000000097</v>
      </c>
      <c r="BD121" s="579">
        <f>IFERROR(BD22-BC22,"NM")</f>
        <v>-0.21300000000000097</v>
      </c>
      <c r="BE121" s="1236">
        <f>BD121</f>
        <v>-0.21300000000000097</v>
      </c>
      <c r="BF121" s="1237">
        <f>SUM(BB121:BE121)</f>
        <v>-0.85300000000000153</v>
      </c>
      <c r="BG121" s="1238">
        <f>BB121</f>
        <v>-0.21399999999999864</v>
      </c>
      <c r="BH121" s="1236">
        <f>BC121</f>
        <v>-0.21300000000000097</v>
      </c>
      <c r="BI121" s="1236">
        <f>BD121</f>
        <v>-0.21300000000000097</v>
      </c>
      <c r="BJ121" s="1236">
        <f>BE121</f>
        <v>-0.21300000000000097</v>
      </c>
      <c r="BK121" s="1237">
        <f>SUM(BG121:BJ121)</f>
        <v>-0.85300000000000153</v>
      </c>
      <c r="BL121" s="1238">
        <f>BG121</f>
        <v>-0.21399999999999864</v>
      </c>
      <c r="BM121" s="1236">
        <f>BH121</f>
        <v>-0.21300000000000097</v>
      </c>
      <c r="BN121" s="1236">
        <f>BI121</f>
        <v>-0.21300000000000097</v>
      </c>
      <c r="BO121" s="1236">
        <f>BJ121</f>
        <v>-0.21300000000000097</v>
      </c>
      <c r="BP121" s="1237">
        <f>SUM(BL121:BO121)</f>
        <v>-0.85300000000000153</v>
      </c>
      <c r="BQ121" s="1238">
        <f>BL121</f>
        <v>-0.21399999999999864</v>
      </c>
      <c r="BR121" s="1236">
        <f>BM121</f>
        <v>-0.21300000000000097</v>
      </c>
      <c r="BS121" s="1236">
        <f>BN121</f>
        <v>-0.21300000000000097</v>
      </c>
      <c r="BT121" s="1236">
        <f>BO121</f>
        <v>-0.21300000000000097</v>
      </c>
      <c r="BU121" s="1237">
        <f>SUM(BQ121:BT121)</f>
        <v>-0.85300000000000153</v>
      </c>
      <c r="BV121" s="1238">
        <f>BQ121</f>
        <v>-0.21399999999999864</v>
      </c>
      <c r="BW121" s="1236">
        <f>BR121</f>
        <v>-0.21300000000000097</v>
      </c>
      <c r="BX121" s="1236">
        <f>BS121</f>
        <v>-0.21300000000000097</v>
      </c>
      <c r="BY121" s="1236">
        <f>BT121</f>
        <v>-0.21300000000000097</v>
      </c>
      <c r="BZ121" s="1237">
        <f>SUM(BV121:BY121)</f>
        <v>-0.85300000000000153</v>
      </c>
    </row>
    <row r="122" spans="1:80" ht="14.1" customHeight="1" x14ac:dyDescent="0.2">
      <c r="C122" s="565" t="str">
        <f>C23&amp;" / "&amp;'Income Statement'!$C$8</f>
        <v>Other Noncurrent Assets / Revenue</v>
      </c>
      <c r="D122" s="160">
        <f>IFERROR(D23/'Income Statement'!D8,"NM")</f>
        <v>3.031957645139222E-3</v>
      </c>
      <c r="E122" s="160">
        <f>IFERROR(E23/'Income Statement'!E8,"NM")</f>
        <v>2.8104137681251432E-3</v>
      </c>
      <c r="F122" s="160">
        <f>IFERROR(F23/'Income Statement'!F8,"NM")</f>
        <v>2.9892513439318089E-3</v>
      </c>
      <c r="G122" s="160">
        <f>IFERROR(G23/'Income Statement'!G8,"NM")</f>
        <v>3.8493913955813487E-3</v>
      </c>
      <c r="H122" s="160">
        <f>IFERROR(H23/'Income Statement'!H8,"NM")</f>
        <v>9.4389663320376942E-3</v>
      </c>
      <c r="I122" s="160">
        <f>IFERROR(I23/'Income Statement'!I8,"NM")</f>
        <v>8.0943906231140707E-3</v>
      </c>
      <c r="J122" s="586">
        <f>IFERROR(J23/'Income Statement'!J8,"NM")</f>
        <v>1.2331711339461997E-2</v>
      </c>
      <c r="K122" s="165">
        <f>IFERROR(K23/'Income Statement'!K8,"NM")</f>
        <v>8.3591504383675463E-3</v>
      </c>
      <c r="L122" s="165">
        <f>IFERROR(L23/'Income Statement'!L8,"NM")</f>
        <v>9.0011480200326514E-3</v>
      </c>
      <c r="M122" s="165">
        <f>IFERROR(M23/'Income Statement'!M8,"NM")</f>
        <v>7.9273182722791897E-3</v>
      </c>
      <c r="N122" s="165">
        <f>IFERROR(N23/'Income Statement'!N8,"NM")</f>
        <v>7.9038948963068428E-3</v>
      </c>
      <c r="O122" s="199">
        <f>IFERROR(O23/'Income Statement'!O8,"NM")</f>
        <v>7.8388376769646367E-3</v>
      </c>
      <c r="R122" s="210" t="str">
        <f t="shared" si="107"/>
        <v>Other Noncurrent Assets / Revenue</v>
      </c>
      <c r="T122" s="160">
        <f>IFERROR(T23/'Income Statement'!T8,"NM")</f>
        <v>1.3309693991512174E-2</v>
      </c>
      <c r="U122" s="160">
        <f>IFERROR(U23/'Income Statement'!U8,"NM")</f>
        <v>1.4171775285520851E-2</v>
      </c>
      <c r="V122" s="160">
        <f>IFERROR(V23/'Income Statement'!V8,"NM")</f>
        <v>1.140627385234245E-2</v>
      </c>
      <c r="W122" s="160">
        <f>IFERROR(W23/'Income Statement'!W8,"NM")</f>
        <v>3.031957645139222E-3</v>
      </c>
      <c r="X122" s="601">
        <f>IFERROR(X23/'Income Statement'!X8,"NM")</f>
        <v>1.2739145377477373E-2</v>
      </c>
      <c r="Y122" s="160">
        <f>IFERROR(Y23/'Income Statement'!Y8,"NM")</f>
        <v>1.2231417295653227E-2</v>
      </c>
      <c r="Z122" s="160">
        <f>IFERROR(Z23/'Income Statement'!Z8,"NM")</f>
        <v>1.1055968343038148E-2</v>
      </c>
      <c r="AA122" s="160">
        <f>IFERROR(AA23/'Income Statement'!AA8,"NM")</f>
        <v>1.1427166564228647E-2</v>
      </c>
      <c r="AB122" s="199">
        <f>IFERROR(AB23/'Income Statement'!AB8,"NM")</f>
        <v>2.8104137681251432E-3</v>
      </c>
      <c r="AC122" s="601">
        <f>IFERROR(AC23/'Income Statement'!AC8,"NM")</f>
        <v>1.3210451454513572E-2</v>
      </c>
      <c r="AD122" s="160">
        <f>IFERROR(AD23/'Income Statement'!AD8,"NM")</f>
        <v>1.1984187679746659E-2</v>
      </c>
      <c r="AE122" s="160">
        <f>IFERROR(AE23/'Income Statement'!AE8,"NM")</f>
        <v>1.28260086032788E-2</v>
      </c>
      <c r="AF122" s="160">
        <f>IFERROR(AF23/'Income Statement'!AF8,"NM")</f>
        <v>1.2054664665455413E-2</v>
      </c>
      <c r="AG122" s="199">
        <f>IFERROR(AG23/'Income Statement'!AG8,"NM")</f>
        <v>2.9892513439318089E-3</v>
      </c>
      <c r="AH122" s="601">
        <f>IFERROR(AH23/'Income Statement'!AH8,"NM")</f>
        <v>1.2589718545865106E-2</v>
      </c>
      <c r="AI122" s="160">
        <f>IFERROR(AI23/'Income Statement'!AI8,"NM")</f>
        <v>1.5667975719540605E-2</v>
      </c>
      <c r="AJ122" s="160">
        <f>IFERROR(AJ23/'Income Statement'!AJ8,"NM")</f>
        <v>1.3183096718975267E-2</v>
      </c>
      <c r="AK122" s="160">
        <f>IFERROR(AK23/'Income Statement'!AK8,"NM")</f>
        <v>1.4722486893523784E-2</v>
      </c>
      <c r="AL122" s="199">
        <f>IFERROR(AL23/'Income Statement'!AL8,"NM")</f>
        <v>3.8493913955813487E-3</v>
      </c>
      <c r="AM122" s="601">
        <f>IFERROR(AM23/'Income Statement'!AM8,"NM")</f>
        <v>1.8044761751302485E-2</v>
      </c>
      <c r="AN122" s="160">
        <f>IFERROR(AN23/'Income Statement'!AN8,"NM")</f>
        <v>1.9025857074595729E-2</v>
      </c>
      <c r="AO122" s="160">
        <f>IFERROR(AO23/'Income Statement'!AO8,"NM")</f>
        <v>1.9455840159943918E-2</v>
      </c>
      <c r="AP122" s="160">
        <f>IFERROR(AP23/'Income Statement'!AP8,"NM")</f>
        <v>3.5008370051905657E-2</v>
      </c>
      <c r="AQ122" s="199">
        <f>IFERROR(AQ23/'Income Statement'!AQ8,"NM")</f>
        <v>9.4389663320376942E-3</v>
      </c>
      <c r="AR122" s="601">
        <f>IFERROR(AR23/'Income Statement'!AR8,"NM")</f>
        <v>4.1378309054832307E-2</v>
      </c>
      <c r="AS122" s="160">
        <f>IFERROR(AS23/'Income Statement'!AS8,"NM")</f>
        <v>4.644599854604764E-2</v>
      </c>
      <c r="AT122" s="160">
        <f>IFERROR(AT23/'Income Statement'!AT8,"NM")</f>
        <v>3.280740061489032E-2</v>
      </c>
      <c r="AU122" s="160">
        <f>IFERROR(AU23/'Income Statement'!AU8,"NM")</f>
        <v>3.4465615211231537E-2</v>
      </c>
      <c r="AV122" s="199">
        <f>IFERROR(AV23/'Income Statement'!AV8,"NM")</f>
        <v>8.0943906231140707E-3</v>
      </c>
      <c r="AW122" s="601">
        <f>IFERROR(AW23/'Income Statement'!AW8,"NM")</f>
        <v>4.1710128910655758E-2</v>
      </c>
      <c r="AX122" s="160">
        <f>IFERROR(AX23/'Income Statement'!AX8,"NM")</f>
        <v>3.2447863730201469E-2</v>
      </c>
      <c r="AY122" s="160">
        <f>IFERROR(AY23/'Income Statement'!AY8,"NM")</f>
        <v>2.9150712641780107E-2</v>
      </c>
      <c r="AZ122" s="160">
        <f>IFERROR(AZ23/'Income Statement'!AZ8,"NM")</f>
        <v>4.7305932911924933E-2</v>
      </c>
      <c r="BA122" s="199">
        <f>IFERROR(BA23/'Income Statement'!BA8,"NM")</f>
        <v>1.2331711339461997E-2</v>
      </c>
      <c r="BB122" s="601">
        <f>IFERROR(BB23/'Income Statement'!BB8,"NM")</f>
        <v>3.4431453082044317E-2</v>
      </c>
      <c r="BC122" s="160">
        <f>IFERROR(BC23/'Income Statement'!BC8,"NM")</f>
        <v>3.1005388438907537E-2</v>
      </c>
      <c r="BD122" s="160">
        <f>IFERROR(BD23/'Income Statement'!BD8,"NM")</f>
        <v>2.954151689282665E-2</v>
      </c>
      <c r="BE122" s="1230">
        <v>3.4000000000000002E-2</v>
      </c>
      <c r="BF122" s="1231">
        <f>IFERROR(BF23/'Income Statement'!BF8,"NM")</f>
        <v>8.3591504383675463E-3</v>
      </c>
      <c r="BG122" s="1232">
        <v>3.9E-2</v>
      </c>
      <c r="BH122" s="1230">
        <v>3.4000000000000002E-2</v>
      </c>
      <c r="BI122" s="1230">
        <v>3.2500000000000001E-2</v>
      </c>
      <c r="BJ122" s="1230">
        <v>3.5999999999999997E-2</v>
      </c>
      <c r="BK122" s="1231">
        <f>IFERROR(BK23/'Income Statement'!BK8,"NM")</f>
        <v>9.0011480200326514E-3</v>
      </c>
      <c r="BL122" s="1232">
        <v>3.9E-2</v>
      </c>
      <c r="BM122" s="1230">
        <v>3.4000000000000002E-2</v>
      </c>
      <c r="BN122" s="1230">
        <v>3.2500000000000001E-2</v>
      </c>
      <c r="BO122" s="1230">
        <v>3.1E-2</v>
      </c>
      <c r="BP122" s="1231">
        <f>IFERROR(BP23/'Income Statement'!BP8,"NM")</f>
        <v>7.9273182722791897E-3</v>
      </c>
      <c r="BQ122" s="1232">
        <v>3.9E-2</v>
      </c>
      <c r="BR122" s="1230">
        <v>3.4000000000000002E-2</v>
      </c>
      <c r="BS122" s="1230">
        <v>3.2500000000000001E-2</v>
      </c>
      <c r="BT122" s="1230">
        <v>3.1E-2</v>
      </c>
      <c r="BU122" s="1231">
        <f>IFERROR(BU23/'Income Statement'!BU8,"NM")</f>
        <v>7.9038948963068428E-3</v>
      </c>
      <c r="BV122" s="1232">
        <v>3.9E-2</v>
      </c>
      <c r="BW122" s="1230">
        <v>3.4000000000000002E-2</v>
      </c>
      <c r="BX122" s="1230">
        <v>3.2500000000000001E-2</v>
      </c>
      <c r="BY122" s="1230">
        <v>3.1E-2</v>
      </c>
      <c r="BZ122" s="1231">
        <f>IFERROR(BZ23/'Income Statement'!BZ8,"NM")</f>
        <v>7.8388376769646367E-3</v>
      </c>
    </row>
    <row r="123" spans="1:80" ht="14.1" customHeight="1" x14ac:dyDescent="0.2">
      <c r="C123" s="565" t="str">
        <f>C39&amp;" / "&amp;'Income Statement'!$C$8</f>
        <v>Deferred income taxes / Revenue</v>
      </c>
      <c r="D123" s="160">
        <f>IFERROR((D39/'Income Statement'!D8),"NM")</f>
        <v>4.2302892497559988E-2</v>
      </c>
      <c r="E123" s="160">
        <f>IFERROR((E39/'Income Statement'!E8),"NM")</f>
        <v>5.2539863070933321E-2</v>
      </c>
      <c r="F123" s="160">
        <f>IFERROR((F39/'Income Statement'!F8),"NM")</f>
        <v>6.2435112089929405E-2</v>
      </c>
      <c r="G123" s="160">
        <f>IFERROR((G39/'Income Statement'!G8),"NM")</f>
        <v>6.5748592763473418E-2</v>
      </c>
      <c r="H123" s="160">
        <f>IFERROR((H39/'Income Statement'!H8),"NM")</f>
        <v>5.4238992897290339E-2</v>
      </c>
      <c r="I123" s="160">
        <f>IFERROR((I39/'Income Statement'!I8),"NM")</f>
        <v>5.2209177677962876E-2</v>
      </c>
      <c r="J123" s="586">
        <f>IFERROR((J39/'Income Statement'!J8),"NM")</f>
        <v>5.4084547515073231E-2</v>
      </c>
      <c r="K123" s="165">
        <f>IFERROR((K39/'Income Statement'!K8),"NM")</f>
        <v>4.7204614240193198E-2</v>
      </c>
      <c r="L123" s="165">
        <f>IFERROR((L39/'Income Statement'!L8),"NM")</f>
        <v>5.2256664894078451E-2</v>
      </c>
      <c r="M123" s="165">
        <f>IFERROR((M39/'Income Statement'!M8),"NM")</f>
        <v>5.3445468351817765E-2</v>
      </c>
      <c r="N123" s="165">
        <f>IFERROR((N39/'Income Statement'!N8),"NM")</f>
        <v>5.3287549462197749E-2</v>
      </c>
      <c r="O123" s="199">
        <f>IFERROR((O39/'Income Statement'!O8),"NM")</f>
        <v>5.2848937886632544E-2</v>
      </c>
      <c r="R123" s="210" t="str">
        <f t="shared" si="107"/>
        <v>Deferred income taxes / Revenue</v>
      </c>
      <c r="T123" s="160">
        <f>IFERROR((T39/'Income Statement'!T8),"NM")</f>
        <v>0.24311760107214653</v>
      </c>
      <c r="U123" s="160">
        <f>IFERROR((U39/'Income Statement'!U8),"NM")</f>
        <v>0.25728013894681512</v>
      </c>
      <c r="V123" s="160">
        <f>IFERROR((V39/'Income Statement'!V8),"NM")</f>
        <v>0.1591441679097782</v>
      </c>
      <c r="W123" s="160">
        <f>IFERROR((W39/'Income Statement'!W8),"NM")</f>
        <v>4.2302892497559988E-2</v>
      </c>
      <c r="X123" s="601">
        <f>IFERROR((X39/'Income Statement'!X8),"NM")</f>
        <v>0.15537225849976452</v>
      </c>
      <c r="Y123" s="160">
        <f>IFERROR((Y39/'Income Statement'!Y8),"NM")</f>
        <v>0.14792224513215713</v>
      </c>
      <c r="Z123" s="160">
        <f>IFERROR((Z39/'Income Statement'!Z8),"NM")</f>
        <v>0.15484230264920268</v>
      </c>
      <c r="AA123" s="160">
        <f>IFERROR((AA39/'Income Statement'!AA8),"NM")</f>
        <v>0.21362753534111875</v>
      </c>
      <c r="AB123" s="199">
        <f>IFERROR((AB39/'Income Statement'!AB8),"NM")</f>
        <v>5.2539863070933321E-2</v>
      </c>
      <c r="AC123" s="601">
        <f>IFERROR((AC39/'Income Statement'!AC8),"NM")</f>
        <v>0.22457767472673071</v>
      </c>
      <c r="AD123" s="160">
        <f>IFERROR((AD39/'Income Statement'!AD8),"NM")</f>
        <v>0.21595234761253354</v>
      </c>
      <c r="AE123" s="160">
        <f>IFERROR((AE39/'Income Statement'!AE8),"NM")</f>
        <v>0.23184706040423039</v>
      </c>
      <c r="AF123" s="160">
        <f>IFERROR((AF39/'Income Statement'!AF8),"NM")</f>
        <v>0.25178021283558855</v>
      </c>
      <c r="AG123" s="199">
        <f>IFERROR((AG39/'Income Statement'!AG8),"NM")</f>
        <v>6.2435112089929405E-2</v>
      </c>
      <c r="AH123" s="601">
        <f>IFERROR((AH39/'Income Statement'!AH8),"NM")</f>
        <v>0.26573714818233135</v>
      </c>
      <c r="AI123" s="160">
        <f>IFERROR((AI39/'Income Statement'!AI8),"NM")</f>
        <v>0.2849103354587505</v>
      </c>
      <c r="AJ123" s="160">
        <f>IFERROR((AJ39/'Income Statement'!AJ8),"NM")</f>
        <v>0.25377772792049424</v>
      </c>
      <c r="AK123" s="160">
        <f>IFERROR((AK39/'Income Statement'!AK8),"NM")</f>
        <v>0.25146385382868608</v>
      </c>
      <c r="AL123" s="199">
        <f>IFERROR((AL39/'Income Statement'!AL8),"NM")</f>
        <v>6.5748592763473418E-2</v>
      </c>
      <c r="AM123" s="601">
        <f>IFERROR((AM39/'Income Statement'!AM8),"NM")</f>
        <v>0.25025925788205938</v>
      </c>
      <c r="AN123" s="160">
        <f>IFERROR((AN39/'Income Statement'!AN8),"NM")</f>
        <v>0.21528600658460129</v>
      </c>
      <c r="AO123" s="160">
        <f>IFERROR((AO39/'Income Statement'!AO8),"NM")</f>
        <v>0.20269353603281967</v>
      </c>
      <c r="AP123" s="160">
        <f>IFERROR((AP39/'Income Statement'!AP8),"NM")</f>
        <v>0.20116808004135595</v>
      </c>
      <c r="AQ123" s="199">
        <f>IFERROR((AQ39/'Income Statement'!AQ8),"NM")</f>
        <v>5.4238992897290339E-2</v>
      </c>
      <c r="AR123" s="601">
        <f>IFERROR((AR39/'Income Statement'!AR8),"NM")</f>
        <v>0.18466885253835358</v>
      </c>
      <c r="AS123" s="160">
        <f>IFERROR((AS39/'Income Statement'!AS8),"NM")</f>
        <v>0.16528514366497934</v>
      </c>
      <c r="AT123" s="160">
        <f>IFERROR((AT39/'Income Statement'!AT8),"NM")</f>
        <v>0.17128108547468957</v>
      </c>
      <c r="AU123" s="160">
        <f>IFERROR((AU39/'Income Statement'!AU8),"NM")</f>
        <v>0.22230474313966514</v>
      </c>
      <c r="AV123" s="199">
        <f>IFERROR((AV39/'Income Statement'!AV8),"NM")</f>
        <v>5.2209177677962876E-2</v>
      </c>
      <c r="AW123" s="601">
        <f>IFERROR((AW39/'Income Statement'!AW8),"NM")</f>
        <v>0.22937315963574981</v>
      </c>
      <c r="AX123" s="160">
        <f>IFERROR((AX39/'Income Statement'!AX8),"NM")</f>
        <v>0.22824356268589249</v>
      </c>
      <c r="AY123" s="160">
        <f>IFERROR((AY39/'Income Statement'!AY8),"NM")</f>
        <v>0.21062796074019793</v>
      </c>
      <c r="AZ123" s="160">
        <f>IFERROR((AZ39/'Income Statement'!AZ8),"NM")</f>
        <v>0.20747485129111792</v>
      </c>
      <c r="BA123" s="199">
        <f>IFERROR((BA39/'Income Statement'!BA8),"NM")</f>
        <v>5.4084547515073231E-2</v>
      </c>
      <c r="BB123" s="601">
        <f>IFERROR((BB39/'Income Statement'!BB8),"NM")</f>
        <v>0.20883839554834224</v>
      </c>
      <c r="BC123" s="160">
        <f>IFERROR((BC39/'Income Statement'!BC8),"NM")</f>
        <v>0.19426196850508476</v>
      </c>
      <c r="BD123" s="160">
        <f>IFERROR((BD39/'Income Statement'!BD8),"NM")</f>
        <v>0.19221757908474379</v>
      </c>
      <c r="BE123" s="1230">
        <v>0.192</v>
      </c>
      <c r="BF123" s="1231">
        <f>IFERROR((BF39/'Income Statement'!BF8),"NM")</f>
        <v>4.7204614240193198E-2</v>
      </c>
      <c r="BG123" s="1232">
        <v>0.216</v>
      </c>
      <c r="BH123" s="1230">
        <v>0.20899999999999999</v>
      </c>
      <c r="BI123" s="1230">
        <v>0.20699999999999999</v>
      </c>
      <c r="BJ123" s="1230">
        <v>0.20899999999999999</v>
      </c>
      <c r="BK123" s="1231">
        <f>IFERROR((BK39/'Income Statement'!BK8),"NM")</f>
        <v>5.2256664894078451E-2</v>
      </c>
      <c r="BL123" s="1232">
        <v>0.216</v>
      </c>
      <c r="BM123" s="1230">
        <v>0.20899999999999999</v>
      </c>
      <c r="BN123" s="1230">
        <v>0.20699999999999999</v>
      </c>
      <c r="BO123" s="1230">
        <v>0.20899999999999999</v>
      </c>
      <c r="BP123" s="1231">
        <f>IFERROR((BP39/'Income Statement'!BP8),"NM")</f>
        <v>5.3445468351817765E-2</v>
      </c>
      <c r="BQ123" s="1232">
        <v>0.216</v>
      </c>
      <c r="BR123" s="1230">
        <v>0.20899999999999999</v>
      </c>
      <c r="BS123" s="1230">
        <v>0.20699999999999999</v>
      </c>
      <c r="BT123" s="1230">
        <v>0.20899999999999999</v>
      </c>
      <c r="BU123" s="1231">
        <f>IFERROR((BU39/'Income Statement'!BU8),"NM")</f>
        <v>5.3287549462197749E-2</v>
      </c>
      <c r="BV123" s="1232">
        <v>0.216</v>
      </c>
      <c r="BW123" s="1230">
        <v>0.20899999999999999</v>
      </c>
      <c r="BX123" s="1230">
        <v>0.20699999999999999</v>
      </c>
      <c r="BY123" s="1230">
        <v>0.20899999999999999</v>
      </c>
      <c r="BZ123" s="1231">
        <f>IFERROR((BZ39/'Income Statement'!BZ8),"NM")</f>
        <v>5.2848937886632544E-2</v>
      </c>
    </row>
    <row r="124" spans="1:80" ht="14.1" customHeight="1" x14ac:dyDescent="0.2">
      <c r="C124" s="565" t="str">
        <f>C40&amp;" / "&amp;'Income Statement'!$C$8</f>
        <v>Claims, insurance and other / Revenue</v>
      </c>
      <c r="D124" s="160">
        <f>IFERROR(D40/'Income Statement'!D8,"NM")</f>
        <v>2.8218776495814422E-2</v>
      </c>
      <c r="E124" s="160">
        <f>IFERROR(E40/'Income Statement'!E8,"NM")</f>
        <v>2.2310984860165591E-2</v>
      </c>
      <c r="F124" s="160">
        <f>IFERROR(F40/'Income Statement'!F8,"NM")</f>
        <v>2.4850915216862043E-2</v>
      </c>
      <c r="G124" s="160">
        <f>IFERROR(G40/'Income Statement'!G8,"NM")</f>
        <v>2.5354401914873301E-2</v>
      </c>
      <c r="H124" s="160">
        <f>IFERROR(H40/'Income Statement'!H8,"NM")</f>
        <v>2.6222263778977097E-2</v>
      </c>
      <c r="I124" s="160">
        <f>IFERROR(I40/'Income Statement'!I8,"NM")</f>
        <v>2.1648197010304591E-2</v>
      </c>
      <c r="J124" s="586">
        <f>IFERROR(J40/'Income Statement'!J8,"NM")</f>
        <v>2.1307800667237448E-2</v>
      </c>
      <c r="K124" s="165">
        <f>IFERROR(K40/'Income Statement'!K8,"NM")</f>
        <v>1.9176874535078485E-2</v>
      </c>
      <c r="L124" s="165">
        <f>IFERROR(L40/'Income Statement'!L8,"NM")</f>
        <v>2.4753157055089799E-2</v>
      </c>
      <c r="M124" s="165">
        <f>IFERROR(M40/'Income Statement'!M8,"NM")</f>
        <v>2.5316274482439997E-2</v>
      </c>
      <c r="N124" s="165">
        <f>IFERROR(N40/'Income Statement'!N8,"NM")</f>
        <v>2.5241470797883147E-2</v>
      </c>
      <c r="O124" s="199">
        <f>IFERROR(O40/'Income Statement'!O8,"NM")</f>
        <v>2.5033707419983838E-2</v>
      </c>
      <c r="R124" s="210" t="str">
        <f t="shared" si="107"/>
        <v>Claims, insurance and other / Revenue</v>
      </c>
      <c r="T124" s="160">
        <f>IFERROR(T40/'Income Statement'!T8,"NM")</f>
        <v>0.10848503462139825</v>
      </c>
      <c r="U124" s="160">
        <f>IFERROR(U40/'Income Statement'!U8,"NM")</f>
        <v>0.10638686861184589</v>
      </c>
      <c r="V124" s="160">
        <f>IFERROR(V40/'Income Statement'!V8,"NM")</f>
        <v>0.10615949500657486</v>
      </c>
      <c r="W124" s="160">
        <f>IFERROR(W40/'Income Statement'!W8,"NM")</f>
        <v>2.8218776495814422E-2</v>
      </c>
      <c r="X124" s="601">
        <f>IFERROR(X40/'Income Statement'!X8,"NM")</f>
        <v>0.10351955805043214</v>
      </c>
      <c r="Y124" s="160">
        <f>IFERROR(Y40/'Income Statement'!Y8,"NM")</f>
        <v>9.0562402619818433E-2</v>
      </c>
      <c r="Z124" s="160">
        <f>IFERROR(Z40/'Income Statement'!Z8,"NM")</f>
        <v>9.2677447704447288E-2</v>
      </c>
      <c r="AA124" s="160">
        <f>IFERROR(AA40/'Income Statement'!AA8,"NM")</f>
        <v>9.0716656422864222E-2</v>
      </c>
      <c r="AB124" s="199">
        <f>IFERROR(AB40/'Income Statement'!AB8,"NM")</f>
        <v>2.2310984860165591E-2</v>
      </c>
      <c r="AC124" s="601">
        <f>IFERROR(AC40/'Income Statement'!AC8,"NM")</f>
        <v>8.8980574011651686E-2</v>
      </c>
      <c r="AD124" s="160">
        <f>IFERROR(AD40/'Income Statement'!AD8,"NM")</f>
        <v>8.6825579767123739E-2</v>
      </c>
      <c r="AE124" s="160">
        <f>IFERROR(AE40/'Income Statement'!AE8,"NM")</f>
        <v>9.498369557103889E-2</v>
      </c>
      <c r="AF124" s="160">
        <f>IFERROR(AF40/'Income Statement'!AF8,"NM")</f>
        <v>0.10021554399467351</v>
      </c>
      <c r="AG124" s="199">
        <f>IFERROR(AG40/'Income Statement'!AG8,"NM")</f>
        <v>2.4850915216862043E-2</v>
      </c>
      <c r="AH124" s="601">
        <f>IFERROR(AH40/'Income Statement'!AH8,"NM")</f>
        <v>0.10017338865043593</v>
      </c>
      <c r="AI124" s="160">
        <f>IFERROR(AI40/'Income Statement'!AI8,"NM")</f>
        <v>0.11915649798858685</v>
      </c>
      <c r="AJ124" s="160">
        <f>IFERROR(AJ40/'Income Statement'!AJ8,"NM")</f>
        <v>0.10324820202171284</v>
      </c>
      <c r="AK124" s="160">
        <f>IFERROR(AK40/'Income Statement'!AK8,"NM")</f>
        <v>9.6971134271598924E-2</v>
      </c>
      <c r="AL124" s="199">
        <f>IFERROR(AL40/'Income Statement'!AL8,"NM")</f>
        <v>2.5354401914873301E-2</v>
      </c>
      <c r="AM124" s="601">
        <f>IFERROR(AM40/'Income Statement'!AM8,"NM")</f>
        <v>9.5516387990265947E-2</v>
      </c>
      <c r="AN124" s="160">
        <f>IFERROR(AN40/'Income Statement'!AN8,"NM")</f>
        <v>8.5337272658852201E-2</v>
      </c>
      <c r="AO124" s="160">
        <f>IFERROR(AO40/'Income Statement'!AO8,"NM")</f>
        <v>9.5914419619094596E-2</v>
      </c>
      <c r="AP124" s="160">
        <f>IFERROR(AP40/'Income Statement'!AP8,"NM")</f>
        <v>9.7256275918396431E-2</v>
      </c>
      <c r="AQ124" s="199">
        <f>IFERROR(AQ40/'Income Statement'!AQ8,"NM")</f>
        <v>2.6222263778977097E-2</v>
      </c>
      <c r="AR124" s="601">
        <f>IFERROR(AR40/'Income Statement'!AR8,"NM")</f>
        <v>0.1044499830615109</v>
      </c>
      <c r="AS124" s="160">
        <f>IFERROR(AS40/'Income Statement'!AS8,"NM")</f>
        <v>0.10037234056822175</v>
      </c>
      <c r="AT124" s="160">
        <f>IFERROR(AT40/'Income Statement'!AT8,"NM")</f>
        <v>8.7845978609053937E-2</v>
      </c>
      <c r="AU124" s="160">
        <f>IFERROR(AU40/'Income Statement'!AU8,"NM")</f>
        <v>9.2177220363383536E-2</v>
      </c>
      <c r="AV124" s="199">
        <f>IFERROR(AV40/'Income Statement'!AV8,"NM")</f>
        <v>2.1648197010304591E-2</v>
      </c>
      <c r="AW124" s="601">
        <f>IFERROR(AW40/'Income Statement'!AW8,"NM")</f>
        <v>9.7069799480723959E-2</v>
      </c>
      <c r="AX124" s="160">
        <f>IFERROR(AX40/'Income Statement'!AX8,"NM")</f>
        <v>9.6266746518250221E-2</v>
      </c>
      <c r="AY124" s="160">
        <f>IFERROR(AY40/'Income Statement'!AY8,"NM")</f>
        <v>8.0694683826489005E-2</v>
      </c>
      <c r="AZ124" s="160">
        <f>IFERROR(AZ40/'Income Statement'!AZ8,"NM")</f>
        <v>8.173929482434511E-2</v>
      </c>
      <c r="BA124" s="199">
        <f>IFERROR(BA40/'Income Statement'!BA8,"NM")</f>
        <v>2.1307800667237448E-2</v>
      </c>
      <c r="BB124" s="601">
        <f>IFERROR(BB40/'Income Statement'!BB8,"NM")</f>
        <v>8.8284588122288107E-2</v>
      </c>
      <c r="BC124" s="160">
        <f>IFERROR(BC40/'Income Statement'!BC8,"NM")</f>
        <v>8.1027010218112733E-2</v>
      </c>
      <c r="BD124" s="160">
        <f>IFERROR(BD40/'Income Statement'!BD8,"NM")</f>
        <v>7.7866959267453045E-2</v>
      </c>
      <c r="BE124" s="1230">
        <v>7.8E-2</v>
      </c>
      <c r="BF124" s="1231">
        <f>IFERROR(BF40/'Income Statement'!BF8,"NM")</f>
        <v>1.9176874535078485E-2</v>
      </c>
      <c r="BG124" s="1232">
        <v>9.8299999999999998E-2</v>
      </c>
      <c r="BH124" s="1230">
        <v>9.7000000000000003E-2</v>
      </c>
      <c r="BI124" s="1230">
        <v>9.4E-2</v>
      </c>
      <c r="BJ124" s="1230">
        <v>9.9000000000000005E-2</v>
      </c>
      <c r="BK124" s="1231">
        <f>IFERROR(BK40/'Income Statement'!BK8,"NM")</f>
        <v>2.4753157055089799E-2</v>
      </c>
      <c r="BL124" s="1232">
        <v>9.8299999999999998E-2</v>
      </c>
      <c r="BM124" s="1230">
        <v>9.7000000000000003E-2</v>
      </c>
      <c r="BN124" s="1230">
        <v>9.4E-2</v>
      </c>
      <c r="BO124" s="1230">
        <v>9.9000000000000005E-2</v>
      </c>
      <c r="BP124" s="1231">
        <f>IFERROR(BP40/'Income Statement'!BP8,"NM")</f>
        <v>2.5316274482439997E-2</v>
      </c>
      <c r="BQ124" s="1232">
        <v>9.8299999999999998E-2</v>
      </c>
      <c r="BR124" s="1230">
        <v>9.7000000000000003E-2</v>
      </c>
      <c r="BS124" s="1230">
        <v>9.4E-2</v>
      </c>
      <c r="BT124" s="1230">
        <v>9.9000000000000005E-2</v>
      </c>
      <c r="BU124" s="1231">
        <f>IFERROR(BU40/'Income Statement'!BU8,"NM")</f>
        <v>2.5241470797883147E-2</v>
      </c>
      <c r="BV124" s="1232">
        <v>9.8299999999999998E-2</v>
      </c>
      <c r="BW124" s="1230">
        <v>9.7000000000000003E-2</v>
      </c>
      <c r="BX124" s="1230">
        <v>9.4E-2</v>
      </c>
      <c r="BY124" s="1230">
        <v>9.9000000000000005E-2</v>
      </c>
      <c r="BZ124" s="1231">
        <f>IFERROR(BZ40/'Income Statement'!BZ8,"NM")</f>
        <v>2.5033707419983838E-2</v>
      </c>
    </row>
    <row r="125" spans="1:80" ht="14.1" customHeight="1" x14ac:dyDescent="0.2">
      <c r="C125" s="565"/>
      <c r="J125" s="570"/>
      <c r="O125" s="551"/>
      <c r="R125" s="210"/>
      <c r="X125" s="559"/>
      <c r="AB125" s="551"/>
      <c r="AC125" s="559"/>
      <c r="AG125" s="551"/>
      <c r="AH125" s="559"/>
      <c r="AL125" s="551"/>
      <c r="AM125" s="559"/>
      <c r="AQ125" s="551"/>
      <c r="AR125" s="559"/>
      <c r="AV125" s="551"/>
      <c r="AW125" s="559"/>
      <c r="BA125" s="551"/>
      <c r="BB125" s="559"/>
      <c r="BF125" s="551"/>
      <c r="BG125" s="559"/>
      <c r="BK125" s="551"/>
      <c r="BL125" s="559"/>
      <c r="BP125" s="551"/>
      <c r="BQ125" s="559"/>
      <c r="BU125" s="551"/>
      <c r="BV125" s="559"/>
      <c r="BZ125" s="551"/>
    </row>
    <row r="126" spans="1:80" ht="14.1" customHeight="1" x14ac:dyDescent="0.2">
      <c r="C126" s="565" t="str">
        <f>"Change In "&amp;C10</f>
        <v>Change In Cash and cash equivalents</v>
      </c>
      <c r="J126" s="570"/>
      <c r="O126" s="551"/>
      <c r="R126" s="210" t="str">
        <f t="shared" si="107"/>
        <v>Change In Cash and cash equivalents</v>
      </c>
      <c r="X126" s="559"/>
      <c r="AB126" s="551"/>
      <c r="AC126" s="559"/>
      <c r="AG126" s="551"/>
      <c r="AH126" s="559"/>
      <c r="AL126" s="551"/>
      <c r="AM126" s="559"/>
      <c r="AQ126" s="551"/>
      <c r="AR126" s="559"/>
      <c r="AV126" s="551"/>
      <c r="AW126" s="559"/>
      <c r="BA126" s="551"/>
      <c r="BB126" s="559"/>
      <c r="BF126" s="551"/>
      <c r="BG126" s="559"/>
      <c r="BK126" s="551"/>
      <c r="BL126" s="559"/>
      <c r="BP126" s="551"/>
      <c r="BQ126" s="559"/>
      <c r="BU126" s="551"/>
      <c r="BV126" s="559"/>
      <c r="BZ126" s="551"/>
    </row>
    <row r="127" spans="1:80" ht="14.1" customHeight="1" x14ac:dyDescent="0.2">
      <c r="C127" s="566" t="s">
        <v>173</v>
      </c>
      <c r="J127" s="570"/>
      <c r="O127" s="551"/>
      <c r="R127" s="553" t="str">
        <f>C127</f>
        <v>Issuance / (Repayment) Debt:</v>
      </c>
      <c r="X127" s="559"/>
      <c r="AB127" s="551"/>
      <c r="AC127" s="559"/>
      <c r="AG127" s="551"/>
      <c r="AH127" s="559"/>
      <c r="AL127" s="551"/>
      <c r="AM127" s="559"/>
      <c r="AQ127" s="551"/>
      <c r="AR127" s="559"/>
      <c r="AV127" s="551"/>
      <c r="AW127" s="559"/>
      <c r="BA127" s="551"/>
      <c r="BB127" s="559"/>
      <c r="BF127" s="551"/>
      <c r="BG127" s="559"/>
      <c r="BK127" s="551"/>
      <c r="BL127" s="559"/>
      <c r="BP127" s="551"/>
      <c r="BQ127" s="559"/>
      <c r="BU127" s="551"/>
      <c r="BV127" s="559"/>
      <c r="BZ127" s="551"/>
    </row>
    <row r="128" spans="1:80" ht="14.1" customHeight="1" x14ac:dyDescent="0.2">
      <c r="C128" s="565" t="str">
        <f>"Change in "&amp;C21</f>
        <v>Change in Operating Lease Right-of-Use Assets</v>
      </c>
      <c r="E128" s="116">
        <f t="shared" ref="E128:J128" si="126">IFERROR(E21-D21,"NM")</f>
        <v>0</v>
      </c>
      <c r="F128" s="116">
        <f t="shared" si="126"/>
        <v>103.89</v>
      </c>
      <c r="G128" s="116">
        <f t="shared" si="126"/>
        <v>9.8250000000000028</v>
      </c>
      <c r="H128" s="116">
        <f t="shared" si="126"/>
        <v>-5.9339999999999975</v>
      </c>
      <c r="I128" s="116">
        <f t="shared" si="126"/>
        <v>12.673999999999992</v>
      </c>
      <c r="J128" s="570">
        <f t="shared" si="126"/>
        <v>-1.7210000000000036</v>
      </c>
      <c r="K128" s="116">
        <f>IFERROR(K21-J21,"NM")</f>
        <v>-5.1206194715993689</v>
      </c>
      <c r="L128" s="116">
        <f>IFERROR(L21-K21,"NM")</f>
        <v>14.651934457629579</v>
      </c>
      <c r="M128" s="116">
        <f>IFERROR(M21-L21,"NM")</f>
        <v>22.384711020470462</v>
      </c>
      <c r="N128" s="116">
        <f>IFERROR(N21-M21,"NM")</f>
        <v>12.876829050908754</v>
      </c>
      <c r="O128" s="551">
        <f>IFERROR(O21-N21,"NM")</f>
        <v>11.553008782950911</v>
      </c>
      <c r="R128" s="210" t="str">
        <f t="shared" si="107"/>
        <v>Change in Operating Lease Right-of-Use Assets</v>
      </c>
      <c r="T128" s="116">
        <f>IFERROR(T21-S21,"NM")</f>
        <v>0</v>
      </c>
      <c r="U128" s="116">
        <f>IFERROR(U21-T21,"NM")</f>
        <v>0</v>
      </c>
      <c r="V128" s="116">
        <f>IFERROR(V21-U21,"NM")</f>
        <v>0</v>
      </c>
      <c r="X128" s="559">
        <f>IFERROR(X21-W21,"NM")</f>
        <v>0</v>
      </c>
      <c r="Y128" s="116">
        <f>IFERROR(Y21-X21,"NM")</f>
        <v>0</v>
      </c>
      <c r="Z128" s="116">
        <f>IFERROR(Z21-Y21,"NM")</f>
        <v>0</v>
      </c>
      <c r="AA128" s="116">
        <f>IFERROR(AA21-Z21,"NM")</f>
        <v>0</v>
      </c>
      <c r="AB128" s="551">
        <f>IFERROR(-W21+AB21,"NM")</f>
        <v>0</v>
      </c>
      <c r="AC128" s="559">
        <f>IFERROR(AC21-AB21,"NM")</f>
        <v>72.459999999999994</v>
      </c>
      <c r="AD128" s="116">
        <f>IFERROR(AD21-AC21,"NM")</f>
        <v>-0.69499999999999318</v>
      </c>
      <c r="AE128" s="116">
        <f>IFERROR(AE21-AD21,"NM")</f>
        <v>31.885000000000005</v>
      </c>
      <c r="AF128" s="116">
        <f>IFERROR(AF21-AE21,"NM")</f>
        <v>0.23999999999999488</v>
      </c>
      <c r="AG128" s="551">
        <f>IFERROR(-AB21+AG21,"NM")</f>
        <v>103.89</v>
      </c>
      <c r="AH128" s="559">
        <f>IFERROR(AH21-AG21,"NM")</f>
        <v>18.762</v>
      </c>
      <c r="AI128" s="116">
        <f>IFERROR(AI21-AH21,"NM")</f>
        <v>-0.25100000000000477</v>
      </c>
      <c r="AJ128" s="116">
        <f>IFERROR(AJ21-AI21,"NM")</f>
        <v>-4.9140000000000015</v>
      </c>
      <c r="AK128" s="116">
        <f>IFERROR(AK21-AJ21,"NM")</f>
        <v>-3.7719999999999914</v>
      </c>
      <c r="AL128" s="551">
        <f>IFERROR(-AG21+AL21,"NM")</f>
        <v>9.8250000000000028</v>
      </c>
      <c r="AM128" s="559">
        <f>IFERROR(AM21-AL21,"NM")</f>
        <v>-1.9780000000000086</v>
      </c>
      <c r="AN128" s="116">
        <f>IFERROR(AN21-AM21,"NM")</f>
        <v>-5.7719999999999914</v>
      </c>
      <c r="AO128" s="116">
        <f>IFERROR(AO21-AN21,"NM")</f>
        <v>-0.97599999999999909</v>
      </c>
      <c r="AP128" s="116">
        <f>IFERROR(AP21-AO21,"NM")</f>
        <v>2.7920000000000016</v>
      </c>
      <c r="AQ128" s="551">
        <f>IFERROR(-AL21+AQ21,"NM")</f>
        <v>-5.9339999999999975</v>
      </c>
      <c r="AR128" s="559">
        <f>IFERROR(AR21-AQ21,"NM")</f>
        <v>-3.88900000000001</v>
      </c>
      <c r="AS128" s="116">
        <f>IFERROR(AS21-AR21,"NM")</f>
        <v>1.4840000000000089</v>
      </c>
      <c r="AT128" s="116">
        <f>IFERROR(AT21-AS21,"NM")</f>
        <v>2.0799999999999983</v>
      </c>
      <c r="AU128" s="116">
        <f>IFERROR(AU21-AT21,"NM")</f>
        <v>12.998999999999995</v>
      </c>
      <c r="AV128" s="551">
        <f>IFERROR(-AQ21+AV21,"NM")</f>
        <v>12.673999999999992</v>
      </c>
      <c r="AW128" s="559">
        <f>IFERROR(AW21-AV21,"NM")</f>
        <v>-4.9710000000000036</v>
      </c>
      <c r="AX128" s="116">
        <f>IFERROR(AX21-AW21,"NM")</f>
        <v>-5.0559999999999974</v>
      </c>
      <c r="AY128" s="116">
        <f>IFERROR(AY21-AX21,"NM")</f>
        <v>15.694000000000003</v>
      </c>
      <c r="AZ128" s="116">
        <f>IFERROR(AZ21-AY21,"NM")</f>
        <v>-7.3880000000000052</v>
      </c>
      <c r="BA128" s="551">
        <f>IFERROR(-AV21+BA21,"NM")</f>
        <v>-1.7210000000000036</v>
      </c>
      <c r="BB128" s="559">
        <f>IFERROR(BB21-BA21,"NM")</f>
        <v>10.786000000000016</v>
      </c>
      <c r="BC128" s="116">
        <f>IFERROR(BC21-BB21,"NM")</f>
        <v>-2.0790000000000077</v>
      </c>
      <c r="BD128" s="116">
        <f>IFERROR(BD21-BC21,"NM")</f>
        <v>-6.105000000000004</v>
      </c>
      <c r="BE128" s="1216">
        <f>IFERROR(BE21-BD21,"NM")</f>
        <v>-7.7226194715993728</v>
      </c>
      <c r="BF128" s="1214">
        <f>IFERROR(-BA21+BF21,"NM")</f>
        <v>-5.1206194715993689</v>
      </c>
      <c r="BG128" s="1215">
        <f>IFERROR(BG21-BF21,"NM")</f>
        <v>29.054387736795405</v>
      </c>
      <c r="BH128" s="1216">
        <f>IFERROR(BH21-BG21,"NM")</f>
        <v>-0.27849623493511899</v>
      </c>
      <c r="BI128" s="1216">
        <f>IFERROR(BI21-BH21,"NM")</f>
        <v>-9.7516175226386679</v>
      </c>
      <c r="BJ128" s="1216">
        <f>IFERROR(BJ21-BI21,"NM")</f>
        <v>-4.3723395215920391</v>
      </c>
      <c r="BK128" s="1214">
        <f>IFERROR(-BF21+BK21,"NM")</f>
        <v>14.651934457629579</v>
      </c>
      <c r="BL128" s="1215">
        <f>IFERROR(BL21-BK21,"NM")</f>
        <v>33.441298606189662</v>
      </c>
      <c r="BM128" s="1216">
        <f>IFERROR(BM21-BL21,"NM")</f>
        <v>0.43592630462291027</v>
      </c>
      <c r="BN128" s="1216">
        <f>IFERROR(BN21-BM21,"NM")</f>
        <v>-10.103880165279378</v>
      </c>
      <c r="BO128" s="1216">
        <f>IFERROR(BO21-BN21,"NM")</f>
        <v>-1.3886337250627321</v>
      </c>
      <c r="BP128" s="1214">
        <f>IFERROR(-BK21+BP21,"NM")</f>
        <v>22.384711020470462</v>
      </c>
      <c r="BQ128" s="1215">
        <f>IFERROR(BQ21-BP21,"NM")</f>
        <v>24.815964010493076</v>
      </c>
      <c r="BR128" s="1216">
        <f>IFERROR(BR21-BQ21,"NM")</f>
        <v>1.1430402463280984</v>
      </c>
      <c r="BS128" s="1216">
        <f>IFERROR(BS21-BR21,"NM")</f>
        <v>-10.191402470068454</v>
      </c>
      <c r="BT128" s="1216">
        <f>IFERROR(BT21-BS21,"NM")</f>
        <v>-2.8907727358439672</v>
      </c>
      <c r="BU128" s="1214">
        <f>IFERROR(-BP21+BU21,"NM")</f>
        <v>12.876829050908754</v>
      </c>
      <c r="BV128" s="1215">
        <f>IFERROR(BV21-BU21,"NM")</f>
        <v>25.710162067692011</v>
      </c>
      <c r="BW128" s="1216">
        <f>IFERROR(BW21-BV21,"NM")</f>
        <v>2.5163081269123211</v>
      </c>
      <c r="BX128" s="1216">
        <f>IFERROR(BX21-BW21,"NM")</f>
        <v>-11.512550041369366</v>
      </c>
      <c r="BY128" s="1216">
        <f>IFERROR(BY21-BX21,"NM")</f>
        <v>-5.1609113702840546</v>
      </c>
      <c r="BZ128" s="1214">
        <f>IFERROR(-BU21+BZ21,"NM")</f>
        <v>11.553008782950911</v>
      </c>
    </row>
    <row r="129" spans="3:78" ht="14.1" customHeight="1" x14ac:dyDescent="0.2">
      <c r="C129" s="566" t="s">
        <v>171</v>
      </c>
      <c r="J129" s="570"/>
      <c r="O129" s="551"/>
      <c r="R129" s="553" t="str">
        <f t="shared" si="107"/>
        <v>Change in Debt:</v>
      </c>
      <c r="X129" s="559"/>
      <c r="AB129" s="551"/>
      <c r="AC129" s="559"/>
      <c r="AG129" s="551"/>
      <c r="AH129" s="559"/>
      <c r="AL129" s="551"/>
      <c r="AM129" s="559"/>
      <c r="AQ129" s="551"/>
      <c r="AR129" s="559"/>
      <c r="AV129" s="551"/>
      <c r="AW129" s="559"/>
      <c r="BA129" s="551"/>
      <c r="BB129" s="559"/>
      <c r="BE129" s="1216"/>
      <c r="BF129" s="1214"/>
      <c r="BG129" s="1215"/>
      <c r="BH129" s="1216"/>
      <c r="BI129" s="1216"/>
      <c r="BJ129" s="1216"/>
      <c r="BK129" s="1214"/>
      <c r="BL129" s="1215"/>
      <c r="BM129" s="1216"/>
      <c r="BN129" s="1216"/>
      <c r="BO129" s="1216"/>
      <c r="BP129" s="1214"/>
      <c r="BQ129" s="1215"/>
      <c r="BR129" s="1216"/>
      <c r="BS129" s="1216"/>
      <c r="BT129" s="1216"/>
      <c r="BU129" s="1214"/>
      <c r="BV129" s="1215"/>
      <c r="BW129" s="1216"/>
      <c r="BX129" s="1216"/>
      <c r="BY129" s="1216"/>
      <c r="BZ129" s="1214"/>
    </row>
    <row r="130" spans="3:78" ht="14.1" customHeight="1" x14ac:dyDescent="0.2">
      <c r="C130" s="565" t="str">
        <f>"Change in "&amp;C28</f>
        <v>Change in Short-Term Debt</v>
      </c>
      <c r="E130" s="116">
        <f t="shared" ref="E130:J132" si="127">IFERROR(E28-D28,"NM")</f>
        <v>0</v>
      </c>
      <c r="F130" s="116">
        <f t="shared" si="127"/>
        <v>0</v>
      </c>
      <c r="G130" s="116">
        <f t="shared" si="127"/>
        <v>0</v>
      </c>
      <c r="H130" s="116">
        <f t="shared" si="127"/>
        <v>0</v>
      </c>
      <c r="I130" s="116">
        <f t="shared" si="127"/>
        <v>0</v>
      </c>
      <c r="J130" s="570">
        <f t="shared" si="127"/>
        <v>0</v>
      </c>
      <c r="K130" s="116">
        <f t="shared" ref="K130:O132" si="128">IFERROR(K28-J28,"NM")</f>
        <v>0</v>
      </c>
      <c r="L130" s="116">
        <f t="shared" si="128"/>
        <v>0</v>
      </c>
      <c r="M130" s="116">
        <f t="shared" si="128"/>
        <v>0</v>
      </c>
      <c r="N130" s="116">
        <f t="shared" si="128"/>
        <v>0</v>
      </c>
      <c r="O130" s="551">
        <f t="shared" si="128"/>
        <v>0</v>
      </c>
      <c r="R130" s="210" t="str">
        <f t="shared" si="107"/>
        <v>Change in Short-Term Debt</v>
      </c>
      <c r="T130" s="116">
        <f t="shared" ref="T130:V132" si="129">IFERROR(T28-S28,"NM")</f>
        <v>0</v>
      </c>
      <c r="U130" s="116">
        <f t="shared" si="129"/>
        <v>0</v>
      </c>
      <c r="V130" s="116">
        <f t="shared" si="129"/>
        <v>0</v>
      </c>
      <c r="X130" s="559">
        <f t="shared" ref="X130:AA132" si="130">IFERROR(X28-W28,"NM")</f>
        <v>0</v>
      </c>
      <c r="Y130" s="116">
        <f t="shared" si="130"/>
        <v>0</v>
      </c>
      <c r="Z130" s="116">
        <f t="shared" si="130"/>
        <v>0</v>
      </c>
      <c r="AA130" s="116">
        <f t="shared" si="130"/>
        <v>0</v>
      </c>
      <c r="AB130" s="551">
        <f>IFERROR(-W28+AB28,"NM")</f>
        <v>0</v>
      </c>
      <c r="AC130" s="559">
        <f t="shared" ref="AC130:AF132" si="131">IFERROR(AC28-AB28,"NM")</f>
        <v>0</v>
      </c>
      <c r="AD130" s="116">
        <f t="shared" si="131"/>
        <v>0</v>
      </c>
      <c r="AE130" s="116">
        <f t="shared" si="131"/>
        <v>0</v>
      </c>
      <c r="AF130" s="116">
        <f t="shared" si="131"/>
        <v>0</v>
      </c>
      <c r="AG130" s="551">
        <f>IFERROR(-AB28+AG28,"NM")</f>
        <v>0</v>
      </c>
      <c r="AH130" s="559">
        <f t="shared" ref="AH130:AK132" si="132">IFERROR(AH28-AG28,"NM")</f>
        <v>0</v>
      </c>
      <c r="AI130" s="116">
        <f t="shared" si="132"/>
        <v>0</v>
      </c>
      <c r="AJ130" s="116">
        <f t="shared" si="132"/>
        <v>0</v>
      </c>
      <c r="AK130" s="116">
        <f t="shared" si="132"/>
        <v>0</v>
      </c>
      <c r="AL130" s="551">
        <f>IFERROR(-AG28+AL28,"NM")</f>
        <v>0</v>
      </c>
      <c r="AM130" s="559">
        <f t="shared" ref="AM130:AP132" si="133">IFERROR(AM28-AL28,"NM")</f>
        <v>0</v>
      </c>
      <c r="AN130" s="116">
        <f t="shared" si="133"/>
        <v>0</v>
      </c>
      <c r="AO130" s="116">
        <f t="shared" si="133"/>
        <v>0</v>
      </c>
      <c r="AP130" s="116">
        <f t="shared" si="133"/>
        <v>0</v>
      </c>
      <c r="AQ130" s="551">
        <f>IFERROR(-AL28+AQ28,"NM")</f>
        <v>0</v>
      </c>
      <c r="AR130" s="559">
        <f t="shared" ref="AR130:AU132" si="134">IFERROR(AR28-AQ28,"NM")</f>
        <v>0</v>
      </c>
      <c r="AS130" s="116">
        <f t="shared" si="134"/>
        <v>0</v>
      </c>
      <c r="AT130" s="116">
        <f t="shared" si="134"/>
        <v>0</v>
      </c>
      <c r="AU130" s="116">
        <f t="shared" si="134"/>
        <v>0</v>
      </c>
      <c r="AV130" s="551">
        <f>IFERROR(-AQ28+AV28,"NM")</f>
        <v>0</v>
      </c>
      <c r="AW130" s="559">
        <f t="shared" ref="AW130:BB130" si="135">IFERROR(AW28-AV28,"NM")</f>
        <v>0</v>
      </c>
      <c r="AX130" s="116">
        <f t="shared" si="135"/>
        <v>0</v>
      </c>
      <c r="AY130" s="116">
        <f t="shared" si="135"/>
        <v>0</v>
      </c>
      <c r="AZ130" s="116">
        <f t="shared" si="135"/>
        <v>0</v>
      </c>
      <c r="BA130" s="551">
        <f>IFERROR(-AV28+BA28,"NM")</f>
        <v>0</v>
      </c>
      <c r="BB130" s="116">
        <f t="shared" si="135"/>
        <v>0</v>
      </c>
      <c r="BC130" s="116">
        <f>IFERROR(BC28-BB28,"NM")</f>
        <v>0</v>
      </c>
      <c r="BD130" s="116">
        <f>IFERROR(BD28-BC28,"NM")</f>
        <v>0</v>
      </c>
      <c r="BE130" s="1216">
        <f>IFERROR(BE28-BD28,"NM")</f>
        <v>0</v>
      </c>
      <c r="BF130" s="1214">
        <f>IFERROR(-BA28+BF28,"NM")</f>
        <v>0</v>
      </c>
      <c r="BG130" s="1216">
        <f>IFERROR(BG28-BF28,"NM")</f>
        <v>0</v>
      </c>
      <c r="BH130" s="1216">
        <f>IFERROR(BH28-BG28,"NM")</f>
        <v>0</v>
      </c>
      <c r="BI130" s="1216">
        <f>IFERROR(BI28-BH28,"NM")</f>
        <v>0</v>
      </c>
      <c r="BJ130" s="1216">
        <f>IFERROR(BJ28-BI28,"NM")</f>
        <v>0</v>
      </c>
      <c r="BK130" s="1214">
        <f>IFERROR(-BF28+BK28,"NM")</f>
        <v>0</v>
      </c>
      <c r="BL130" s="1216">
        <f>IFERROR(BL28-BK28,"NM")</f>
        <v>0</v>
      </c>
      <c r="BM130" s="1216">
        <f>IFERROR(BM28-BL28,"NM")</f>
        <v>0</v>
      </c>
      <c r="BN130" s="1216">
        <f>IFERROR(BN28-BM28,"NM")</f>
        <v>0</v>
      </c>
      <c r="BO130" s="1216">
        <f>IFERROR(BO28-BN28,"NM")</f>
        <v>0</v>
      </c>
      <c r="BP130" s="1214">
        <f>IFERROR(-BK28+BP28,"NM")</f>
        <v>0</v>
      </c>
      <c r="BQ130" s="1216">
        <f>IFERROR(BQ28-BP28,"NM")</f>
        <v>0</v>
      </c>
      <c r="BR130" s="1216">
        <f>IFERROR(BR28-BQ28,"NM")</f>
        <v>0</v>
      </c>
      <c r="BS130" s="1216">
        <f>IFERROR(BS28-BR28,"NM")</f>
        <v>0</v>
      </c>
      <c r="BT130" s="1216">
        <f>IFERROR(BT28-BS28,"NM")</f>
        <v>0</v>
      </c>
      <c r="BU130" s="1214">
        <f>IFERROR(-BP28+BU28,"NM")</f>
        <v>0</v>
      </c>
      <c r="BV130" s="1216">
        <f>IFERROR(BV28-BU28,"NM")</f>
        <v>0</v>
      </c>
      <c r="BW130" s="1216">
        <f>IFERROR(BW28-BV28,"NM")</f>
        <v>0</v>
      </c>
      <c r="BX130" s="1216">
        <f>IFERROR(BX28-BW28,"NM")</f>
        <v>0</v>
      </c>
      <c r="BY130" s="1216">
        <f>IFERROR(BY28-BX28,"NM")</f>
        <v>0</v>
      </c>
      <c r="BZ130" s="1214">
        <f>IFERROR(-BU28+BZ28,"NM")</f>
        <v>0</v>
      </c>
    </row>
    <row r="131" spans="3:78" ht="14.1" customHeight="1" x14ac:dyDescent="0.2">
      <c r="C131" s="565" t="str">
        <f>"Change in "&amp;C29</f>
        <v>Change in Current portion of long-term debt</v>
      </c>
      <c r="E131" s="116">
        <f t="shared" si="127"/>
        <v>3.9990000000000006</v>
      </c>
      <c r="F131" s="116">
        <f t="shared" si="127"/>
        <v>1.3231000000000002</v>
      </c>
      <c r="G131" s="116">
        <f t="shared" si="127"/>
        <v>1.1829000000000001</v>
      </c>
      <c r="H131" s="116">
        <f t="shared" si="127"/>
        <v>-1.1920000000000002</v>
      </c>
      <c r="I131" s="116">
        <f t="shared" si="127"/>
        <v>-4.8770000000000007</v>
      </c>
      <c r="J131" s="570">
        <f t="shared" si="127"/>
        <v>-4.3460000000000001</v>
      </c>
      <c r="K131" s="116">
        <f t="shared" si="128"/>
        <v>-3.4119999999999999</v>
      </c>
      <c r="L131" s="116">
        <f t="shared" si="128"/>
        <v>0</v>
      </c>
      <c r="M131" s="116">
        <f t="shared" si="128"/>
        <v>0</v>
      </c>
      <c r="N131" s="116">
        <f t="shared" si="128"/>
        <v>0</v>
      </c>
      <c r="O131" s="551">
        <f t="shared" si="128"/>
        <v>0</v>
      </c>
      <c r="R131" s="210" t="str">
        <f t="shared" si="107"/>
        <v>Change in Current portion of long-term debt</v>
      </c>
      <c r="T131" s="116">
        <f t="shared" si="129"/>
        <v>16.669</v>
      </c>
      <c r="U131" s="116">
        <f t="shared" si="129"/>
        <v>0.40299999999999869</v>
      </c>
      <c r="V131" s="116">
        <f t="shared" si="129"/>
        <v>-2.988999999999999</v>
      </c>
      <c r="X131" s="559">
        <f t="shared" si="130"/>
        <v>0.70800000000000018</v>
      </c>
      <c r="Y131" s="116">
        <f t="shared" si="130"/>
        <v>2.0479999999999983</v>
      </c>
      <c r="Z131" s="116">
        <f t="shared" si="130"/>
        <v>0.78300000000000125</v>
      </c>
      <c r="AA131" s="116">
        <f t="shared" si="130"/>
        <v>0.46000000000000085</v>
      </c>
      <c r="AB131" s="551">
        <f>IFERROR(-W29+AB29,"NM")</f>
        <v>3.9990000000000006</v>
      </c>
      <c r="AC131" s="559">
        <f t="shared" si="131"/>
        <v>-0.16799999999999926</v>
      </c>
      <c r="AD131" s="116">
        <f t="shared" si="131"/>
        <v>1.0449999999999982</v>
      </c>
      <c r="AE131" s="116">
        <f t="shared" si="131"/>
        <v>0.28600000000000136</v>
      </c>
      <c r="AF131" s="116">
        <f t="shared" si="131"/>
        <v>0.16009999999999991</v>
      </c>
      <c r="AG131" s="551">
        <f>IFERROR(-AB29+AG29,"NM")</f>
        <v>1.3231000000000002</v>
      </c>
      <c r="AH131" s="559">
        <f t="shared" si="132"/>
        <v>0.15990000000000038</v>
      </c>
      <c r="AI131" s="116">
        <f t="shared" si="132"/>
        <v>0.16199999999999903</v>
      </c>
      <c r="AJ131" s="116">
        <f t="shared" si="132"/>
        <v>1.0079999999999991</v>
      </c>
      <c r="AK131" s="116">
        <f t="shared" si="132"/>
        <v>-0.14699999999999847</v>
      </c>
      <c r="AL131" s="551">
        <f>IFERROR(-AG29+AL29,"NM")</f>
        <v>1.1829000000000001</v>
      </c>
      <c r="AM131" s="559">
        <f t="shared" si="133"/>
        <v>0.46699999999999875</v>
      </c>
      <c r="AN131" s="116">
        <f t="shared" si="133"/>
        <v>0.59299999999999997</v>
      </c>
      <c r="AO131" s="116">
        <f t="shared" si="133"/>
        <v>-1.4029999999999987</v>
      </c>
      <c r="AP131" s="116">
        <f t="shared" si="133"/>
        <v>-0.8490000000000002</v>
      </c>
      <c r="AQ131" s="551">
        <f>IFERROR(-AL29+AQ29,"NM")</f>
        <v>-1.1920000000000002</v>
      </c>
      <c r="AR131" s="559">
        <f t="shared" si="134"/>
        <v>-1.0229999999999997</v>
      </c>
      <c r="AS131" s="116">
        <f t="shared" si="134"/>
        <v>-0.43800000000000239</v>
      </c>
      <c r="AT131" s="116">
        <f t="shared" si="134"/>
        <v>-2.020999999999999</v>
      </c>
      <c r="AU131" s="116">
        <f t="shared" si="134"/>
        <v>-1.3949999999999996</v>
      </c>
      <c r="AV131" s="551">
        <f>IFERROR(-AQ29+AV29,"NM")</f>
        <v>-4.8770000000000007</v>
      </c>
      <c r="AW131" s="559">
        <f t="shared" ref="AW131:AZ132" si="136">IFERROR(AW29-AV29,"NM")</f>
        <v>-6.7000000000000171E-2</v>
      </c>
      <c r="AX131" s="116">
        <f t="shared" si="136"/>
        <v>-2.7710000000000008</v>
      </c>
      <c r="AY131" s="116">
        <f t="shared" si="136"/>
        <v>-0.70999999999999908</v>
      </c>
      <c r="AZ131" s="116">
        <f t="shared" si="136"/>
        <v>-0.79800000000000004</v>
      </c>
      <c r="BA131" s="551">
        <f>IFERROR(-AV29+BA29,"NM")</f>
        <v>-4.3460000000000001</v>
      </c>
      <c r="BB131" s="559">
        <f t="shared" ref="BB131:BD132" si="137">IFERROR(BB29-BA29,"NM")</f>
        <v>-2.6749999999999998</v>
      </c>
      <c r="BC131" s="116">
        <f t="shared" si="137"/>
        <v>7.8999999999999737E-2</v>
      </c>
      <c r="BD131" s="116">
        <f t="shared" si="137"/>
        <v>-0.81599999999999984</v>
      </c>
      <c r="BE131" s="1216"/>
      <c r="BF131" s="1214">
        <f>IFERROR(-BA29+BF29,"NM")</f>
        <v>-3.4119999999999999</v>
      </c>
      <c r="BG131" s="1215"/>
      <c r="BH131" s="1216"/>
      <c r="BI131" s="1216"/>
      <c r="BJ131" s="1216"/>
      <c r="BK131" s="1214">
        <f>IFERROR(-BF29+BK29,"NM")</f>
        <v>0</v>
      </c>
      <c r="BL131" s="1215"/>
      <c r="BM131" s="1216"/>
      <c r="BN131" s="1216"/>
      <c r="BO131" s="1216"/>
      <c r="BP131" s="1214">
        <f>IFERROR(-BK29+BP29,"NM")</f>
        <v>0</v>
      </c>
      <c r="BQ131" s="1215"/>
      <c r="BR131" s="1216"/>
      <c r="BS131" s="1216"/>
      <c r="BT131" s="1216"/>
      <c r="BU131" s="1214">
        <f>IFERROR(-BP29+BU29,"NM")</f>
        <v>0</v>
      </c>
      <c r="BV131" s="1215"/>
      <c r="BW131" s="1216"/>
      <c r="BX131" s="1216"/>
      <c r="BY131" s="1216"/>
      <c r="BZ131" s="1214">
        <f>IFERROR(-BU29+BZ29,"NM")</f>
        <v>0</v>
      </c>
    </row>
    <row r="132" spans="3:78" ht="14.1" customHeight="1" x14ac:dyDescent="0.2">
      <c r="C132" s="565" t="str">
        <f>"Change in "&amp;C30</f>
        <v>Change in Current portion of operating lease liability</v>
      </c>
      <c r="E132" s="116">
        <f t="shared" si="127"/>
        <v>0</v>
      </c>
      <c r="F132" s="116">
        <f t="shared" si="127"/>
        <v>19.02</v>
      </c>
      <c r="G132" s="116">
        <f t="shared" si="127"/>
        <v>1.1890000000000001</v>
      </c>
      <c r="H132" s="116">
        <f t="shared" si="127"/>
        <v>1.3560000000000016</v>
      </c>
      <c r="I132" s="116">
        <f t="shared" si="127"/>
        <v>3.3599999999999994</v>
      </c>
      <c r="J132" s="570">
        <f t="shared" si="127"/>
        <v>0.83200000000000074</v>
      </c>
      <c r="K132" s="116">
        <f t="shared" si="128"/>
        <v>-0.33534587844489394</v>
      </c>
      <c r="L132" s="116">
        <f t="shared" si="128"/>
        <v>1.694430671240351</v>
      </c>
      <c r="M132" s="116">
        <f t="shared" si="128"/>
        <v>4.732267036957019</v>
      </c>
      <c r="N132" s="116">
        <f t="shared" si="128"/>
        <v>2.7222416944503074</v>
      </c>
      <c r="O132" s="551">
        <f t="shared" si="128"/>
        <v>2.4423778618914014</v>
      </c>
      <c r="R132" s="210" t="str">
        <f t="shared" si="107"/>
        <v>Change in Current portion of operating lease liability</v>
      </c>
      <c r="T132" s="116">
        <f t="shared" si="129"/>
        <v>0</v>
      </c>
      <c r="U132" s="116">
        <f t="shared" si="129"/>
        <v>0</v>
      </c>
      <c r="V132" s="116">
        <f t="shared" si="129"/>
        <v>0</v>
      </c>
      <c r="X132" s="559">
        <f t="shared" si="130"/>
        <v>0</v>
      </c>
      <c r="Y132" s="116">
        <f t="shared" si="130"/>
        <v>0</v>
      </c>
      <c r="Z132" s="116">
        <f t="shared" si="130"/>
        <v>0</v>
      </c>
      <c r="AA132" s="116">
        <f t="shared" si="130"/>
        <v>0</v>
      </c>
      <c r="AB132" s="551">
        <f>IFERROR(-W30+AB30,"NM")</f>
        <v>0</v>
      </c>
      <c r="AC132" s="559">
        <f t="shared" si="131"/>
        <v>17.39</v>
      </c>
      <c r="AD132" s="116">
        <f t="shared" si="131"/>
        <v>-0.46900000000000119</v>
      </c>
      <c r="AE132" s="116">
        <f t="shared" si="131"/>
        <v>1.3829999999999991</v>
      </c>
      <c r="AF132" s="116">
        <f t="shared" si="131"/>
        <v>0.71600000000000108</v>
      </c>
      <c r="AG132" s="551">
        <f>IFERROR(-AB30+AG30,"NM")</f>
        <v>19.02</v>
      </c>
      <c r="AH132" s="559">
        <f t="shared" si="132"/>
        <v>-0.33099999999999952</v>
      </c>
      <c r="AI132" s="116">
        <f t="shared" si="132"/>
        <v>0.22700000000000031</v>
      </c>
      <c r="AJ132" s="116">
        <f t="shared" si="132"/>
        <v>0.78500000000000014</v>
      </c>
      <c r="AK132" s="116">
        <f t="shared" si="132"/>
        <v>0.50799999999999912</v>
      </c>
      <c r="AL132" s="551">
        <f>IFERROR(-AG30+AL30,"NM")</f>
        <v>1.1890000000000001</v>
      </c>
      <c r="AM132" s="559">
        <f t="shared" si="133"/>
        <v>0.12699999999999889</v>
      </c>
      <c r="AN132" s="116">
        <f t="shared" si="133"/>
        <v>-0.57199999999999918</v>
      </c>
      <c r="AO132" s="116">
        <f t="shared" si="133"/>
        <v>0.33300000000000196</v>
      </c>
      <c r="AP132" s="116">
        <f t="shared" si="133"/>
        <v>1.468</v>
      </c>
      <c r="AQ132" s="551">
        <f>IFERROR(-AL30+AQ30,"NM")</f>
        <v>1.3560000000000016</v>
      </c>
      <c r="AR132" s="559">
        <f t="shared" si="134"/>
        <v>0.42399999999999949</v>
      </c>
      <c r="AS132" s="116">
        <f t="shared" si="134"/>
        <v>0.16600000000000037</v>
      </c>
      <c r="AT132" s="116">
        <f t="shared" si="134"/>
        <v>0.59499999999999886</v>
      </c>
      <c r="AU132" s="116">
        <f t="shared" si="134"/>
        <v>2.1750000000000007</v>
      </c>
      <c r="AV132" s="551">
        <f>IFERROR(-AQ30+AV30,"NM")</f>
        <v>3.3599999999999994</v>
      </c>
      <c r="AW132" s="559">
        <f t="shared" si="136"/>
        <v>0.33099999999999952</v>
      </c>
      <c r="AX132" s="116">
        <f t="shared" si="136"/>
        <v>0.13700000000000045</v>
      </c>
      <c r="AY132" s="116">
        <f t="shared" si="136"/>
        <v>1.411999999999999</v>
      </c>
      <c r="AZ132" s="116">
        <f t="shared" si="136"/>
        <v>-1.0479999999999983</v>
      </c>
      <c r="BA132" s="551">
        <f>IFERROR(-AV30+BA30,"NM")</f>
        <v>0.83200000000000074</v>
      </c>
      <c r="BB132" s="559">
        <f t="shared" si="137"/>
        <v>0.76899999999999835</v>
      </c>
      <c r="BC132" s="116">
        <f t="shared" si="137"/>
        <v>-0.46399999999999864</v>
      </c>
      <c r="BD132" s="116">
        <f t="shared" si="137"/>
        <v>-0.38300000000000267</v>
      </c>
      <c r="BE132" s="1216"/>
      <c r="BF132" s="1214">
        <f>IFERROR(-BA30+BF30,"NM")</f>
        <v>-0.33534587844489394</v>
      </c>
      <c r="BG132" s="1215"/>
      <c r="BH132" s="1216"/>
      <c r="BI132" s="1216"/>
      <c r="BJ132" s="1216"/>
      <c r="BK132" s="1214">
        <f>IFERROR(-BF30+BK30,"NM")</f>
        <v>1.694430671240351</v>
      </c>
      <c r="BL132" s="1215"/>
      <c r="BM132" s="1216"/>
      <c r="BN132" s="1216"/>
      <c r="BO132" s="1216"/>
      <c r="BP132" s="1214">
        <f>IFERROR(-BK30+BP30,"NM")</f>
        <v>4.732267036957019</v>
      </c>
      <c r="BQ132" s="1215"/>
      <c r="BR132" s="1216"/>
      <c r="BS132" s="1216"/>
      <c r="BT132" s="1216"/>
      <c r="BU132" s="1214">
        <f>IFERROR(-BP30+BU30,"NM")</f>
        <v>2.7222416944503074</v>
      </c>
      <c r="BV132" s="1215"/>
      <c r="BW132" s="1216"/>
      <c r="BX132" s="1216"/>
      <c r="BY132" s="1216"/>
      <c r="BZ132" s="1214">
        <f>IFERROR(-BU30+BZ30,"NM")</f>
        <v>2.4423778618914014</v>
      </c>
    </row>
    <row r="133" spans="3:78" ht="14.1" customHeight="1" x14ac:dyDescent="0.2">
      <c r="C133" s="565" t="str">
        <f>"Change in "&amp;C37</f>
        <v>Change in Long-term debt, less current portion</v>
      </c>
      <c r="E133" s="116">
        <f t="shared" ref="E133:J134" si="138">IFERROR(E37-D37,"NM")</f>
        <v>-14.055999999999997</v>
      </c>
      <c r="F133" s="116">
        <f t="shared" si="138"/>
        <v>12.248000000000005</v>
      </c>
      <c r="G133" s="116">
        <f t="shared" si="138"/>
        <v>-66.637</v>
      </c>
      <c r="H133" s="116">
        <f t="shared" si="138"/>
        <v>-19.38</v>
      </c>
      <c r="I133" s="116">
        <f t="shared" si="138"/>
        <v>-14.518999999999998</v>
      </c>
      <c r="J133" s="570">
        <f t="shared" si="138"/>
        <v>-10.173999999999999</v>
      </c>
      <c r="K133" s="116">
        <f t="shared" ref="K133:O134" si="139">IFERROR(K37-J37,"NM")</f>
        <v>177.49030552290958</v>
      </c>
      <c r="L133" s="116">
        <f t="shared" si="139"/>
        <v>52.815507821113926</v>
      </c>
      <c r="M133" s="116">
        <f t="shared" si="139"/>
        <v>-44.281276306957039</v>
      </c>
      <c r="N133" s="116">
        <f t="shared" si="139"/>
        <v>-3.9945514603552112</v>
      </c>
      <c r="O133" s="551">
        <f t="shared" si="139"/>
        <v>16.480002761959327</v>
      </c>
      <c r="R133" s="210" t="str">
        <f t="shared" si="107"/>
        <v>Change in Long-term debt, less current portion</v>
      </c>
      <c r="T133" s="116">
        <f t="shared" ref="T133:V134" si="140">IFERROR(T37-S37,"NM")</f>
        <v>-6.0389999999999873</v>
      </c>
      <c r="U133" s="116">
        <f t="shared" si="140"/>
        <v>-21.538000000000011</v>
      </c>
      <c r="V133" s="116">
        <f t="shared" si="140"/>
        <v>8.671999999999997</v>
      </c>
      <c r="X133" s="559">
        <f t="shared" ref="X133:AA134" si="141">IFERROR(X37-W37,"NM")</f>
        <v>8.9489999999999981</v>
      </c>
      <c r="Y133" s="116">
        <f t="shared" si="141"/>
        <v>10.379000000000005</v>
      </c>
      <c r="Z133" s="116">
        <f t="shared" si="141"/>
        <v>-34.445999999999998</v>
      </c>
      <c r="AA133" s="116">
        <f t="shared" si="141"/>
        <v>1.0619999999999976</v>
      </c>
      <c r="AB133" s="551">
        <f>IFERROR(-W37+AB37,"NM")</f>
        <v>-14.055999999999997</v>
      </c>
      <c r="AC133" s="559">
        <f t="shared" ref="AC133:AF134" si="142">IFERROR(AC37-AB37,"NM")</f>
        <v>26.186999999999998</v>
      </c>
      <c r="AD133" s="116">
        <f t="shared" si="142"/>
        <v>29.955999999999989</v>
      </c>
      <c r="AE133" s="116">
        <f t="shared" si="142"/>
        <v>-14.899999999999977</v>
      </c>
      <c r="AF133" s="116">
        <f t="shared" si="142"/>
        <v>-28.995000000000005</v>
      </c>
      <c r="AG133" s="551">
        <f>IFERROR(-AB37+AG37,"NM")</f>
        <v>12.248000000000005</v>
      </c>
      <c r="AH133" s="559">
        <f t="shared" ref="AH133:AK134" si="143">IFERROR(AH37-AG37,"NM")</f>
        <v>99.176999999999992</v>
      </c>
      <c r="AI133" s="116">
        <f t="shared" si="143"/>
        <v>-75.09</v>
      </c>
      <c r="AJ133" s="116">
        <f t="shared" si="143"/>
        <v>-40.925999999999988</v>
      </c>
      <c r="AK133" s="116">
        <f t="shared" si="143"/>
        <v>-49.798000000000009</v>
      </c>
      <c r="AL133" s="551">
        <f>IFERROR(-AG37+AL37,"NM")</f>
        <v>-66.637</v>
      </c>
      <c r="AM133" s="559">
        <f t="shared" ref="AM133:AP134" si="144">IFERROR(AM37-AL37,"NM")</f>
        <v>-5.4259999999999948</v>
      </c>
      <c r="AN133" s="116">
        <f t="shared" si="144"/>
        <v>-5.5840000000000032</v>
      </c>
      <c r="AO133" s="116">
        <f t="shared" si="144"/>
        <v>-4.4519999999999982</v>
      </c>
      <c r="AP133" s="116">
        <f t="shared" si="144"/>
        <v>-3.9180000000000028</v>
      </c>
      <c r="AQ133" s="551">
        <f>IFERROR(-AL37+AQ37,"NM")</f>
        <v>-19.38</v>
      </c>
      <c r="AR133" s="559">
        <f t="shared" ref="AR133:AU134" si="145">IFERROR(AR37-AQ37,"NM")</f>
        <v>-4.5019999999999989</v>
      </c>
      <c r="AS133" s="116">
        <f t="shared" si="145"/>
        <v>-5.1460000000000008</v>
      </c>
      <c r="AT133" s="116">
        <f t="shared" si="145"/>
        <v>-2.4239999999999995</v>
      </c>
      <c r="AU133" s="116">
        <f t="shared" si="145"/>
        <v>-2.4469999999999992</v>
      </c>
      <c r="AV133" s="551">
        <f>IFERROR(-AQ37+AV37,"NM")</f>
        <v>-14.518999999999998</v>
      </c>
      <c r="AW133" s="559">
        <f t="shared" ref="AW133:AZ134" si="146">IFERROR(AW37-AV37,"NM")</f>
        <v>-4.4370000000000012</v>
      </c>
      <c r="AX133" s="116">
        <f t="shared" si="146"/>
        <v>-2.375</v>
      </c>
      <c r="AY133" s="116">
        <f t="shared" si="146"/>
        <v>-1.7139999999999995</v>
      </c>
      <c r="AZ133" s="116">
        <f t="shared" si="146"/>
        <v>-1.6479999999999997</v>
      </c>
      <c r="BA133" s="551">
        <f>IFERROR(-AV37+BA37,"NM")</f>
        <v>-10.173999999999999</v>
      </c>
      <c r="BB133" s="559">
        <f t="shared" ref="BB133:BD134" si="147">IFERROR(BB37-BA37,"NM")</f>
        <v>70.238</v>
      </c>
      <c r="BC133" s="116">
        <f t="shared" si="147"/>
        <v>92.545000000000016</v>
      </c>
      <c r="BD133" s="116">
        <f t="shared" si="147"/>
        <v>15.103999999999985</v>
      </c>
      <c r="BE133" s="1216">
        <f>INDEX($BE$199:$BZ$202,MATCH('Revenue Build'!$O$3,'Revenue Build'!$C$46:$C$49,0),MATCH('Balance Sheet'!BE63,'Balance Sheet'!$BE$63:$BZ$63,0))</f>
        <v>-0.39669447709042693</v>
      </c>
      <c r="BF133" s="1214">
        <f>IFERROR(-BA37+BF37,"NM")</f>
        <v>177.49030552290958</v>
      </c>
      <c r="BG133" s="1215">
        <f>INDEX($BG$199:$BZ$202,MATCH('Revenue Build'!$O$3,'Revenue Build'!$C$46:$C$49,0),MATCH('Balance Sheet'!BG63,'Balance Sheet'!$BG$63:$BZ$63,0))</f>
        <v>13.186888202692625</v>
      </c>
      <c r="BH133" s="1216">
        <f>INDEX($BG$199:$BZ$202,MATCH('Revenue Build'!$O$3,'Revenue Build'!$C$46:$C$49,0),MATCH('Balance Sheet'!BH63,'Balance Sheet'!$BG$63:$BZ$63,0))</f>
        <v>13.186888202692625</v>
      </c>
      <c r="BI133" s="1216">
        <f>INDEX($BG$199:$BZ$202,MATCH('Revenue Build'!$O$3,'Revenue Build'!$C$46:$C$49,0),MATCH('Balance Sheet'!BI63,'Balance Sheet'!$BG$63:$BZ$63,0))</f>
        <v>13.186888202692625</v>
      </c>
      <c r="BJ133" s="1216">
        <f>INDEX($BG$199:$BZ$202,MATCH('Revenue Build'!$O$3,'Revenue Build'!$C$46:$C$49,0),MATCH('Balance Sheet'!BJ63,'Balance Sheet'!$BG$63:$BZ$63,0))</f>
        <v>13.254843213036077</v>
      </c>
      <c r="BK133" s="1214">
        <f>IFERROR(-BF37+BK37,"NM")</f>
        <v>52.815507821113926</v>
      </c>
      <c r="BL133" s="1215">
        <f>INDEX($BG$199:$BZ$202,MATCH('Revenue Build'!$O$3,'Revenue Build'!$C$46:$C$49,0),MATCH('Balance Sheet'!BL63,'Balance Sheet'!$BG$63:$BZ$63,0))</f>
        <v>-11.034203302111949</v>
      </c>
      <c r="BM133" s="1216">
        <f>INDEX($BG$199:$BZ$202,MATCH('Revenue Build'!$O$3,'Revenue Build'!$C$46:$C$49,0),MATCH('Balance Sheet'!BM63,'Balance Sheet'!$BG$63:$BZ$63,0))</f>
        <v>-11.034203302111949</v>
      </c>
      <c r="BN133" s="1216">
        <f>INDEX($BG$199:$BZ$202,MATCH('Revenue Build'!$O$3,'Revenue Build'!$C$46:$C$49,0),MATCH('Balance Sheet'!BN63,'Balance Sheet'!$BG$63:$BZ$63,0))</f>
        <v>-11.034203302111949</v>
      </c>
      <c r="BO133" s="1216">
        <f>INDEX($BG$199:$BZ$202,MATCH('Revenue Build'!$O$3,'Revenue Build'!$C$46:$C$49,0),MATCH('Balance Sheet'!BO63,'Balance Sheet'!$BG$63:$BZ$63,0))</f>
        <v>-11.178666400621148</v>
      </c>
      <c r="BP133" s="1214">
        <f>IFERROR(-BK37+BP37,"NM")</f>
        <v>-44.281276306957039</v>
      </c>
      <c r="BQ133" s="1215">
        <f>INDEX($BG$199:$BZ$202,MATCH('Revenue Build'!$O$3,'Revenue Build'!$C$46:$C$49,0),MATCH('Balance Sheet'!BQ63,'Balance Sheet'!$BG$63:$BZ$63,0))</f>
        <v>-0.968379928314125</v>
      </c>
      <c r="BR133" s="1216">
        <f>INDEX($BG$199:$BZ$202,MATCH('Revenue Build'!$O$3,'Revenue Build'!$C$46:$C$49,0),MATCH('Balance Sheet'!BR63,'Balance Sheet'!$BG$63:$BZ$63,0))</f>
        <v>-0.968379928314125</v>
      </c>
      <c r="BS133" s="1216">
        <f>INDEX($BG$199:$BZ$202,MATCH('Revenue Build'!$O$3,'Revenue Build'!$C$46:$C$49,0),MATCH('Balance Sheet'!BS63,'Balance Sheet'!$BG$63:$BZ$63,0))</f>
        <v>-0.968379928314125</v>
      </c>
      <c r="BT133" s="1216">
        <f>INDEX($BG$199:$BZ$202,MATCH('Revenue Build'!$O$3,'Revenue Build'!$C$46:$C$49,0),MATCH('Balance Sheet'!BT63,'Balance Sheet'!$BG$63:$BZ$63,0))</f>
        <v>-1.089411675412796</v>
      </c>
      <c r="BU133" s="1214">
        <f>IFERROR(-BP37+BU37,"NM")</f>
        <v>-3.9945514603552112</v>
      </c>
      <c r="BV133" s="1215">
        <f>INDEX($BG$199:$BZ$202,MATCH('Revenue Build'!$O$3,'Revenue Build'!$C$46:$C$49,0),MATCH('Balance Sheet'!BV63,'Balance Sheet'!$BG$63:$BZ$63,0))</f>
        <v>4.1532221146616246</v>
      </c>
      <c r="BW133" s="1216">
        <f>INDEX($BG$199:$BZ$202,MATCH('Revenue Build'!$O$3,'Revenue Build'!$C$46:$C$49,0),MATCH('Balance Sheet'!BW63,'Balance Sheet'!$BG$63:$BZ$63,0))</f>
        <v>4.1532221146616246</v>
      </c>
      <c r="BX133" s="1216">
        <f>INDEX($BG$199:$BZ$202,MATCH('Revenue Build'!$O$3,'Revenue Build'!$C$46:$C$49,0),MATCH('Balance Sheet'!BX63,'Balance Sheet'!$BG$63:$BZ$63,0))</f>
        <v>4.1532221146616246</v>
      </c>
      <c r="BY133" s="1216">
        <f>INDEX($BG$199:$BZ$202,MATCH('Revenue Build'!$O$3,'Revenue Build'!$C$46:$C$49,0),MATCH('Balance Sheet'!BY63,'Balance Sheet'!$BG$63:$BZ$63,0))</f>
        <v>4.0203364179744661</v>
      </c>
      <c r="BZ133" s="1214">
        <f>IFERROR(-BU37+BZ37,"NM")</f>
        <v>16.480002761959327</v>
      </c>
    </row>
    <row r="134" spans="3:78" ht="14.1" customHeight="1" x14ac:dyDescent="0.2">
      <c r="C134" s="565" t="str">
        <f>"Change in "&amp;C38</f>
        <v>Change in Operating lease liability, less current portion</v>
      </c>
      <c r="E134" s="116">
        <f t="shared" si="138"/>
        <v>0</v>
      </c>
      <c r="F134" s="116">
        <f t="shared" si="138"/>
        <v>86.239000000000004</v>
      </c>
      <c r="G134" s="116">
        <f t="shared" si="138"/>
        <v>9.0819999999999936</v>
      </c>
      <c r="H134" s="116">
        <f t="shared" si="138"/>
        <v>-6.9119999999999919</v>
      </c>
      <c r="I134" s="116">
        <f t="shared" si="138"/>
        <v>10.171999999999997</v>
      </c>
      <c r="J134" s="570">
        <f t="shared" si="138"/>
        <v>-2.1189999999999998</v>
      </c>
      <c r="K134" s="116">
        <f t="shared" si="139"/>
        <v>-5.0622485777259385</v>
      </c>
      <c r="L134" s="116">
        <f t="shared" si="139"/>
        <v>6.0920717988342687</v>
      </c>
      <c r="M134" s="116">
        <f t="shared" si="139"/>
        <v>17.014157645821768</v>
      </c>
      <c r="N134" s="116">
        <f t="shared" si="139"/>
        <v>9.7874124553185453</v>
      </c>
      <c r="O134" s="551">
        <f t="shared" si="139"/>
        <v>8.7812039448235168</v>
      </c>
      <c r="R134" s="210" t="str">
        <f t="shared" si="107"/>
        <v>Change in Operating lease liability, less current portion</v>
      </c>
      <c r="T134" s="116">
        <f t="shared" si="140"/>
        <v>0</v>
      </c>
      <c r="U134" s="116">
        <f t="shared" si="140"/>
        <v>0</v>
      </c>
      <c r="V134" s="116">
        <f t="shared" si="140"/>
        <v>0</v>
      </c>
      <c r="X134" s="559">
        <f t="shared" si="141"/>
        <v>0</v>
      </c>
      <c r="Y134" s="116">
        <f t="shared" si="141"/>
        <v>0</v>
      </c>
      <c r="Z134" s="116">
        <f t="shared" si="141"/>
        <v>0</v>
      </c>
      <c r="AA134" s="116">
        <f t="shared" si="141"/>
        <v>0</v>
      </c>
      <c r="AB134" s="551">
        <f>IFERROR(-W38+AB38,"NM")</f>
        <v>0</v>
      </c>
      <c r="AC134" s="559">
        <f t="shared" si="142"/>
        <v>58.034999999999997</v>
      </c>
      <c r="AD134" s="116">
        <f t="shared" si="142"/>
        <v>-2.0749999999999957</v>
      </c>
      <c r="AE134" s="116">
        <f t="shared" si="142"/>
        <v>30.592000000000006</v>
      </c>
      <c r="AF134" s="116">
        <f t="shared" si="142"/>
        <v>-0.31300000000000239</v>
      </c>
      <c r="AG134" s="551">
        <f>IFERROR(-AB38+AG38,"NM")</f>
        <v>86.239000000000004</v>
      </c>
      <c r="AH134" s="559">
        <f t="shared" si="143"/>
        <v>19.042999999999992</v>
      </c>
      <c r="AI134" s="116">
        <f t="shared" si="143"/>
        <v>-0.32399999999999807</v>
      </c>
      <c r="AJ134" s="116">
        <f t="shared" si="143"/>
        <v>-5.4839999999999947</v>
      </c>
      <c r="AK134" s="116">
        <f t="shared" si="143"/>
        <v>-4.1530000000000058</v>
      </c>
      <c r="AL134" s="551">
        <f>IFERROR(-AG38+AL38,"NM")</f>
        <v>9.0819999999999936</v>
      </c>
      <c r="AM134" s="559">
        <f t="shared" si="144"/>
        <v>-1.9549999999999983</v>
      </c>
      <c r="AN134" s="116">
        <f t="shared" si="144"/>
        <v>-5.1580000000000013</v>
      </c>
      <c r="AO134" s="116">
        <f t="shared" si="144"/>
        <v>-1.2289999999999992</v>
      </c>
      <c r="AP134" s="116">
        <f t="shared" si="144"/>
        <v>1.4300000000000068</v>
      </c>
      <c r="AQ134" s="551">
        <f>IFERROR(-AL38+AQ38,"NM")</f>
        <v>-6.9119999999999919</v>
      </c>
      <c r="AR134" s="559">
        <f t="shared" si="145"/>
        <v>-4.3470000000000084</v>
      </c>
      <c r="AS134" s="116">
        <f t="shared" si="145"/>
        <v>1.460000000000008</v>
      </c>
      <c r="AT134" s="116">
        <f t="shared" si="145"/>
        <v>1.8659999999999997</v>
      </c>
      <c r="AU134" s="116">
        <f t="shared" si="145"/>
        <v>11.192999999999998</v>
      </c>
      <c r="AV134" s="551">
        <f>IFERROR(-AQ38+AV38,"NM")</f>
        <v>10.171999999999997</v>
      </c>
      <c r="AW134" s="559">
        <f t="shared" si="146"/>
        <v>-4.9320000000000022</v>
      </c>
      <c r="AX134" s="116">
        <f t="shared" si="146"/>
        <v>-5.1430000000000007</v>
      </c>
      <c r="AY134" s="116">
        <f t="shared" si="146"/>
        <v>14.341999999999999</v>
      </c>
      <c r="AZ134" s="116">
        <f t="shared" si="146"/>
        <v>-6.3859999999999957</v>
      </c>
      <c r="BA134" s="551">
        <f>IFERROR(-AV38+BA38,"NM")</f>
        <v>-2.1189999999999998</v>
      </c>
      <c r="BB134" s="559">
        <f t="shared" si="147"/>
        <v>1.7279999999999944</v>
      </c>
      <c r="BC134" s="116">
        <f t="shared" si="147"/>
        <v>-0.70999999999999375</v>
      </c>
      <c r="BD134" s="116">
        <f t="shared" si="147"/>
        <v>-5.1550000000000011</v>
      </c>
      <c r="BE134" s="1216">
        <f>IFERROR(-AZ38+BE38,"NM")</f>
        <v>-5.0622485777259385</v>
      </c>
      <c r="BF134" s="1214">
        <f>IFERROR(-BA38+BF38,"NM")</f>
        <v>-5.0622485777259385</v>
      </c>
      <c r="BG134" s="1215"/>
      <c r="BH134" s="1216"/>
      <c r="BI134" s="1216"/>
      <c r="BJ134" s="1216"/>
      <c r="BK134" s="1214">
        <f>IFERROR(-BF38+BK38,"NM")</f>
        <v>6.0920717988342687</v>
      </c>
      <c r="BL134" s="1215"/>
      <c r="BM134" s="1216"/>
      <c r="BN134" s="1216"/>
      <c r="BO134" s="1216"/>
      <c r="BP134" s="1214">
        <f>IFERROR(-BK38+BP38,"NM")</f>
        <v>17.014157645821768</v>
      </c>
      <c r="BQ134" s="1215"/>
      <c r="BR134" s="1216"/>
      <c r="BS134" s="1216"/>
      <c r="BT134" s="1216"/>
      <c r="BU134" s="1214">
        <f>IFERROR(-BP38+BU38,"NM")</f>
        <v>9.7874124553185453</v>
      </c>
      <c r="BV134" s="1215"/>
      <c r="BW134" s="1216"/>
      <c r="BX134" s="1216"/>
      <c r="BY134" s="1216"/>
      <c r="BZ134" s="1214">
        <f>IFERROR(-BU38+BZ38,"NM")</f>
        <v>8.7812039448235168</v>
      </c>
    </row>
    <row r="135" spans="3:78" ht="14.1" customHeight="1" x14ac:dyDescent="0.2">
      <c r="C135" s="580"/>
      <c r="D135" s="581"/>
      <c r="E135" s="581"/>
      <c r="F135" s="581"/>
      <c r="G135" s="581"/>
      <c r="H135" s="581"/>
      <c r="I135" s="581"/>
      <c r="J135" s="589"/>
      <c r="K135" s="581"/>
      <c r="L135" s="581"/>
      <c r="M135" s="581"/>
      <c r="N135" s="581"/>
      <c r="O135" s="582"/>
      <c r="R135" s="598"/>
      <c r="S135" s="581"/>
      <c r="T135" s="581"/>
      <c r="U135" s="581"/>
      <c r="V135" s="581"/>
      <c r="W135" s="581"/>
      <c r="X135" s="598"/>
      <c r="Y135" s="581"/>
      <c r="Z135" s="581"/>
      <c r="AA135" s="581"/>
      <c r="AB135" s="582"/>
      <c r="AC135" s="598"/>
      <c r="AD135" s="581"/>
      <c r="AE135" s="581"/>
      <c r="AF135" s="581"/>
      <c r="AG135" s="582"/>
      <c r="AH135" s="598"/>
      <c r="AI135" s="581"/>
      <c r="AJ135" s="581"/>
      <c r="AK135" s="581"/>
      <c r="AL135" s="582"/>
      <c r="AM135" s="598"/>
      <c r="AN135" s="581"/>
      <c r="AO135" s="581"/>
      <c r="AP135" s="581"/>
      <c r="AQ135" s="582"/>
      <c r="AR135" s="598"/>
      <c r="AS135" s="581"/>
      <c r="AT135" s="581"/>
      <c r="AU135" s="581"/>
      <c r="AV135" s="582"/>
      <c r="AW135" s="598"/>
      <c r="AX135" s="581"/>
      <c r="AY135" s="581"/>
      <c r="AZ135" s="581"/>
      <c r="BA135" s="582"/>
      <c r="BB135" s="598"/>
      <c r="BC135" s="581"/>
      <c r="BD135" s="581"/>
      <c r="BE135" s="581"/>
      <c r="BF135" s="582"/>
      <c r="BG135" s="598"/>
      <c r="BH135" s="581"/>
      <c r="BI135" s="581"/>
      <c r="BJ135" s="581"/>
      <c r="BK135" s="582"/>
      <c r="BL135" s="598"/>
      <c r="BM135" s="581"/>
      <c r="BN135" s="581"/>
      <c r="BO135" s="581"/>
      <c r="BP135" s="582"/>
      <c r="BQ135" s="598"/>
      <c r="BR135" s="581"/>
      <c r="BS135" s="581"/>
      <c r="BT135" s="581"/>
      <c r="BU135" s="582"/>
      <c r="BV135" s="598"/>
      <c r="BW135" s="581"/>
      <c r="BX135" s="581"/>
      <c r="BY135" s="581"/>
      <c r="BZ135" s="582"/>
    </row>
    <row r="137" spans="3:78" ht="14.1" customHeight="1" x14ac:dyDescent="0.2">
      <c r="C137" s="738" t="s">
        <v>327</v>
      </c>
      <c r="D137" s="451">
        <f>D145</f>
        <v>186.69600000000003</v>
      </c>
      <c r="E137" s="451">
        <f t="shared" ref="E137:J137" si="148">E145</f>
        <v>223.67199999999997</v>
      </c>
      <c r="F137" s="451">
        <f t="shared" si="148"/>
        <v>287.65499999999997</v>
      </c>
      <c r="G137" s="451">
        <f t="shared" si="148"/>
        <v>231.142</v>
      </c>
      <c r="H137" s="451">
        <f t="shared" si="148"/>
        <v>285.74599999999998</v>
      </c>
      <c r="I137" s="451">
        <f t="shared" si="148"/>
        <v>367.42899999999997</v>
      </c>
      <c r="J137" s="568">
        <f t="shared" si="148"/>
        <v>439.87900000000002</v>
      </c>
      <c r="K137" s="451">
        <f t="shared" ref="K137:O138" si="149">K145</f>
        <v>1012.302</v>
      </c>
      <c r="L137" s="451">
        <f t="shared" si="149"/>
        <v>675.02673545027778</v>
      </c>
      <c r="M137" s="451">
        <f t="shared" si="149"/>
        <v>660.4714690794234</v>
      </c>
      <c r="N137" s="451">
        <f t="shared" si="149"/>
        <v>584.86632456770531</v>
      </c>
      <c r="O137" s="452">
        <f t="shared" si="149"/>
        <v>547.50086412397741</v>
      </c>
      <c r="R137" s="630" t="str">
        <f>C137</f>
        <v>CAPEX:</v>
      </c>
      <c r="S137" s="451">
        <f t="shared" ref="S137:W138" si="150">S145</f>
        <v>88.388000000000005</v>
      </c>
      <c r="T137" s="451">
        <f t="shared" si="150"/>
        <v>38.941999999999993</v>
      </c>
      <c r="U137" s="451">
        <f t="shared" si="150"/>
        <v>28.345999999999989</v>
      </c>
      <c r="V137" s="451">
        <f t="shared" si="150"/>
        <v>31.020000000000024</v>
      </c>
      <c r="W137" s="822">
        <f t="shared" si="150"/>
        <v>186.69600000000003</v>
      </c>
      <c r="X137" s="451">
        <f t="shared" ref="X137:BF137" si="151">X145</f>
        <v>46.881</v>
      </c>
      <c r="Y137" s="451">
        <f t="shared" si="151"/>
        <v>71.691999999999993</v>
      </c>
      <c r="Z137" s="451">
        <f t="shared" si="151"/>
        <v>36.64400000000002</v>
      </c>
      <c r="AA137" s="451">
        <f t="shared" si="151"/>
        <v>68.45499999999997</v>
      </c>
      <c r="AB137" s="822">
        <f t="shared" si="151"/>
        <v>223.67199999999997</v>
      </c>
      <c r="AC137" s="451">
        <f t="shared" si="151"/>
        <v>56.741</v>
      </c>
      <c r="AD137" s="451">
        <f t="shared" si="151"/>
        <v>109.693</v>
      </c>
      <c r="AE137" s="451">
        <f t="shared" si="151"/>
        <v>78.768999999999991</v>
      </c>
      <c r="AF137" s="451">
        <f t="shared" si="151"/>
        <v>42.45199999999997</v>
      </c>
      <c r="AG137" s="822">
        <f t="shared" si="151"/>
        <v>287.65499999999997</v>
      </c>
      <c r="AH137" s="451">
        <f t="shared" si="151"/>
        <v>107.59099999999999</v>
      </c>
      <c r="AI137" s="451">
        <f t="shared" si="151"/>
        <v>41.274000000000015</v>
      </c>
      <c r="AJ137" s="451">
        <f t="shared" si="151"/>
        <v>56.441999999999965</v>
      </c>
      <c r="AK137" s="451">
        <f t="shared" si="151"/>
        <v>25.835000000000051</v>
      </c>
      <c r="AL137" s="822">
        <f t="shared" si="151"/>
        <v>231.142</v>
      </c>
      <c r="AM137" s="451">
        <f t="shared" si="151"/>
        <v>25.568000000000001</v>
      </c>
      <c r="AN137" s="451">
        <f t="shared" si="151"/>
        <v>74.634</v>
      </c>
      <c r="AO137" s="451">
        <f t="shared" si="151"/>
        <v>54.681999999999988</v>
      </c>
      <c r="AP137" s="451">
        <f t="shared" si="151"/>
        <v>130.86199999999999</v>
      </c>
      <c r="AQ137" s="822">
        <f t="shared" si="151"/>
        <v>285.74599999999998</v>
      </c>
      <c r="AR137" s="451">
        <f t="shared" si="151"/>
        <v>46.259</v>
      </c>
      <c r="AS137" s="451">
        <f t="shared" si="151"/>
        <v>110.092</v>
      </c>
      <c r="AT137" s="451">
        <f t="shared" si="151"/>
        <v>122.70600000000003</v>
      </c>
      <c r="AU137" s="451">
        <f t="shared" si="151"/>
        <v>88.371999999999971</v>
      </c>
      <c r="AV137" s="822">
        <f t="shared" si="151"/>
        <v>367.42899999999997</v>
      </c>
      <c r="AW137" s="451">
        <f t="shared" si="151"/>
        <v>128.41499999999999</v>
      </c>
      <c r="AX137" s="451">
        <f t="shared" si="151"/>
        <v>98.606999999999999</v>
      </c>
      <c r="AY137" s="451">
        <f t="shared" si="151"/>
        <v>113.50600000000003</v>
      </c>
      <c r="AZ137" s="451">
        <f t="shared" si="151"/>
        <v>99.350999999999999</v>
      </c>
      <c r="BA137" s="822">
        <f t="shared" si="151"/>
        <v>439.87900000000002</v>
      </c>
      <c r="BB137" s="451">
        <f t="shared" si="151"/>
        <v>457.16399999999999</v>
      </c>
      <c r="BC137" s="451">
        <f t="shared" si="151"/>
        <v>224.755</v>
      </c>
      <c r="BD137" s="451">
        <f t="shared" si="151"/>
        <v>193.38300000000004</v>
      </c>
      <c r="BE137" s="451">
        <f t="shared" si="151"/>
        <v>137</v>
      </c>
      <c r="BF137" s="822">
        <f t="shared" si="151"/>
        <v>1012.302</v>
      </c>
      <c r="BG137" s="451">
        <f t="shared" ref="BG137:BK138" si="152">BG145</f>
        <v>136.348506994654</v>
      </c>
      <c r="BH137" s="451">
        <f t="shared" si="152"/>
        <v>176.60292889846895</v>
      </c>
      <c r="BI137" s="451">
        <f t="shared" si="152"/>
        <v>178.58464061880602</v>
      </c>
      <c r="BJ137" s="451">
        <f t="shared" si="152"/>
        <v>183.49065893834879</v>
      </c>
      <c r="BK137" s="822">
        <f t="shared" si="152"/>
        <v>675.02673545027778</v>
      </c>
      <c r="BL137" s="451">
        <f t="shared" ref="BL137:BZ137" si="153">BL145</f>
        <v>145.12063641295887</v>
      </c>
      <c r="BM137" s="451">
        <f t="shared" si="153"/>
        <v>169.680286913972</v>
      </c>
      <c r="BN137" s="451">
        <f t="shared" si="153"/>
        <v>173.05072428671056</v>
      </c>
      <c r="BO137" s="451">
        <f t="shared" si="153"/>
        <v>172.61982146578202</v>
      </c>
      <c r="BP137" s="822">
        <f t="shared" si="153"/>
        <v>660.4714690794234</v>
      </c>
      <c r="BQ137" s="451">
        <f t="shared" si="153"/>
        <v>142.13087263353634</v>
      </c>
      <c r="BR137" s="451">
        <f t="shared" si="153"/>
        <v>151.73436460670467</v>
      </c>
      <c r="BS137" s="451">
        <f t="shared" si="153"/>
        <v>152.45750179271471</v>
      </c>
      <c r="BT137" s="451">
        <f t="shared" si="153"/>
        <v>138.54358553474964</v>
      </c>
      <c r="BU137" s="822">
        <f t="shared" si="153"/>
        <v>584.86632456770531</v>
      </c>
      <c r="BV137" s="451">
        <f t="shared" si="153"/>
        <v>131.23018053174189</v>
      </c>
      <c r="BW137" s="451">
        <f t="shared" si="153"/>
        <v>141.21055462755038</v>
      </c>
      <c r="BX137" s="451">
        <f t="shared" si="153"/>
        <v>140.10273392107402</v>
      </c>
      <c r="BY137" s="451">
        <f t="shared" si="153"/>
        <v>134.95739504361111</v>
      </c>
      <c r="BZ137" s="828">
        <f t="shared" si="153"/>
        <v>547.50086412397741</v>
      </c>
    </row>
    <row r="138" spans="3:78" ht="14.1" customHeight="1" x14ac:dyDescent="0.2">
      <c r="C138" s="577" t="s">
        <v>337</v>
      </c>
      <c r="D138" s="116">
        <f>D146</f>
        <v>0</v>
      </c>
      <c r="E138" s="116">
        <f t="shared" ref="E138:J138" si="154">E146</f>
        <v>-7.6750000000000114</v>
      </c>
      <c r="F138" s="116">
        <f t="shared" si="154"/>
        <v>69.773999999999887</v>
      </c>
      <c r="G138" s="116">
        <f t="shared" si="154"/>
        <v>69.120000000000061</v>
      </c>
      <c r="H138" s="116">
        <f t="shared" si="154"/>
        <v>42.462000000000103</v>
      </c>
      <c r="I138" s="116">
        <f t="shared" si="154"/>
        <v>33.132999999999697</v>
      </c>
      <c r="J138" s="570">
        <f t="shared" si="154"/>
        <v>36.902999999999906</v>
      </c>
      <c r="K138" s="116">
        <f t="shared" si="149"/>
        <v>71.590000000000259</v>
      </c>
      <c r="L138" s="116">
        <f t="shared" si="149"/>
        <v>77.425566556146862</v>
      </c>
      <c r="M138" s="116">
        <f t="shared" si="149"/>
        <v>75.75607750340987</v>
      </c>
      <c r="N138" s="116">
        <f t="shared" si="149"/>
        <v>67.084167427915801</v>
      </c>
      <c r="O138" s="551">
        <f t="shared" si="149"/>
        <v>62.798349115020216</v>
      </c>
      <c r="R138" s="829" t="str">
        <f>C138</f>
        <v>Asset Disposal (AT COST)</v>
      </c>
      <c r="S138" s="116">
        <f t="shared" si="150"/>
        <v>0</v>
      </c>
      <c r="T138" s="116">
        <f t="shared" si="150"/>
        <v>21.747000000000057</v>
      </c>
      <c r="U138" s="116">
        <f t="shared" si="150"/>
        <v>1.395999999999944</v>
      </c>
      <c r="V138" s="116">
        <f t="shared" si="150"/>
        <v>1.8820000000001045</v>
      </c>
      <c r="W138" s="134">
        <f t="shared" si="150"/>
        <v>186.69600000000003</v>
      </c>
      <c r="X138" s="116">
        <f t="shared" ref="X138:BE138" si="155">X146</f>
        <v>2.3179999999998984</v>
      </c>
      <c r="Y138" s="116">
        <f t="shared" si="155"/>
        <v>-13.109999999999914</v>
      </c>
      <c r="Z138" s="116">
        <f t="shared" si="155"/>
        <v>10.953999999999965</v>
      </c>
      <c r="AA138" s="116">
        <f t="shared" si="155"/>
        <v>-7.8369999999999465</v>
      </c>
      <c r="AB138" s="134">
        <f t="shared" si="155"/>
        <v>-7.6750000000000114</v>
      </c>
      <c r="AC138" s="116">
        <f t="shared" si="155"/>
        <v>24.143999999999792</v>
      </c>
      <c r="AD138" s="116">
        <f t="shared" si="155"/>
        <v>-1.9259999999999167</v>
      </c>
      <c r="AE138" s="116">
        <f t="shared" si="155"/>
        <v>9.3070000000000022</v>
      </c>
      <c r="AF138" s="116">
        <f t="shared" si="155"/>
        <v>38.248999999999995</v>
      </c>
      <c r="AG138" s="134">
        <f t="shared" si="155"/>
        <v>69.773999999999887</v>
      </c>
      <c r="AH138" s="116">
        <f t="shared" si="155"/>
        <v>12.044999999999945</v>
      </c>
      <c r="AI138" s="116">
        <f t="shared" si="155"/>
        <v>13.994000000000042</v>
      </c>
      <c r="AJ138" s="116">
        <f t="shared" si="155"/>
        <v>15.106999999999928</v>
      </c>
      <c r="AK138" s="116">
        <f t="shared" si="155"/>
        <v>27.974000000000174</v>
      </c>
      <c r="AL138" s="134">
        <f t="shared" si="155"/>
        <v>69.120000000000061</v>
      </c>
      <c r="AM138" s="116">
        <f t="shared" si="155"/>
        <v>8.5329999999999195</v>
      </c>
      <c r="AN138" s="116">
        <f t="shared" si="155"/>
        <v>8.9899999999999949</v>
      </c>
      <c r="AO138" s="116">
        <f t="shared" si="155"/>
        <v>-9.8139999999998793</v>
      </c>
      <c r="AP138" s="116">
        <f t="shared" si="155"/>
        <v>34.753000000000071</v>
      </c>
      <c r="AQ138" s="134">
        <f t="shared" si="155"/>
        <v>42.462000000000103</v>
      </c>
      <c r="AR138" s="116">
        <f t="shared" si="155"/>
        <v>28.294999999999604</v>
      </c>
      <c r="AS138" s="116">
        <f t="shared" si="155"/>
        <v>-4.9429999999998557</v>
      </c>
      <c r="AT138" s="116">
        <f t="shared" si="155"/>
        <v>-3.4690000000001504</v>
      </c>
      <c r="AU138" s="116">
        <f t="shared" si="155"/>
        <v>13.250000000000128</v>
      </c>
      <c r="AV138" s="134">
        <f t="shared" si="155"/>
        <v>33.132999999999697</v>
      </c>
      <c r="AW138" s="116">
        <f t="shared" si="155"/>
        <v>4.2759999999998684</v>
      </c>
      <c r="AX138" s="116">
        <f t="shared" si="155"/>
        <v>18.378000000000185</v>
      </c>
      <c r="AY138" s="116">
        <f t="shared" si="155"/>
        <v>7.341000000000065</v>
      </c>
      <c r="AZ138" s="116">
        <f t="shared" si="155"/>
        <v>6.9079999999997881</v>
      </c>
      <c r="BA138" s="134">
        <f t="shared" si="155"/>
        <v>36.902999999999906</v>
      </c>
      <c r="BB138" s="116">
        <f t="shared" si="155"/>
        <v>2.471000000000231</v>
      </c>
      <c r="BC138" s="116">
        <f t="shared" si="155"/>
        <v>25.791000000000054</v>
      </c>
      <c r="BD138" s="116">
        <f t="shared" si="155"/>
        <v>24.558999999999969</v>
      </c>
      <c r="BE138" s="116">
        <f t="shared" si="155"/>
        <v>18.769000000000002</v>
      </c>
      <c r="BF138" s="134">
        <f>BF146</f>
        <v>71.590000000000259</v>
      </c>
      <c r="BG138" s="116">
        <f t="shared" si="152"/>
        <v>15.639173752286814</v>
      </c>
      <c r="BH138" s="116">
        <f t="shared" si="152"/>
        <v>20.256355944654388</v>
      </c>
      <c r="BI138" s="116">
        <f t="shared" si="152"/>
        <v>20.48365827897705</v>
      </c>
      <c r="BJ138" s="116">
        <f t="shared" si="152"/>
        <v>21.046378580228605</v>
      </c>
      <c r="BK138" s="134">
        <f t="shared" si="152"/>
        <v>77.425566556146862</v>
      </c>
      <c r="BL138" s="116">
        <f t="shared" ref="BL138:BZ138" si="156">BL146</f>
        <v>16.645336996566382</v>
      </c>
      <c r="BM138" s="116">
        <f t="shared" si="156"/>
        <v>19.462328909032589</v>
      </c>
      <c r="BN138" s="116">
        <f t="shared" si="156"/>
        <v>19.848918075685702</v>
      </c>
      <c r="BO138" s="116">
        <f t="shared" si="156"/>
        <v>19.799493522125196</v>
      </c>
      <c r="BP138" s="134">
        <f t="shared" si="156"/>
        <v>75.75607750340987</v>
      </c>
      <c r="BQ138" s="116">
        <f t="shared" si="156"/>
        <v>16.302411091066617</v>
      </c>
      <c r="BR138" s="116">
        <f t="shared" si="156"/>
        <v>17.403931620389024</v>
      </c>
      <c r="BS138" s="116">
        <f t="shared" si="156"/>
        <v>17.486875455624375</v>
      </c>
      <c r="BT138" s="116">
        <f t="shared" si="156"/>
        <v>15.890949260835782</v>
      </c>
      <c r="BU138" s="134">
        <f t="shared" si="156"/>
        <v>67.084167427915801</v>
      </c>
      <c r="BV138" s="116">
        <f t="shared" si="156"/>
        <v>15.052101706990795</v>
      </c>
      <c r="BW138" s="116">
        <f t="shared" si="156"/>
        <v>16.196850615780029</v>
      </c>
      <c r="BX138" s="116">
        <f t="shared" si="156"/>
        <v>16.069783580747188</v>
      </c>
      <c r="BY138" s="116">
        <f t="shared" si="156"/>
        <v>15.479613211502194</v>
      </c>
      <c r="BZ138" s="830">
        <f t="shared" si="156"/>
        <v>62.798349115020216</v>
      </c>
    </row>
    <row r="139" spans="3:78" ht="14.1" customHeight="1" x14ac:dyDescent="0.2">
      <c r="C139" s="577" t="s">
        <v>328</v>
      </c>
      <c r="D139" s="116">
        <f>D150</f>
        <v>0</v>
      </c>
      <c r="E139" s="116">
        <f t="shared" ref="E139:J139" si="157">E150</f>
        <v>28.084000000000046</v>
      </c>
      <c r="F139" s="116">
        <f t="shared" si="157"/>
        <v>60.794999999999973</v>
      </c>
      <c r="G139" s="116">
        <f t="shared" si="157"/>
        <v>56.061000000000064</v>
      </c>
      <c r="H139" s="116">
        <f t="shared" si="157"/>
        <v>42.843000000000018</v>
      </c>
      <c r="I139" s="116">
        <f t="shared" si="157"/>
        <v>25.073000000000008</v>
      </c>
      <c r="J139" s="570">
        <f t="shared" si="157"/>
        <v>56.556999999999988</v>
      </c>
      <c r="K139" s="116">
        <f>K150</f>
        <v>69.80285999999991</v>
      </c>
      <c r="L139" s="116">
        <f>L150</f>
        <v>83.619611880638601</v>
      </c>
      <c r="M139" s="116">
        <f>M150</f>
        <v>81.816563703682661</v>
      </c>
      <c r="N139" s="116">
        <f>N150</f>
        <v>72.450900822149066</v>
      </c>
      <c r="O139" s="551">
        <f>O150</f>
        <v>67.82221704422183</v>
      </c>
      <c r="R139" s="829" t="str">
        <f>C139</f>
        <v>Accumulated Depreciation on Disposals</v>
      </c>
      <c r="S139" s="116">
        <f>S150</f>
        <v>0</v>
      </c>
      <c r="T139" s="116">
        <f>T150</f>
        <v>-498.5</v>
      </c>
      <c r="U139" s="116">
        <f>U150</f>
        <v>4.9549999999999628</v>
      </c>
      <c r="V139" s="116">
        <f>V150</f>
        <v>6.3460000000000036</v>
      </c>
      <c r="W139" s="134">
        <f>W150</f>
        <v>87.102000000000004</v>
      </c>
      <c r="X139" s="116">
        <f t="shared" ref="X139:BF139" si="158">X150</f>
        <v>3.5450000000001012</v>
      </c>
      <c r="Y139" s="116">
        <f t="shared" si="158"/>
        <v>4.2619999999999578</v>
      </c>
      <c r="Z139" s="116">
        <f t="shared" si="158"/>
        <v>12.048000000000041</v>
      </c>
      <c r="AA139" s="116">
        <f t="shared" si="158"/>
        <v>8.2289999999999424</v>
      </c>
      <c r="AB139" s="134">
        <f t="shared" si="158"/>
        <v>28.084000000000046</v>
      </c>
      <c r="AC139" s="116">
        <f t="shared" si="158"/>
        <v>6.657</v>
      </c>
      <c r="AD139" s="116">
        <f t="shared" si="158"/>
        <v>3.3309999999999889</v>
      </c>
      <c r="AE139" s="116">
        <f t="shared" si="158"/>
        <v>11.658000000000044</v>
      </c>
      <c r="AF139" s="116">
        <f t="shared" si="158"/>
        <v>39.148999999999944</v>
      </c>
      <c r="AG139" s="134">
        <f t="shared" si="158"/>
        <v>60.794999999999973</v>
      </c>
      <c r="AH139" s="116">
        <f t="shared" si="158"/>
        <v>6.3310000000001025</v>
      </c>
      <c r="AI139" s="116">
        <f t="shared" si="158"/>
        <v>3.2009999999999224</v>
      </c>
      <c r="AJ139" s="116">
        <f t="shared" si="158"/>
        <v>15.305000000000014</v>
      </c>
      <c r="AK139" s="116">
        <f t="shared" si="158"/>
        <v>31.224000000000018</v>
      </c>
      <c r="AL139" s="134">
        <f t="shared" si="158"/>
        <v>56.061000000000064</v>
      </c>
      <c r="AM139" s="116">
        <f t="shared" si="158"/>
        <v>4.0780000000000172</v>
      </c>
      <c r="AN139" s="116">
        <f t="shared" si="158"/>
        <v>4.1870000000000189</v>
      </c>
      <c r="AO139" s="116">
        <f t="shared" si="158"/>
        <v>16.529999999999895</v>
      </c>
      <c r="AP139" s="116">
        <f t="shared" si="158"/>
        <v>18.048000000000087</v>
      </c>
      <c r="AQ139" s="134">
        <f t="shared" si="158"/>
        <v>42.843000000000018</v>
      </c>
      <c r="AR139" s="116">
        <f t="shared" si="158"/>
        <v>13.098999999999933</v>
      </c>
      <c r="AS139" s="116">
        <f t="shared" si="158"/>
        <v>3.2429999999999808</v>
      </c>
      <c r="AT139" s="116">
        <f t="shared" si="158"/>
        <v>0.77700000000002944</v>
      </c>
      <c r="AU139" s="116">
        <f t="shared" si="158"/>
        <v>7.9540000000000646</v>
      </c>
      <c r="AV139" s="134">
        <f t="shared" si="158"/>
        <v>25.073000000000008</v>
      </c>
      <c r="AW139" s="116">
        <f t="shared" si="158"/>
        <v>4.4350000000000662</v>
      </c>
      <c r="AX139" s="116">
        <f t="shared" si="158"/>
        <v>3.6679999999999922</v>
      </c>
      <c r="AY139" s="116">
        <f t="shared" si="158"/>
        <v>5.3989999999999512</v>
      </c>
      <c r="AZ139" s="116">
        <f t="shared" si="158"/>
        <v>43.054999999999978</v>
      </c>
      <c r="BA139" s="134">
        <f t="shared" si="158"/>
        <v>56.556999999999988</v>
      </c>
      <c r="BB139" s="116">
        <f t="shared" si="158"/>
        <v>7.712000000000053</v>
      </c>
      <c r="BC139" s="116">
        <f t="shared" si="158"/>
        <v>17.933999999999912</v>
      </c>
      <c r="BD139" s="116">
        <f t="shared" si="158"/>
        <v>26.513999999999946</v>
      </c>
      <c r="BE139" s="116">
        <f t="shared" si="158"/>
        <v>17.642860000000002</v>
      </c>
      <c r="BF139" s="134">
        <f t="shared" si="158"/>
        <v>69.80285999999991</v>
      </c>
      <c r="BG139" s="116">
        <f>BG150</f>
        <v>16.890307652469758</v>
      </c>
      <c r="BH139" s="116">
        <f>BH150</f>
        <v>21.876864420226742</v>
      </c>
      <c r="BI139" s="116">
        <f>BI150</f>
        <v>22.122350941295213</v>
      </c>
      <c r="BJ139" s="116">
        <f>BJ150</f>
        <v>22.730088866646895</v>
      </c>
      <c r="BK139" s="134">
        <f>BK150</f>
        <v>83.619611880638601</v>
      </c>
      <c r="BL139" s="116">
        <f t="shared" ref="BL139:BZ139" si="159">BL150</f>
        <v>17.976963956291694</v>
      </c>
      <c r="BM139" s="116">
        <f t="shared" si="159"/>
        <v>21.019315221755196</v>
      </c>
      <c r="BN139" s="116">
        <f t="shared" si="159"/>
        <v>21.436831521740562</v>
      </c>
      <c r="BO139" s="116">
        <f t="shared" si="159"/>
        <v>21.383453003895212</v>
      </c>
      <c r="BP139" s="134">
        <f t="shared" si="159"/>
        <v>81.816563703682661</v>
      </c>
      <c r="BQ139" s="116">
        <f t="shared" si="159"/>
        <v>17.606603978351949</v>
      </c>
      <c r="BR139" s="116">
        <f t="shared" si="159"/>
        <v>18.796246150020146</v>
      </c>
      <c r="BS139" s="116">
        <f t="shared" si="159"/>
        <v>18.885825492074325</v>
      </c>
      <c r="BT139" s="116">
        <f t="shared" si="159"/>
        <v>17.162225201702647</v>
      </c>
      <c r="BU139" s="134">
        <f t="shared" si="159"/>
        <v>72.450900822149066</v>
      </c>
      <c r="BV139" s="116">
        <f t="shared" si="159"/>
        <v>16.256269843550061</v>
      </c>
      <c r="BW139" s="116">
        <f t="shared" si="159"/>
        <v>17.492598665042433</v>
      </c>
      <c r="BX139" s="116">
        <f t="shared" si="159"/>
        <v>17.355366267206964</v>
      </c>
      <c r="BY139" s="116">
        <f t="shared" si="159"/>
        <v>16.717982268422372</v>
      </c>
      <c r="BZ139" s="830">
        <f t="shared" si="159"/>
        <v>67.82221704422183</v>
      </c>
    </row>
    <row r="140" spans="3:78" ht="14.1" customHeight="1" x14ac:dyDescent="0.2">
      <c r="C140" s="564" t="s">
        <v>329</v>
      </c>
      <c r="D140" s="831">
        <f>D19/'Income Statement'!D8</f>
        <v>0.52379755720604271</v>
      </c>
      <c r="E140" s="831">
        <f>E19/'Income Statement'!E8</f>
        <v>0.53998762885849916</v>
      </c>
      <c r="F140" s="831">
        <f>F19/'Income Statement'!F8</f>
        <v>0.58911869975122222</v>
      </c>
      <c r="G140" s="831">
        <f>G19/'Income Statement'!G8</f>
        <v>0.62338026499616439</v>
      </c>
      <c r="H140" s="831">
        <f>H19/'Income Statement'!H8</f>
        <v>0.55946684237017963</v>
      </c>
      <c r="I140" s="831">
        <f>I19/'Income Statement'!I8</f>
        <v>0.53101351440891076</v>
      </c>
      <c r="J140" s="832">
        <f>J19/'Income Statement'!J8</f>
        <v>0.61195523199741253</v>
      </c>
      <c r="K140" s="833">
        <f>(J17+K137-K138)-K18/'Income Statement'!K8</f>
        <v>3822.1190729939808</v>
      </c>
      <c r="L140" s="831">
        <f>(K17+L137-L138)-L18/'Income Statement'!L8</f>
        <v>4419.7136667799823</v>
      </c>
      <c r="M140" s="831">
        <f>(L17+M137-M138)-M18/'Income Statement'!M8</f>
        <v>5004.4320081593287</v>
      </c>
      <c r="N140" s="831">
        <f>(M17+N137-N138)-N18/'Income Statement'!N8</f>
        <v>5522.1923502597629</v>
      </c>
      <c r="O140" s="834">
        <f>(N17+O137-O138)-O18/'Income Statement'!O8</f>
        <v>6006.8685380104698</v>
      </c>
      <c r="R140" s="835" t="str">
        <f>C140</f>
        <v>Net Fixed Assets / Sales (%)</v>
      </c>
      <c r="S140" s="836">
        <f>S19/4/'Income Statement'!S8</f>
        <v>0.55122953356649851</v>
      </c>
      <c r="T140" s="836">
        <f>T19/4/'Income Statement'!T8</f>
        <v>0.4978389546571364</v>
      </c>
      <c r="U140" s="836">
        <f>U19/4/'Income Statement'!U8</f>
        <v>0.51618784672429452</v>
      </c>
      <c r="V140" s="836">
        <f>V19/4/'Income Statement'!V8</f>
        <v>0.49263372711179415</v>
      </c>
      <c r="W140" s="837">
        <f>W19/'Income Statement'!W8</f>
        <v>0.52379755720604271</v>
      </c>
      <c r="X140" s="836">
        <f>X19/4/'Income Statement'!X8</f>
        <v>0.48424663637173665</v>
      </c>
      <c r="Y140" s="836">
        <f>Y19/4/'Income Statement'!Y8</f>
        <v>0.48088374555666469</v>
      </c>
      <c r="Z140" s="836">
        <f>Z19/4/'Income Statement'!Z8</f>
        <v>0.49095372707149604</v>
      </c>
      <c r="AA140" s="836">
        <f>AA19/4/'Income Statement'!AA8</f>
        <v>0.54889858635525535</v>
      </c>
      <c r="AB140" s="837">
        <f>AB19/'Income Statement'!AB8</f>
        <v>0.53998762885849916</v>
      </c>
      <c r="AC140" s="836">
        <f>AC19/4/'Income Statement'!AC8</f>
        <v>0.55136707713890465</v>
      </c>
      <c r="AD140" s="836">
        <f>AD19/4/'Income Statement'!AD8</f>
        <v>0.53390116222708128</v>
      </c>
      <c r="AE140" s="836">
        <f>AE19/4/'Income Statement'!AE8</f>
        <v>0.55509915950615385</v>
      </c>
      <c r="AF140" s="836">
        <f>AF19/4/'Income Statement'!AF8</f>
        <v>0.59393034882015072</v>
      </c>
      <c r="AG140" s="837">
        <f>AG19/'Income Statement'!AG8</f>
        <v>0.58911869975122222</v>
      </c>
      <c r="AH140" s="836">
        <f>AH19/4/'Income Statement'!AH8</f>
        <v>0.62830200091398669</v>
      </c>
      <c r="AI140" s="836">
        <f>AI19/4/'Income Statement'!AI8</f>
        <v>0.66889831481366324</v>
      </c>
      <c r="AJ140" s="836">
        <f>AJ19/4/'Income Statement'!AJ8</f>
        <v>0.59263639083124564</v>
      </c>
      <c r="AK140" s="836">
        <f>AK19/4/'Income Statement'!AK8</f>
        <v>0.59604927363468085</v>
      </c>
      <c r="AL140" s="837">
        <f>AL19/'Income Statement'!AL8</f>
        <v>0.62338026499616439</v>
      </c>
      <c r="AM140" s="836">
        <f>AM19/4/'Income Statement'!AM8</f>
        <v>0.57933704350987658</v>
      </c>
      <c r="AN140" s="836">
        <f>AN19/4/'Income Statement'!AN8</f>
        <v>0.50624591963005816</v>
      </c>
      <c r="AO140" s="836">
        <f>AO19/4/'Income Statement'!AO8</f>
        <v>0.48774455710335324</v>
      </c>
      <c r="AP140" s="836">
        <f>AP19/4/'Income Statement'!AP8</f>
        <v>0.51875442608020639</v>
      </c>
      <c r="AQ140" s="837">
        <f>AQ19/'Income Statement'!AQ8</f>
        <v>0.55946684237017963</v>
      </c>
      <c r="AR140" s="836">
        <f>AR19/4/'Income Statement'!AR8</f>
        <v>0.48076763115230126</v>
      </c>
      <c r="AS140" s="836">
        <f>AS19/4/'Income Statement'!AS8</f>
        <v>0.4536556037523774</v>
      </c>
      <c r="AT140" s="836">
        <f>AT19/4/'Income Statement'!AT8</f>
        <v>0.4931626690571454</v>
      </c>
      <c r="AU140" s="836">
        <f>AU19/4/'Income Statement'!AU8</f>
        <v>0.56525896487252336</v>
      </c>
      <c r="AV140" s="837">
        <f>AV19/'Income Statement'!AV8</f>
        <v>0.53101351440891076</v>
      </c>
      <c r="AW140" s="836">
        <f>AW19/4/'Income Statement'!AW8</f>
        <v>0.59357717607696803</v>
      </c>
      <c r="AX140" s="836">
        <f>AX19/4/'Income Statement'!AX8</f>
        <v>0.57857115092813072</v>
      </c>
      <c r="AY140" s="836">
        <f>AY19/4/'Income Statement'!AY8</f>
        <v>0.53973810027556168</v>
      </c>
      <c r="AZ140" s="836">
        <f>AZ19/4/'Income Statement'!AZ8</f>
        <v>0.58688353045802866</v>
      </c>
      <c r="BA140" s="837">
        <f>BA19/'Income Statement'!BA8</f>
        <v>0.61195523199741253</v>
      </c>
      <c r="BB140" s="836">
        <f>BB19/4/'Income Statement'!BB8</f>
        <v>0.72103077075949784</v>
      </c>
      <c r="BC140" s="836">
        <f>BC19/4/'Income Statement'!BC8</f>
        <v>0.71097572530136866</v>
      </c>
      <c r="BD140" s="836">
        <f>BD19/4/'Income Statement'!BD8</f>
        <v>0.73681841769949763</v>
      </c>
      <c r="BE140" s="836">
        <f>((BD144+BE145-$BE$146)-BE148)/4/'Income Statement'!BD8</f>
        <v>0.76046767682673455</v>
      </c>
      <c r="BF140" s="837">
        <f>((BA144+BF145-$BF$146)-BF148)/'Income Statement'!BF8</f>
        <v>0.79821925388381598</v>
      </c>
      <c r="BG140" s="836">
        <f>((BF144+BG145-$BE$146)-BG148)/4/'Income Statement'!BF8</f>
        <v>0.20551296177150119</v>
      </c>
      <c r="BH140" s="836">
        <f>((BG144+BH145-$BE$146)-BH148)/4/'Income Statement'!BG8</f>
        <v>0.83011327273798174</v>
      </c>
      <c r="BI140" s="836">
        <f>((BH144+BI145-$BE$146)-BI148)/4/'Income Statement'!BH8</f>
        <v>0.78234908901702716</v>
      </c>
      <c r="BJ140" s="836">
        <f>((BI144+BJ145-$BE$146)-BJ148)/4/'Income Statement'!BI8</f>
        <v>0.8145158977690613</v>
      </c>
      <c r="BK140" s="837">
        <f>((BF144+BK145-$BF$146)-BK148)/'Income Statement'!BK8</f>
        <v>0.84287957574751016</v>
      </c>
      <c r="BL140" s="836">
        <f>((BK144+BL145-$BE$146)-BL148)/4/'Income Statement'!BK8</f>
        <v>0.21574463849051731</v>
      </c>
      <c r="BM140" s="836">
        <f>((BL144+BM145-$BE$146)-BM148)/4/'Income Statement'!BL8</f>
        <v>0.84345464034483775</v>
      </c>
      <c r="BN140" s="836">
        <f>((BM144+BN145-$BE$146)-BN148)/4/'Income Statement'!BM8</f>
        <v>0.78359118644007753</v>
      </c>
      <c r="BO140" s="836">
        <f>((BN144+BO145-$BE$146)-BO148)/4/'Income Statement'!BN8</f>
        <v>0.80163877096609404</v>
      </c>
      <c r="BP140" s="837">
        <f>((BK144+BP145-$BF$146)-BP148)/'Income Statement'!BP8</f>
        <v>0.82780576173136589</v>
      </c>
      <c r="BQ140" s="836">
        <f>((BP144+BQ145-$BE$146)-BQ148)/4/'Income Statement'!BP8</f>
        <v>0.21070051004916082</v>
      </c>
      <c r="BR140" s="836">
        <f>((BQ144+BR145-$BE$146)-BR148)/4/'Income Statement'!BQ8</f>
        <v>0.86179016076806481</v>
      </c>
      <c r="BS140" s="836">
        <f>((BR144+BS145-$BE$146)-BS148)/4/'Income Statement'!BR8</f>
        <v>0.78873262504959063</v>
      </c>
      <c r="BT140" s="836">
        <f>((BS144+BT145-$BE$146)-BT148)/4/'Income Statement'!BS8</f>
        <v>0.79142805860848353</v>
      </c>
      <c r="BU140" s="837">
        <f>((BP144+BU145-$BF$146)-BU148)/'Income Statement'!BU8</f>
        <v>0.82055138737243016</v>
      </c>
      <c r="BV140" s="836">
        <f>((BU144+BV145-$BE$146)-BV148)/4/'Income Statement'!BU8</f>
        <v>0.20796116719355351</v>
      </c>
      <c r="BW140" s="836">
        <f>((BV144+BW145-$BE$146)-BW148)/4/'Income Statement'!BV8</f>
        <v>0.85327931334292484</v>
      </c>
      <c r="BX140" s="836">
        <f>((BW144+BX145-$BE$146)-BX148)/4/'Income Statement'!BW8</f>
        <v>0.77068866851963713</v>
      </c>
      <c r="BY140" s="836">
        <f>((BX144+BY145-$BE$146)-BY148)/4/'Income Statement'!BX8</f>
        <v>0.77260051311358713</v>
      </c>
      <c r="BZ140" s="838">
        <f>((BU144+BZ145-$BF$146)-BZ148)/'Income Statement'!BZ8</f>
        <v>0.80286267251391019</v>
      </c>
    </row>
    <row r="142" spans="3:78" ht="14.1" customHeight="1" x14ac:dyDescent="0.2">
      <c r="C142" s="839" t="s">
        <v>434</v>
      </c>
      <c r="D142" s="97">
        <f>D105</f>
        <v>43100</v>
      </c>
      <c r="E142" s="98">
        <f t="shared" ref="E142:O142" si="160">E105</f>
        <v>43465</v>
      </c>
      <c r="F142" s="98">
        <f t="shared" si="160"/>
        <v>43830</v>
      </c>
      <c r="G142" s="98">
        <f t="shared" si="160"/>
        <v>44196</v>
      </c>
      <c r="H142" s="98">
        <f t="shared" si="160"/>
        <v>44561</v>
      </c>
      <c r="I142" s="98">
        <f t="shared" si="160"/>
        <v>44926</v>
      </c>
      <c r="J142" s="98">
        <f t="shared" si="160"/>
        <v>45291</v>
      </c>
      <c r="K142" s="137">
        <f t="shared" si="160"/>
        <v>45657</v>
      </c>
      <c r="L142" s="138">
        <f t="shared" si="160"/>
        <v>46022</v>
      </c>
      <c r="M142" s="138">
        <f t="shared" si="160"/>
        <v>46387</v>
      </c>
      <c r="N142" s="138">
        <f t="shared" si="160"/>
        <v>46752</v>
      </c>
      <c r="O142" s="139">
        <f t="shared" si="160"/>
        <v>47118</v>
      </c>
      <c r="P142" s="115"/>
      <c r="Q142" s="115"/>
      <c r="R142" s="840" t="str">
        <f>C142</f>
        <v>Analysis of CAPEX</v>
      </c>
      <c r="S142" s="1400">
        <f>S105</f>
        <v>43100</v>
      </c>
      <c r="T142" s="1400"/>
      <c r="U142" s="1400"/>
      <c r="V142" s="1400"/>
      <c r="W142" s="1400"/>
      <c r="X142" s="1400">
        <f>X105</f>
        <v>43465</v>
      </c>
      <c r="Y142" s="1400"/>
      <c r="Z142" s="1400"/>
      <c r="AA142" s="1400"/>
      <c r="AB142" s="1400"/>
      <c r="AC142" s="1400">
        <f>AC105</f>
        <v>43830</v>
      </c>
      <c r="AD142" s="1400"/>
      <c r="AE142" s="1400"/>
      <c r="AF142" s="1400"/>
      <c r="AG142" s="1400"/>
      <c r="AH142" s="1400">
        <f>AH105</f>
        <v>44196</v>
      </c>
      <c r="AI142" s="1400"/>
      <c r="AJ142" s="1400"/>
      <c r="AK142" s="1400"/>
      <c r="AL142" s="1400"/>
      <c r="AM142" s="1400">
        <f>AM105</f>
        <v>44561</v>
      </c>
      <c r="AN142" s="1400"/>
      <c r="AO142" s="1400"/>
      <c r="AP142" s="1400"/>
      <c r="AQ142" s="1400"/>
      <c r="AR142" s="1400">
        <f>AR105</f>
        <v>44926</v>
      </c>
      <c r="AS142" s="1400"/>
      <c r="AT142" s="1400"/>
      <c r="AU142" s="1400"/>
      <c r="AV142" s="1400"/>
      <c r="AW142" s="1400">
        <f>AW105</f>
        <v>45291</v>
      </c>
      <c r="AX142" s="1400"/>
      <c r="AY142" s="1400"/>
      <c r="AZ142" s="1400"/>
      <c r="BA142" s="1400"/>
      <c r="BB142" s="1401">
        <f>BB105</f>
        <v>45657</v>
      </c>
      <c r="BC142" s="1401"/>
      <c r="BD142" s="1401"/>
      <c r="BE142" s="1401"/>
      <c r="BF142" s="1401"/>
      <c r="BG142" s="1398">
        <f>BG105</f>
        <v>46022</v>
      </c>
      <c r="BH142" s="1398"/>
      <c r="BI142" s="1398"/>
      <c r="BJ142" s="1398"/>
      <c r="BK142" s="1398"/>
      <c r="BL142" s="1398">
        <f>BL105</f>
        <v>46387</v>
      </c>
      <c r="BM142" s="1398"/>
      <c r="BN142" s="1398"/>
      <c r="BO142" s="1398"/>
      <c r="BP142" s="1398"/>
      <c r="BQ142" s="1398">
        <f>BQ105</f>
        <v>46752</v>
      </c>
      <c r="BR142" s="1398"/>
      <c r="BS142" s="1398"/>
      <c r="BT142" s="1398"/>
      <c r="BU142" s="1398"/>
      <c r="BV142" s="1398">
        <f>BV105</f>
        <v>47118</v>
      </c>
      <c r="BW142" s="1398"/>
      <c r="BX142" s="1398"/>
      <c r="BY142" s="1398"/>
      <c r="BZ142" s="1399"/>
    </row>
    <row r="143" spans="3:78" ht="14.1" customHeight="1" x14ac:dyDescent="0.2">
      <c r="C143" s="574"/>
      <c r="D143" s="129"/>
      <c r="E143" s="129"/>
      <c r="F143" s="129"/>
      <c r="G143" s="129"/>
      <c r="H143" s="129"/>
      <c r="I143" s="129"/>
      <c r="J143" s="583"/>
      <c r="K143" s="129"/>
      <c r="L143" s="129"/>
      <c r="M143" s="129"/>
      <c r="N143" s="129"/>
      <c r="O143" s="575"/>
      <c r="P143" s="115"/>
      <c r="Q143" s="115"/>
      <c r="R143" s="96"/>
      <c r="S143" s="96" t="str">
        <f>S106</f>
        <v>2017 Q1</v>
      </c>
      <c r="T143" s="140" t="str">
        <f>T106</f>
        <v>2017 Q2</v>
      </c>
      <c r="U143" s="140" t="str">
        <f>U106</f>
        <v>2017 Q3</v>
      </c>
      <c r="V143" s="140" t="str">
        <f>V106</f>
        <v>2017 Q4</v>
      </c>
      <c r="W143" s="140" t="str">
        <f>W106</f>
        <v>2017 FY</v>
      </c>
      <c r="X143" s="140" t="str">
        <f>X106</f>
        <v>2018 Q1</v>
      </c>
      <c r="Y143" s="140" t="str">
        <f>Y106</f>
        <v>2018 Q2</v>
      </c>
      <c r="Z143" s="140" t="str">
        <f>Z106</f>
        <v>2018 Q3</v>
      </c>
      <c r="AA143" s="140" t="str">
        <f>AA106</f>
        <v>2018 Q4</v>
      </c>
      <c r="AB143" s="140" t="str">
        <f>AB106</f>
        <v>2018 FY</v>
      </c>
      <c r="AC143" s="140" t="str">
        <f>AC106</f>
        <v>2019 Q1</v>
      </c>
      <c r="AD143" s="140" t="str">
        <f>AD106</f>
        <v>2019 Q2</v>
      </c>
      <c r="AE143" s="140" t="str">
        <f>AE106</f>
        <v>2019 Q3</v>
      </c>
      <c r="AF143" s="140" t="str">
        <f>AF106</f>
        <v>2019 Q4</v>
      </c>
      <c r="AG143" s="140" t="str">
        <f>AG106</f>
        <v>2019 FY</v>
      </c>
      <c r="AH143" s="140" t="str">
        <f>AH106</f>
        <v>2020 Q1</v>
      </c>
      <c r="AI143" s="140" t="str">
        <f>AI106</f>
        <v>2020 Q2</v>
      </c>
      <c r="AJ143" s="140" t="str">
        <f>AJ106</f>
        <v>2020 Q3</v>
      </c>
      <c r="AK143" s="140" t="str">
        <f>AK106</f>
        <v>2020 Q4</v>
      </c>
      <c r="AL143" s="140" t="str">
        <f>AL106</f>
        <v>2020 FY</v>
      </c>
      <c r="AM143" s="140" t="str">
        <f>AM106</f>
        <v>2021 Q1</v>
      </c>
      <c r="AN143" s="140" t="str">
        <f>AN106</f>
        <v>2021 Q2</v>
      </c>
      <c r="AO143" s="140" t="str">
        <f>AO106</f>
        <v>2021 Q3</v>
      </c>
      <c r="AP143" s="140" t="str">
        <f>AP106</f>
        <v>2021 Q4</v>
      </c>
      <c r="AQ143" s="140" t="str">
        <f>AQ106</f>
        <v>2021 FY</v>
      </c>
      <c r="AR143" s="140" t="str">
        <f>AR106</f>
        <v>2022 Q1</v>
      </c>
      <c r="AS143" s="140" t="str">
        <f>AS106</f>
        <v>2022 Q2</v>
      </c>
      <c r="AT143" s="140" t="str">
        <f>AT106</f>
        <v>2022 Q3</v>
      </c>
      <c r="AU143" s="140" t="str">
        <f>AU106</f>
        <v>2022 Q4</v>
      </c>
      <c r="AV143" s="140" t="str">
        <f>AV106</f>
        <v>2022 FY</v>
      </c>
      <c r="AW143" s="140" t="str">
        <f>AW106</f>
        <v>2023 Q1</v>
      </c>
      <c r="AX143" s="140" t="str">
        <f>AX106</f>
        <v>2023 Q2</v>
      </c>
      <c r="AY143" s="140" t="str">
        <f>AY106</f>
        <v>2023 Q3</v>
      </c>
      <c r="AZ143" s="140" t="str">
        <f>AZ106</f>
        <v>2023 Q4</v>
      </c>
      <c r="BA143" s="140" t="str">
        <f>BA106</f>
        <v>2023 FY</v>
      </c>
      <c r="BB143" s="140" t="str">
        <f>BB106</f>
        <v>2024 Q1</v>
      </c>
      <c r="BC143" s="140" t="str">
        <f>BC106</f>
        <v>2024 Q2</v>
      </c>
      <c r="BD143" s="140" t="str">
        <f>BD106</f>
        <v>2024 Q3</v>
      </c>
      <c r="BE143" s="141" t="str">
        <f>BE106</f>
        <v>2024 Q4</v>
      </c>
      <c r="BF143" s="141" t="str">
        <f>BF106</f>
        <v>2024 FY</v>
      </c>
      <c r="BG143" s="141" t="str">
        <f>BG106</f>
        <v>2025 Q1</v>
      </c>
      <c r="BH143" s="141" t="str">
        <f>BH106</f>
        <v>2025 Q2</v>
      </c>
      <c r="BI143" s="141" t="str">
        <f>BI106</f>
        <v>2025 Q3</v>
      </c>
      <c r="BJ143" s="141" t="str">
        <f>BJ106</f>
        <v>2025 Q4</v>
      </c>
      <c r="BK143" s="141" t="str">
        <f>BK106</f>
        <v>2025 FY</v>
      </c>
      <c r="BL143" s="141" t="str">
        <f>BL106</f>
        <v>2026 Q1</v>
      </c>
      <c r="BM143" s="141" t="str">
        <f>BM106</f>
        <v>2026 Q2</v>
      </c>
      <c r="BN143" s="141" t="str">
        <f>BN106</f>
        <v>2026 Q3</v>
      </c>
      <c r="BO143" s="141" t="str">
        <f>BO106</f>
        <v>2026 Q4</v>
      </c>
      <c r="BP143" s="141" t="str">
        <f>BP106</f>
        <v>2026 FY</v>
      </c>
      <c r="BQ143" s="141" t="str">
        <f>BQ106</f>
        <v>2027 Q1</v>
      </c>
      <c r="BR143" s="141" t="str">
        <f>BR106</f>
        <v>2027 Q2</v>
      </c>
      <c r="BS143" s="141" t="str">
        <f>BS106</f>
        <v>2027 Q3</v>
      </c>
      <c r="BT143" s="141" t="str">
        <f>BT106</f>
        <v>2027 Q4</v>
      </c>
      <c r="BU143" s="141" t="str">
        <f>BU106</f>
        <v>2027 FY</v>
      </c>
      <c r="BV143" s="141" t="str">
        <f>BV106</f>
        <v>2028 Q1</v>
      </c>
      <c r="BW143" s="141" t="str">
        <f>BW106</f>
        <v>2028 Q2</v>
      </c>
      <c r="BX143" s="141" t="str">
        <f>BX106</f>
        <v>2028 Q3</v>
      </c>
      <c r="BY143" s="141" t="str">
        <f>BY106</f>
        <v>2028 Q4</v>
      </c>
      <c r="BZ143" s="142" t="str">
        <f>BZ106</f>
        <v>2028 FY</v>
      </c>
    </row>
    <row r="144" spans="3:78" ht="14.1" customHeight="1" x14ac:dyDescent="0.2">
      <c r="C144" s="625" t="s">
        <v>330</v>
      </c>
      <c r="D144" s="451">
        <f>D17</f>
        <v>1289.9939999999999</v>
      </c>
      <c r="E144" s="451">
        <f t="shared" ref="E144:J144" si="161">E17</f>
        <v>1521.3409999999999</v>
      </c>
      <c r="F144" s="451">
        <f t="shared" si="161"/>
        <v>1739.222</v>
      </c>
      <c r="G144" s="451">
        <f t="shared" si="161"/>
        <v>1901.2439999999999</v>
      </c>
      <c r="H144" s="451">
        <f t="shared" si="161"/>
        <v>2144.5279999999998</v>
      </c>
      <c r="I144" s="451">
        <f t="shared" si="161"/>
        <v>2478.8240000000001</v>
      </c>
      <c r="J144" s="568">
        <f t="shared" si="161"/>
        <v>2881.8</v>
      </c>
      <c r="K144" s="451">
        <f t="shared" ref="K144:K155" si="162">BF144</f>
        <v>3822.5120000000002</v>
      </c>
      <c r="L144" s="451">
        <f t="shared" ref="L144:L155" si="163">BK144</f>
        <v>4420.1131688941314</v>
      </c>
      <c r="M144" s="451">
        <f t="shared" ref="M144:M155" si="164">BP144</f>
        <v>5004.828560470145</v>
      </c>
      <c r="N144" s="451">
        <f t="shared" ref="N144:N155" si="165">BU144</f>
        <v>5522.6107176099349</v>
      </c>
      <c r="O144" s="452">
        <f t="shared" ref="O144:O155" si="166">BZ144</f>
        <v>6007.3132326188934</v>
      </c>
      <c r="R144" s="704" t="str">
        <f>C144</f>
        <v>Total PPE (Gross Amount or at Cost)</v>
      </c>
      <c r="S144" s="451">
        <f>S17</f>
        <v>1216.711</v>
      </c>
      <c r="T144" s="451">
        <f>T17</f>
        <v>1233.9059999999999</v>
      </c>
      <c r="U144" s="451">
        <f t="shared" ref="U144:BA144" si="167">U17</f>
        <v>1260.856</v>
      </c>
      <c r="V144" s="451">
        <f t="shared" si="167"/>
        <v>1289.9939999999999</v>
      </c>
      <c r="W144" s="451">
        <f t="shared" si="167"/>
        <v>1289.9939999999999</v>
      </c>
      <c r="X144" s="557">
        <f t="shared" si="167"/>
        <v>1334.557</v>
      </c>
      <c r="Y144" s="451">
        <f t="shared" si="167"/>
        <v>1419.3589999999999</v>
      </c>
      <c r="Z144" s="451">
        <f t="shared" si="167"/>
        <v>1445.049</v>
      </c>
      <c r="AA144" s="451">
        <f t="shared" si="167"/>
        <v>1521.3409999999999</v>
      </c>
      <c r="AB144" s="452">
        <f t="shared" si="167"/>
        <v>1521.3409999999999</v>
      </c>
      <c r="AC144" s="557">
        <f t="shared" si="167"/>
        <v>1553.9380000000001</v>
      </c>
      <c r="AD144" s="451">
        <f t="shared" si="167"/>
        <v>1665.557</v>
      </c>
      <c r="AE144" s="451">
        <f t="shared" si="167"/>
        <v>1735.019</v>
      </c>
      <c r="AF144" s="451">
        <f t="shared" si="167"/>
        <v>1739.222</v>
      </c>
      <c r="AG144" s="452">
        <f t="shared" si="167"/>
        <v>1739.222</v>
      </c>
      <c r="AH144" s="557">
        <f t="shared" si="167"/>
        <v>1834.768</v>
      </c>
      <c r="AI144" s="451">
        <f t="shared" si="167"/>
        <v>1862.048</v>
      </c>
      <c r="AJ144" s="451">
        <f t="shared" si="167"/>
        <v>1903.383</v>
      </c>
      <c r="AK144" s="451">
        <f t="shared" si="167"/>
        <v>1901.2439999999999</v>
      </c>
      <c r="AL144" s="452">
        <f t="shared" si="167"/>
        <v>1901.2439999999999</v>
      </c>
      <c r="AM144" s="557">
        <f t="shared" si="167"/>
        <v>1918.279</v>
      </c>
      <c r="AN144" s="451">
        <f t="shared" si="167"/>
        <v>1983.923</v>
      </c>
      <c r="AO144" s="451">
        <f t="shared" si="167"/>
        <v>2048.4189999999999</v>
      </c>
      <c r="AP144" s="451">
        <f t="shared" si="167"/>
        <v>2144.5279999999998</v>
      </c>
      <c r="AQ144" s="452">
        <f t="shared" si="167"/>
        <v>2144.5279999999998</v>
      </c>
      <c r="AR144" s="557">
        <f t="shared" si="167"/>
        <v>2162.4920000000002</v>
      </c>
      <c r="AS144" s="451">
        <f t="shared" si="167"/>
        <v>2277.527</v>
      </c>
      <c r="AT144" s="451">
        <f t="shared" si="167"/>
        <v>2403.7020000000002</v>
      </c>
      <c r="AU144" s="451">
        <f t="shared" si="167"/>
        <v>2478.8240000000001</v>
      </c>
      <c r="AV144" s="452">
        <f t="shared" si="167"/>
        <v>2478.8240000000001</v>
      </c>
      <c r="AW144" s="557">
        <f t="shared" si="167"/>
        <v>2602.9630000000002</v>
      </c>
      <c r="AX144" s="451">
        <f t="shared" si="167"/>
        <v>2683.192</v>
      </c>
      <c r="AY144" s="451">
        <f t="shared" si="167"/>
        <v>2789.357</v>
      </c>
      <c r="AZ144" s="451">
        <f>AZ17</f>
        <v>2881.8</v>
      </c>
      <c r="BA144" s="452">
        <f t="shared" si="167"/>
        <v>2881.8</v>
      </c>
      <c r="BB144" s="557">
        <f>BB17</f>
        <v>3336.4929999999999</v>
      </c>
      <c r="BC144" s="451">
        <f>BC17</f>
        <v>3535.4569999999999</v>
      </c>
      <c r="BD144" s="568">
        <f>BD17</f>
        <v>3704.2809999999999</v>
      </c>
      <c r="BE144" s="451">
        <f>BD144+BE145-BE146</f>
        <v>3822.5120000000002</v>
      </c>
      <c r="BF144" s="1242">
        <f>BE144</f>
        <v>3822.5120000000002</v>
      </c>
      <c r="BG144" s="1243">
        <f>BF144+BG145-BG146</f>
        <v>3943.2213332423676</v>
      </c>
      <c r="BH144" s="1244">
        <f>BG144+BH145-BH146</f>
        <v>4099.5679061961819</v>
      </c>
      <c r="BI144" s="1244">
        <f>BH144+BI145-BI146</f>
        <v>4257.6688885360109</v>
      </c>
      <c r="BJ144" s="1244">
        <f>BI144+BJ145-BJ146</f>
        <v>4420.1131688941314</v>
      </c>
      <c r="BK144" s="1242">
        <f>BJ144</f>
        <v>4420.1131688941314</v>
      </c>
      <c r="BL144" s="1243">
        <f>BK144+BL145-BL146</f>
        <v>4548.5884683105232</v>
      </c>
      <c r="BM144" s="1244">
        <f>BL144+BM145-BM146</f>
        <v>4698.8064263154629</v>
      </c>
      <c r="BN144" s="1244">
        <f>BM144+BN145-BN146</f>
        <v>4852.0082325264875</v>
      </c>
      <c r="BO144" s="1244">
        <f>BN144+BO145-BO146</f>
        <v>5004.828560470145</v>
      </c>
      <c r="BP144" s="1242">
        <f>BO144</f>
        <v>5004.828560470145</v>
      </c>
      <c r="BQ144" s="1243">
        <f>BP144+BQ145-BQ146</f>
        <v>5130.657022012615</v>
      </c>
      <c r="BR144" s="1244">
        <f>BQ144+BR145-BR146</f>
        <v>5264.9874549989308</v>
      </c>
      <c r="BS144" s="1244">
        <f>BR144+BS145-BS146</f>
        <v>5399.9580813360208</v>
      </c>
      <c r="BT144" s="1244">
        <f>BS144+BT145-BT146</f>
        <v>5522.6107176099349</v>
      </c>
      <c r="BU144" s="1242">
        <f>BT144</f>
        <v>5522.6107176099349</v>
      </c>
      <c r="BV144" s="1243">
        <f>BU144+BV145-BV146</f>
        <v>5638.7887964346864</v>
      </c>
      <c r="BW144" s="1244">
        <f>BV144+BW145-BW146</f>
        <v>5763.8025004464571</v>
      </c>
      <c r="BX144" s="1244">
        <f>BW144+BX145-BX146</f>
        <v>5887.8354507867843</v>
      </c>
      <c r="BY144" s="1244">
        <f>BX144+BY145-BY146</f>
        <v>6007.3132326188934</v>
      </c>
      <c r="BZ144" s="1242">
        <f>BY144</f>
        <v>6007.3132326188934</v>
      </c>
    </row>
    <row r="145" spans="1:78" ht="14.1" customHeight="1" x14ac:dyDescent="0.2">
      <c r="C145" s="565" t="s">
        <v>327</v>
      </c>
      <c r="D145" s="116">
        <f>W145</f>
        <v>186.69600000000003</v>
      </c>
      <c r="E145" s="116">
        <f>AB145</f>
        <v>223.67199999999997</v>
      </c>
      <c r="F145" s="116">
        <f>AG145</f>
        <v>287.65499999999997</v>
      </c>
      <c r="G145" s="116">
        <f>AL145</f>
        <v>231.142</v>
      </c>
      <c r="H145" s="116">
        <f>AQ145</f>
        <v>285.74599999999998</v>
      </c>
      <c r="I145" s="116">
        <f>AV145</f>
        <v>367.42899999999997</v>
      </c>
      <c r="J145" s="570">
        <f>BA145</f>
        <v>439.87900000000002</v>
      </c>
      <c r="K145" s="116">
        <f t="shared" si="162"/>
        <v>1012.302</v>
      </c>
      <c r="L145" s="116">
        <f t="shared" si="163"/>
        <v>675.02673545027778</v>
      </c>
      <c r="M145" s="116">
        <f t="shared" si="164"/>
        <v>660.4714690794234</v>
      </c>
      <c r="N145" s="116">
        <f t="shared" si="165"/>
        <v>584.86632456770531</v>
      </c>
      <c r="O145" s="551">
        <f t="shared" si="166"/>
        <v>547.50086412397741</v>
      </c>
      <c r="R145" s="210" t="str">
        <f t="shared" ref="R145:R155" si="168">C145</f>
        <v>CAPEX:</v>
      </c>
      <c r="S145" s="116" cm="1">
        <f t="array" ref="S145:BD145">TRANSPOSE(Data!X66:X103)</f>
        <v>88.388000000000005</v>
      </c>
      <c r="T145" s="116">
        <v>38.941999999999993</v>
      </c>
      <c r="U145" s="116">
        <v>28.345999999999989</v>
      </c>
      <c r="V145" s="116">
        <v>31.020000000000024</v>
      </c>
      <c r="W145" s="116">
        <v>186.69600000000003</v>
      </c>
      <c r="X145" s="559">
        <v>46.881</v>
      </c>
      <c r="Y145" s="116">
        <v>71.691999999999993</v>
      </c>
      <c r="Z145" s="116">
        <v>36.64400000000002</v>
      </c>
      <c r="AA145" s="116">
        <v>68.45499999999997</v>
      </c>
      <c r="AB145" s="551">
        <v>223.67199999999997</v>
      </c>
      <c r="AC145" s="559">
        <v>56.741</v>
      </c>
      <c r="AD145" s="116">
        <v>109.693</v>
      </c>
      <c r="AE145" s="116">
        <v>78.768999999999991</v>
      </c>
      <c r="AF145" s="116">
        <v>42.45199999999997</v>
      </c>
      <c r="AG145" s="551">
        <v>287.65499999999997</v>
      </c>
      <c r="AH145" s="559">
        <v>107.59099999999999</v>
      </c>
      <c r="AI145" s="116">
        <v>41.274000000000015</v>
      </c>
      <c r="AJ145" s="116">
        <v>56.441999999999965</v>
      </c>
      <c r="AK145" s="116">
        <v>25.835000000000051</v>
      </c>
      <c r="AL145" s="551">
        <v>231.142</v>
      </c>
      <c r="AM145" s="559">
        <v>25.568000000000001</v>
      </c>
      <c r="AN145" s="116">
        <v>74.634</v>
      </c>
      <c r="AO145" s="116">
        <v>54.681999999999988</v>
      </c>
      <c r="AP145" s="116">
        <v>130.86199999999999</v>
      </c>
      <c r="AQ145" s="551">
        <v>285.74599999999998</v>
      </c>
      <c r="AR145" s="559">
        <v>46.259</v>
      </c>
      <c r="AS145" s="116">
        <v>110.092</v>
      </c>
      <c r="AT145" s="116">
        <v>122.70600000000003</v>
      </c>
      <c r="AU145" s="116">
        <v>88.371999999999971</v>
      </c>
      <c r="AV145" s="551">
        <v>367.42899999999997</v>
      </c>
      <c r="AW145" s="559">
        <v>128.41499999999999</v>
      </c>
      <c r="AX145" s="116">
        <v>98.606999999999999</v>
      </c>
      <c r="AY145" s="116">
        <v>113.50600000000003</v>
      </c>
      <c r="AZ145" s="116">
        <v>99.350999999999999</v>
      </c>
      <c r="BA145" s="551">
        <v>439.87900000000002</v>
      </c>
      <c r="BB145" s="559">
        <v>457.16399999999999</v>
      </c>
      <c r="BC145" s="116">
        <v>224.755</v>
      </c>
      <c r="BD145" s="570">
        <v>193.38300000000004</v>
      </c>
      <c r="BE145" s="1216">
        <f>BE157</f>
        <v>137</v>
      </c>
      <c r="BF145" s="1214">
        <f>SUM(BB145:BE145)</f>
        <v>1012.302</v>
      </c>
      <c r="BG145" s="1215">
        <f>BG157</f>
        <v>136.348506994654</v>
      </c>
      <c r="BH145" s="1216">
        <f>BH157</f>
        <v>176.60292889846895</v>
      </c>
      <c r="BI145" s="1216">
        <f>BI157</f>
        <v>178.58464061880602</v>
      </c>
      <c r="BJ145" s="1216">
        <f>BJ157</f>
        <v>183.49065893834879</v>
      </c>
      <c r="BK145" s="1214">
        <f>SUM(BG145:BJ145)</f>
        <v>675.02673545027778</v>
      </c>
      <c r="BL145" s="1215">
        <f>BL157</f>
        <v>145.12063641295887</v>
      </c>
      <c r="BM145" s="1216">
        <f>BM157</f>
        <v>169.680286913972</v>
      </c>
      <c r="BN145" s="1216">
        <f>BN157</f>
        <v>173.05072428671056</v>
      </c>
      <c r="BO145" s="1216">
        <f>BO157</f>
        <v>172.61982146578202</v>
      </c>
      <c r="BP145" s="1214">
        <f>SUM(BL145:BO145)</f>
        <v>660.4714690794234</v>
      </c>
      <c r="BQ145" s="1215">
        <f>BQ157</f>
        <v>142.13087263353634</v>
      </c>
      <c r="BR145" s="1216">
        <f>BR157</f>
        <v>151.73436460670467</v>
      </c>
      <c r="BS145" s="1216">
        <f>BS157</f>
        <v>152.45750179271471</v>
      </c>
      <c r="BT145" s="1216">
        <f>BT157</f>
        <v>138.54358553474964</v>
      </c>
      <c r="BU145" s="1214">
        <f>SUM(BQ145:BT145)</f>
        <v>584.86632456770531</v>
      </c>
      <c r="BV145" s="1215">
        <f>BV157</f>
        <v>131.23018053174189</v>
      </c>
      <c r="BW145" s="1216">
        <f>BW157</f>
        <v>141.21055462755038</v>
      </c>
      <c r="BX145" s="1216">
        <f>BX157</f>
        <v>140.10273392107402</v>
      </c>
      <c r="BY145" s="1216">
        <f>BY157</f>
        <v>134.95739504361111</v>
      </c>
      <c r="BZ145" s="1214">
        <f>SUM(BV145:BY145)</f>
        <v>547.50086412397741</v>
      </c>
    </row>
    <row r="146" spans="1:78" ht="14.1" customHeight="1" x14ac:dyDescent="0.2">
      <c r="C146" s="621" t="s">
        <v>331</v>
      </c>
      <c r="D146" s="126"/>
      <c r="E146" s="126">
        <f t="shared" ref="E146:J146" si="169">(D144-E144)+E145</f>
        <v>-7.6750000000000114</v>
      </c>
      <c r="F146" s="126">
        <f t="shared" si="169"/>
        <v>69.773999999999887</v>
      </c>
      <c r="G146" s="126">
        <f t="shared" si="169"/>
        <v>69.120000000000061</v>
      </c>
      <c r="H146" s="126">
        <f t="shared" si="169"/>
        <v>42.462000000000103</v>
      </c>
      <c r="I146" s="126">
        <f t="shared" si="169"/>
        <v>33.132999999999697</v>
      </c>
      <c r="J146" s="614">
        <f t="shared" si="169"/>
        <v>36.902999999999906</v>
      </c>
      <c r="K146" s="126">
        <f t="shared" si="162"/>
        <v>71.590000000000259</v>
      </c>
      <c r="L146" s="126">
        <f t="shared" si="163"/>
        <v>77.425566556146862</v>
      </c>
      <c r="M146" s="126">
        <f t="shared" si="164"/>
        <v>75.75607750340987</v>
      </c>
      <c r="N146" s="126">
        <f t="shared" si="165"/>
        <v>67.084167427915801</v>
      </c>
      <c r="O146" s="622">
        <f t="shared" si="166"/>
        <v>62.798349115020216</v>
      </c>
      <c r="R146" s="633" t="str">
        <f t="shared" si="168"/>
        <v>Value of Disposal at Cost</v>
      </c>
      <c r="S146" s="126"/>
      <c r="T146" s="126">
        <f t="shared" ref="T146:AA146" si="170">(S144-T144)+T145</f>
        <v>21.747000000000057</v>
      </c>
      <c r="U146" s="126">
        <f t="shared" si="170"/>
        <v>1.395999999999944</v>
      </c>
      <c r="V146" s="126">
        <f t="shared" si="170"/>
        <v>1.8820000000001045</v>
      </c>
      <c r="W146" s="126">
        <f t="shared" si="170"/>
        <v>186.69600000000003</v>
      </c>
      <c r="X146" s="635">
        <f t="shared" si="170"/>
        <v>2.3179999999998984</v>
      </c>
      <c r="Y146" s="126">
        <f t="shared" si="170"/>
        <v>-13.109999999999914</v>
      </c>
      <c r="Z146" s="126">
        <f t="shared" si="170"/>
        <v>10.953999999999965</v>
      </c>
      <c r="AA146" s="126">
        <f t="shared" si="170"/>
        <v>-7.8369999999999465</v>
      </c>
      <c r="AB146" s="622">
        <f>(W144-AB144)+AB145</f>
        <v>-7.6750000000000114</v>
      </c>
      <c r="AC146" s="635">
        <f>(AB144-AC144)+AC145</f>
        <v>24.143999999999792</v>
      </c>
      <c r="AD146" s="126">
        <f>(AC144-AD144)+AD145</f>
        <v>-1.9259999999999167</v>
      </c>
      <c r="AE146" s="126">
        <f>(AD144-AE144)+AE145</f>
        <v>9.3070000000000022</v>
      </c>
      <c r="AF146" s="126">
        <f>(AE144-AF144)+AF145</f>
        <v>38.248999999999995</v>
      </c>
      <c r="AG146" s="622">
        <f>(AB144-AG144)+AG145</f>
        <v>69.773999999999887</v>
      </c>
      <c r="AH146" s="635">
        <f>(AG144-AH144)+AH145</f>
        <v>12.044999999999945</v>
      </c>
      <c r="AI146" s="126">
        <f>(AH144-AI144)+AI145</f>
        <v>13.994000000000042</v>
      </c>
      <c r="AJ146" s="126">
        <f>(AI144-AJ144)+AJ145</f>
        <v>15.106999999999928</v>
      </c>
      <c r="AK146" s="126">
        <f>(AJ144-AK144)+AK145</f>
        <v>27.974000000000174</v>
      </c>
      <c r="AL146" s="622">
        <f>(AG144-AL144)+AL145</f>
        <v>69.120000000000061</v>
      </c>
      <c r="AM146" s="635">
        <f>(AL144-AM144)+AM145</f>
        <v>8.5329999999999195</v>
      </c>
      <c r="AN146" s="126">
        <f>(AM144-AN144)+AN145</f>
        <v>8.9899999999999949</v>
      </c>
      <c r="AO146" s="126">
        <f>(AN144-AO144)+AO145</f>
        <v>-9.8139999999998793</v>
      </c>
      <c r="AP146" s="126">
        <f>(AO144-AP144)+AP145</f>
        <v>34.753000000000071</v>
      </c>
      <c r="AQ146" s="622">
        <f>(AL144-AQ144)+AQ145</f>
        <v>42.462000000000103</v>
      </c>
      <c r="AR146" s="635">
        <f>(AQ144-AR144)+AR145</f>
        <v>28.294999999999604</v>
      </c>
      <c r="AS146" s="126">
        <f>(AR144-AS144)+AS145</f>
        <v>-4.9429999999998557</v>
      </c>
      <c r="AT146" s="126">
        <f>(AS144-AT144)+AT145</f>
        <v>-3.4690000000001504</v>
      </c>
      <c r="AU146" s="126">
        <f>(AT144-AU144)+AU145</f>
        <v>13.250000000000128</v>
      </c>
      <c r="AV146" s="622">
        <f>(AQ144-AV144)+AV145</f>
        <v>33.132999999999697</v>
      </c>
      <c r="AW146" s="635">
        <f>(AV144-AW144)+AW145</f>
        <v>4.2759999999998684</v>
      </c>
      <c r="AX146" s="126">
        <f>(AW144-AX144)+AX145</f>
        <v>18.378000000000185</v>
      </c>
      <c r="AY146" s="126">
        <f>(AX144-AY144)+AY145</f>
        <v>7.341000000000065</v>
      </c>
      <c r="AZ146" s="126">
        <f>(AY144-AZ144)+AZ145</f>
        <v>6.9079999999997881</v>
      </c>
      <c r="BA146" s="622">
        <f>(AV144-BA144)+BA145</f>
        <v>36.902999999999906</v>
      </c>
      <c r="BB146" s="635">
        <f>(BA144-BB144)+BB145</f>
        <v>2.471000000000231</v>
      </c>
      <c r="BC146" s="126">
        <f>(BB144-BC144)+BC145</f>
        <v>25.791000000000054</v>
      </c>
      <c r="BD146" s="614">
        <f>(BC144-BD144)+BD145</f>
        <v>24.558999999999969</v>
      </c>
      <c r="BE146" s="1239">
        <f>BE145*BE154</f>
        <v>18.769000000000002</v>
      </c>
      <c r="BF146" s="1240">
        <f>SUM(BB146:BE146)</f>
        <v>71.590000000000259</v>
      </c>
      <c r="BG146" s="1241">
        <f>BG145*BG154</f>
        <v>15.639173752286814</v>
      </c>
      <c r="BH146" s="1239">
        <f>BH145*BH154</f>
        <v>20.256355944654388</v>
      </c>
      <c r="BI146" s="1239">
        <f>BI145*BI154</f>
        <v>20.48365827897705</v>
      </c>
      <c r="BJ146" s="1239">
        <f>BJ145*BJ154</f>
        <v>21.046378580228605</v>
      </c>
      <c r="BK146" s="1240">
        <f>SUM(BG146:BJ146)</f>
        <v>77.425566556146862</v>
      </c>
      <c r="BL146" s="1241">
        <f>BL145*BL154</f>
        <v>16.645336996566382</v>
      </c>
      <c r="BM146" s="1239">
        <f>BM145*BM154</f>
        <v>19.462328909032589</v>
      </c>
      <c r="BN146" s="1239">
        <f>BN145*BN154</f>
        <v>19.848918075685702</v>
      </c>
      <c r="BO146" s="1239">
        <f>BO145*BO154</f>
        <v>19.799493522125196</v>
      </c>
      <c r="BP146" s="1240">
        <f>SUM(BL146:BO146)</f>
        <v>75.75607750340987</v>
      </c>
      <c r="BQ146" s="1241">
        <f>BQ145*BQ154</f>
        <v>16.302411091066617</v>
      </c>
      <c r="BR146" s="1239">
        <f>BR145*BR154</f>
        <v>17.403931620389024</v>
      </c>
      <c r="BS146" s="1239">
        <f>BS145*BS154</f>
        <v>17.486875455624375</v>
      </c>
      <c r="BT146" s="1239">
        <f>BT145*BT154</f>
        <v>15.890949260835782</v>
      </c>
      <c r="BU146" s="1240">
        <f>SUM(BQ146:BT146)</f>
        <v>67.084167427915801</v>
      </c>
      <c r="BV146" s="1241">
        <f>BV145*BV154</f>
        <v>15.052101706990795</v>
      </c>
      <c r="BW146" s="1239">
        <f>BW145*BW154</f>
        <v>16.196850615780029</v>
      </c>
      <c r="BX146" s="1239">
        <f>BX145*BX154</f>
        <v>16.069783580747188</v>
      </c>
      <c r="BY146" s="1239">
        <f>BY145*BY154</f>
        <v>15.479613211502194</v>
      </c>
      <c r="BZ146" s="1240">
        <f>SUM(BV146:BY146)</f>
        <v>62.798349115020216</v>
      </c>
    </row>
    <row r="147" spans="1:78" ht="14.1" customHeight="1" x14ac:dyDescent="0.2">
      <c r="C147" s="565"/>
      <c r="J147" s="570"/>
      <c r="O147" s="551"/>
      <c r="R147" s="210"/>
      <c r="X147" s="559"/>
      <c r="AB147" s="551"/>
      <c r="AC147" s="559"/>
      <c r="AG147" s="551"/>
      <c r="AH147" s="559"/>
      <c r="AL147" s="551"/>
      <c r="AM147" s="559"/>
      <c r="AQ147" s="551"/>
      <c r="AR147" s="559"/>
      <c r="AV147" s="551"/>
      <c r="AW147" s="559"/>
      <c r="BA147" s="551"/>
      <c r="BB147" s="559"/>
      <c r="BD147" s="570"/>
      <c r="BF147" s="551"/>
      <c r="BG147" s="559"/>
      <c r="BK147" s="551"/>
      <c r="BL147" s="559"/>
      <c r="BP147" s="551"/>
      <c r="BQ147" s="559"/>
      <c r="BU147" s="551"/>
      <c r="BV147" s="559"/>
      <c r="BZ147" s="551"/>
    </row>
    <row r="148" spans="1:78" ht="14.1" customHeight="1" x14ac:dyDescent="0.2">
      <c r="C148" s="565" t="s">
        <v>332</v>
      </c>
      <c r="D148" s="116">
        <f>D18</f>
        <v>554.21400000000006</v>
      </c>
      <c r="E148" s="116">
        <f t="shared" ref="E148:J148" si="171">E18</f>
        <v>628.28300000000002</v>
      </c>
      <c r="F148" s="116">
        <f t="shared" si="171"/>
        <v>686.62300000000005</v>
      </c>
      <c r="G148" s="116">
        <f t="shared" si="171"/>
        <v>765.21699999999998</v>
      </c>
      <c r="H148" s="116">
        <f t="shared" si="171"/>
        <v>864.07399999999996</v>
      </c>
      <c r="I148" s="116">
        <f t="shared" si="171"/>
        <v>996.20399999999995</v>
      </c>
      <c r="J148" s="570">
        <f t="shared" si="171"/>
        <v>1118.492</v>
      </c>
      <c r="K148" s="116">
        <f t="shared" si="162"/>
        <v>1260.9435517647059</v>
      </c>
      <c r="L148" s="116">
        <f t="shared" si="163"/>
        <v>1423.2146942497834</v>
      </c>
      <c r="M148" s="116">
        <f t="shared" si="164"/>
        <v>1622.34271418761</v>
      </c>
      <c r="N148" s="116">
        <f t="shared" si="165"/>
        <v>1863.3949497766007</v>
      </c>
      <c r="O148" s="551">
        <f t="shared" si="166"/>
        <v>2138.1865559718904</v>
      </c>
      <c r="R148" s="210" t="str">
        <f t="shared" si="168"/>
        <v>Accumulated Depreciation</v>
      </c>
      <c r="T148" s="116">
        <f>T18</f>
        <v>520.68200000000002</v>
      </c>
      <c r="U148" s="116">
        <f t="shared" ref="U148:AB148" si="172">U18</f>
        <v>538.06500000000005</v>
      </c>
      <c r="V148" s="116">
        <f t="shared" si="172"/>
        <v>554.21400000000006</v>
      </c>
      <c r="W148" s="116">
        <f t="shared" si="172"/>
        <v>554.21400000000006</v>
      </c>
      <c r="X148" s="559">
        <f t="shared" si="172"/>
        <v>573.69899999999996</v>
      </c>
      <c r="Y148" s="116">
        <f t="shared" si="172"/>
        <v>594.678</v>
      </c>
      <c r="Z148" s="116">
        <f t="shared" si="172"/>
        <v>609.32399999999996</v>
      </c>
      <c r="AA148" s="116">
        <f t="shared" si="172"/>
        <v>628.28300000000002</v>
      </c>
      <c r="AB148" s="551">
        <f t="shared" si="172"/>
        <v>628.28300000000002</v>
      </c>
      <c r="AC148" s="559">
        <f t="shared" ref="AC148:BA148" si="173">AC18</f>
        <v>648.40800000000002</v>
      </c>
      <c r="AD148" s="116">
        <f t="shared" si="173"/>
        <v>674.22</v>
      </c>
      <c r="AE148" s="116">
        <f t="shared" si="173"/>
        <v>693.89499999999998</v>
      </c>
      <c r="AF148" s="116">
        <f t="shared" si="173"/>
        <v>686.62300000000005</v>
      </c>
      <c r="AG148" s="551">
        <f t="shared" si="173"/>
        <v>686.62300000000005</v>
      </c>
      <c r="AH148" s="559">
        <f t="shared" si="173"/>
        <v>712.88199999999995</v>
      </c>
      <c r="AI148" s="116">
        <f t="shared" si="173"/>
        <v>743.34500000000003</v>
      </c>
      <c r="AJ148" s="116">
        <f t="shared" si="173"/>
        <v>762.26400000000001</v>
      </c>
      <c r="AK148" s="116">
        <f t="shared" si="173"/>
        <v>765.21699999999998</v>
      </c>
      <c r="AL148" s="551">
        <f t="shared" si="173"/>
        <v>765.21699999999998</v>
      </c>
      <c r="AM148" s="559">
        <f t="shared" si="173"/>
        <v>796.51099999999997</v>
      </c>
      <c r="AN148" s="116">
        <f t="shared" si="173"/>
        <v>826.98299999999995</v>
      </c>
      <c r="AO148" s="116">
        <f t="shared" si="173"/>
        <v>846.19500000000005</v>
      </c>
      <c r="AP148" s="116">
        <f t="shared" si="173"/>
        <v>864.07399999999996</v>
      </c>
      <c r="AQ148" s="551">
        <f t="shared" si="173"/>
        <v>864.07399999999996</v>
      </c>
      <c r="AR148" s="559">
        <f t="shared" si="173"/>
        <v>890.92700000000002</v>
      </c>
      <c r="AS148" s="116">
        <f t="shared" si="173"/>
        <v>924.62800000000004</v>
      </c>
      <c r="AT148" s="116">
        <f t="shared" si="173"/>
        <v>964.53300000000002</v>
      </c>
      <c r="AU148" s="116">
        <f t="shared" si="173"/>
        <v>996.20399999999995</v>
      </c>
      <c r="AV148" s="551">
        <f t="shared" si="173"/>
        <v>996.20399999999995</v>
      </c>
      <c r="AW148" s="559">
        <f t="shared" si="173"/>
        <v>1034.6489999999999</v>
      </c>
      <c r="AX148" s="116">
        <f t="shared" si="173"/>
        <v>1075.6389999999999</v>
      </c>
      <c r="AY148" s="116">
        <f t="shared" si="173"/>
        <v>1115.8579999999999</v>
      </c>
      <c r="AZ148" s="116">
        <f t="shared" si="173"/>
        <v>1118.492</v>
      </c>
      <c r="BA148" s="551">
        <f t="shared" si="173"/>
        <v>1118.492</v>
      </c>
      <c r="BB148" s="559">
        <f>BB18</f>
        <v>1159.6289999999999</v>
      </c>
      <c r="BC148" s="116">
        <f>BC18</f>
        <v>1194.231</v>
      </c>
      <c r="BD148" s="570">
        <f>BD18</f>
        <v>1222.373</v>
      </c>
      <c r="BE148" s="1216">
        <f>BD148+BE149-BE150</f>
        <v>1260.9435517647059</v>
      </c>
      <c r="BF148" s="1214">
        <f>BE148</f>
        <v>1260.9435517647059</v>
      </c>
      <c r="BG148" s="1215">
        <f>BF148+BG149-BG150</f>
        <v>1302.0417931305062</v>
      </c>
      <c r="BH148" s="1216">
        <f>BG148+BH149-BH150</f>
        <v>1340.4526920366941</v>
      </c>
      <c r="BI148" s="1216">
        <f>BH148+BI149-BI150</f>
        <v>1380.9431188679871</v>
      </c>
      <c r="BJ148" s="1216">
        <f>BI148+BJ149-BJ150</f>
        <v>1423.2146942497834</v>
      </c>
      <c r="BK148" s="1214">
        <f>BJ148</f>
        <v>1423.2146942497834</v>
      </c>
      <c r="BL148" s="1215">
        <f>BK148+BL149-BL150</f>
        <v>1472.1287371804112</v>
      </c>
      <c r="BM148" s="1216">
        <f>BL148+BM149-BM150</f>
        <v>1520.2095164632951</v>
      </c>
      <c r="BN148" s="1216">
        <f>BM148+BN149-BN150</f>
        <v>1570.1257471845913</v>
      </c>
      <c r="BO148" s="1216">
        <f>BN148+BO149-BO150</f>
        <v>1622.34271418761</v>
      </c>
      <c r="BP148" s="1214">
        <f>BO148</f>
        <v>1622.34271418761</v>
      </c>
      <c r="BQ148" s="1215">
        <f>BP148+BQ149-BQ150</f>
        <v>1680.186948768267</v>
      </c>
      <c r="BR148" s="1216">
        <f>BQ148+BR149-BR150</f>
        <v>1738.8169887211723</v>
      </c>
      <c r="BS148" s="1216">
        <f>BR148+BS149-BS150</f>
        <v>1799.3423114840396</v>
      </c>
      <c r="BT148" s="1216">
        <f>BS148+BT149-BT150</f>
        <v>1863.3949497766007</v>
      </c>
      <c r="BU148" s="1214">
        <f>BT148</f>
        <v>1863.3949497766007</v>
      </c>
      <c r="BV148" s="1215">
        <f>BU148+BV149-BV150</f>
        <v>1930.0620445865018</v>
      </c>
      <c r="BW148" s="1216">
        <f>BV148+BW149-BW150</f>
        <v>1997.3312473986132</v>
      </c>
      <c r="BX148" s="1216">
        <f>BW148+BX149-BX150</f>
        <v>2066.5616965841527</v>
      </c>
      <c r="BY148" s="1216">
        <f>BX148+BY149-BY150</f>
        <v>2138.1865559718904</v>
      </c>
      <c r="BZ148" s="1214">
        <f>BY148</f>
        <v>2138.1865559718904</v>
      </c>
    </row>
    <row r="149" spans="1:78" ht="14.1" customHeight="1" x14ac:dyDescent="0.2">
      <c r="C149" s="565" t="s">
        <v>333</v>
      </c>
      <c r="E149" s="116">
        <f>'Income Statement'!E16</f>
        <v>102.15300000000001</v>
      </c>
      <c r="F149" s="116">
        <f>'Income Statement'!F16</f>
        <v>119.13500000000001</v>
      </c>
      <c r="G149" s="116">
        <f>'Income Statement'!G16</f>
        <v>134.655</v>
      </c>
      <c r="H149" s="116">
        <f>'Income Statement'!H16</f>
        <v>141.69999999999999</v>
      </c>
      <c r="I149" s="116">
        <f>'Income Statement'!I16</f>
        <v>157.203</v>
      </c>
      <c r="J149" s="570">
        <f>'Income Statement'!J16</f>
        <v>178.845</v>
      </c>
      <c r="K149" s="116">
        <f t="shared" si="162"/>
        <v>212.25441176470588</v>
      </c>
      <c r="L149" s="116">
        <f t="shared" si="163"/>
        <v>245.89075436571608</v>
      </c>
      <c r="M149" s="116">
        <f t="shared" si="164"/>
        <v>280.9445836415091</v>
      </c>
      <c r="N149" s="116">
        <f t="shared" si="165"/>
        <v>313.50313641113974</v>
      </c>
      <c r="O149" s="551">
        <f t="shared" si="166"/>
        <v>342.6138232395121</v>
      </c>
      <c r="R149" s="210" t="str">
        <f t="shared" si="168"/>
        <v>Depreciation Expense this Year</v>
      </c>
      <c r="T149" s="116">
        <f>'Income Statement'!T16</f>
        <v>22.181999999999999</v>
      </c>
      <c r="U149" s="116">
        <f>'Income Statement'!U16</f>
        <v>22.338000000000001</v>
      </c>
      <c r="V149" s="116">
        <f>'Income Statement'!V16</f>
        <v>22.495000000000005</v>
      </c>
      <c r="W149" s="116">
        <f>'Income Statement'!W16</f>
        <v>87.102000000000004</v>
      </c>
      <c r="X149" s="559">
        <f>'Income Statement'!X16</f>
        <v>23.03</v>
      </c>
      <c r="Y149" s="116">
        <f>'Income Statement'!Y16</f>
        <v>25.241</v>
      </c>
      <c r="Z149" s="116">
        <f>'Income Statement'!Z16</f>
        <v>26.693999999999999</v>
      </c>
      <c r="AA149" s="116">
        <f>'Income Statement'!AA16</f>
        <v>27.188000000000002</v>
      </c>
      <c r="AB149" s="551">
        <f>'Income Statement'!AB16</f>
        <v>102.15300000000001</v>
      </c>
      <c r="AC149" s="559">
        <f>'Income Statement'!AC16</f>
        <v>26.782</v>
      </c>
      <c r="AD149" s="116">
        <f>'Income Statement'!AD16</f>
        <v>29.143000000000001</v>
      </c>
      <c r="AE149" s="116">
        <f>'Income Statement'!AE16</f>
        <v>31.332999999999998</v>
      </c>
      <c r="AF149" s="116">
        <f>'Income Statement'!AF16</f>
        <v>31.87700000000001</v>
      </c>
      <c r="AG149" s="551">
        <f>'Income Statement'!AG16</f>
        <v>119.13500000000001</v>
      </c>
      <c r="AH149" s="559">
        <f>'Income Statement'!AH16</f>
        <v>32.590000000000003</v>
      </c>
      <c r="AI149" s="116">
        <f>'Income Statement'!AI16</f>
        <v>33.664000000000001</v>
      </c>
      <c r="AJ149" s="116">
        <f>'Income Statement'!AJ16</f>
        <v>34.223999999999997</v>
      </c>
      <c r="AK149" s="116">
        <f>'Income Statement'!AK16</f>
        <v>34.176999999999992</v>
      </c>
      <c r="AL149" s="551">
        <f>'Income Statement'!AL16</f>
        <v>134.655</v>
      </c>
      <c r="AM149" s="559">
        <f>'Income Statement'!AM16</f>
        <v>35.372</v>
      </c>
      <c r="AN149" s="116">
        <f>'Income Statement'!AN16</f>
        <v>34.658999999999999</v>
      </c>
      <c r="AO149" s="116">
        <f>'Income Statement'!AO16</f>
        <v>35.741999999999997</v>
      </c>
      <c r="AP149" s="116">
        <f>'Income Statement'!AP16</f>
        <v>35.926999999999992</v>
      </c>
      <c r="AQ149" s="551">
        <f>'Income Statement'!AQ16</f>
        <v>141.69999999999999</v>
      </c>
      <c r="AR149" s="559">
        <f>'Income Statement'!AR16</f>
        <v>39.951999999999998</v>
      </c>
      <c r="AS149" s="116">
        <f>'Income Statement'!AS16</f>
        <v>36.944000000000003</v>
      </c>
      <c r="AT149" s="116">
        <f>'Income Statement'!AT16</f>
        <v>40.682000000000002</v>
      </c>
      <c r="AU149" s="116">
        <f>'Income Statement'!AU16</f>
        <v>39.625</v>
      </c>
      <c r="AV149" s="551">
        <f>'Income Statement'!AV16</f>
        <v>157.203</v>
      </c>
      <c r="AW149" s="559">
        <f>'Income Statement'!AW16</f>
        <v>42.88</v>
      </c>
      <c r="AX149" s="116">
        <f>'Income Statement'!AX16</f>
        <v>44.658000000000001</v>
      </c>
      <c r="AY149" s="116">
        <f>'Income Statement'!AY16</f>
        <v>45.618000000000002</v>
      </c>
      <c r="AZ149" s="116">
        <f>'Income Statement'!AZ16</f>
        <v>45.688999999999993</v>
      </c>
      <c r="BA149" s="551">
        <f>'Income Statement'!BA16</f>
        <v>178.845</v>
      </c>
      <c r="BB149" s="559">
        <f>'Income Statement'!BB16</f>
        <v>48.848999999999997</v>
      </c>
      <c r="BC149" s="116">
        <f>'Income Statement'!BC16</f>
        <v>52.536000000000001</v>
      </c>
      <c r="BD149" s="570">
        <f>'Income Statement'!BD16</f>
        <v>54.655999999999999</v>
      </c>
      <c r="BE149" s="1216">
        <f>(BD144/(BE153*4))+(BE145/(BE153*4))-(BE146/(BE153*4))</f>
        <v>56.213411764705882</v>
      </c>
      <c r="BF149" s="1214">
        <f>SUM(BB149:BE149)</f>
        <v>212.25441176470588</v>
      </c>
      <c r="BG149" s="1215">
        <f t="shared" ref="BG149:BY149" si="174">(BF144/(BG153*4))+(BG145/(BG153*4))-(BG146/(BG153*4))</f>
        <v>57.988549018270106</v>
      </c>
      <c r="BH149" s="1216">
        <f t="shared" si="174"/>
        <v>60.287763326414449</v>
      </c>
      <c r="BI149" s="1216">
        <f t="shared" si="174"/>
        <v>62.612777772588394</v>
      </c>
      <c r="BJ149" s="1216">
        <f t="shared" si="174"/>
        <v>65.001664248443106</v>
      </c>
      <c r="BK149" s="1214">
        <f>SUM(BG149:BJ149)</f>
        <v>245.89075436571608</v>
      </c>
      <c r="BL149" s="1215">
        <f t="shared" si="174"/>
        <v>66.89100688691947</v>
      </c>
      <c r="BM149" s="1216">
        <f t="shared" si="174"/>
        <v>69.100094504639159</v>
      </c>
      <c r="BN149" s="1216">
        <f t="shared" si="174"/>
        <v>71.353062243036575</v>
      </c>
      <c r="BO149" s="1216">
        <f t="shared" si="174"/>
        <v>73.600420006913879</v>
      </c>
      <c r="BP149" s="1214">
        <f>SUM(BL149:BO149)</f>
        <v>280.9445836415091</v>
      </c>
      <c r="BQ149" s="1215">
        <f t="shared" si="174"/>
        <v>75.450838559009043</v>
      </c>
      <c r="BR149" s="1216">
        <f t="shared" si="174"/>
        <v>77.426286102925459</v>
      </c>
      <c r="BS149" s="1216">
        <f t="shared" si="174"/>
        <v>79.41114825494148</v>
      </c>
      <c r="BT149" s="1216">
        <f t="shared" si="174"/>
        <v>81.214863494263739</v>
      </c>
      <c r="BU149" s="1214">
        <f>SUM(BQ149:BT149)</f>
        <v>313.50313641113974</v>
      </c>
      <c r="BV149" s="1215">
        <f t="shared" si="174"/>
        <v>82.923364653451273</v>
      </c>
      <c r="BW149" s="1216">
        <f t="shared" si="174"/>
        <v>84.761801477153782</v>
      </c>
      <c r="BX149" s="1216">
        <f t="shared" si="174"/>
        <v>86.585815452746814</v>
      </c>
      <c r="BY149" s="1216">
        <f t="shared" si="174"/>
        <v>88.342841656160203</v>
      </c>
      <c r="BZ149" s="1214">
        <f>SUM(BV149:BY149)</f>
        <v>342.6138232395121</v>
      </c>
    </row>
    <row r="150" spans="1:78" ht="14.1" customHeight="1" x14ac:dyDescent="0.2">
      <c r="C150" s="621" t="s">
        <v>334</v>
      </c>
      <c r="D150" s="126"/>
      <c r="E150" s="126">
        <f t="shared" ref="E150:J150" si="175">(D148-E148)+E149</f>
        <v>28.084000000000046</v>
      </c>
      <c r="F150" s="126">
        <f t="shared" si="175"/>
        <v>60.794999999999973</v>
      </c>
      <c r="G150" s="126">
        <f t="shared" si="175"/>
        <v>56.061000000000064</v>
      </c>
      <c r="H150" s="126">
        <f t="shared" si="175"/>
        <v>42.843000000000018</v>
      </c>
      <c r="I150" s="126">
        <f t="shared" si="175"/>
        <v>25.073000000000008</v>
      </c>
      <c r="J150" s="614">
        <f t="shared" si="175"/>
        <v>56.556999999999988</v>
      </c>
      <c r="K150" s="126">
        <f t="shared" si="162"/>
        <v>69.80285999999991</v>
      </c>
      <c r="L150" s="126">
        <f t="shared" si="163"/>
        <v>83.619611880638601</v>
      </c>
      <c r="M150" s="126">
        <f t="shared" si="164"/>
        <v>81.816563703682661</v>
      </c>
      <c r="N150" s="126">
        <f t="shared" si="165"/>
        <v>72.450900822149066</v>
      </c>
      <c r="O150" s="622">
        <f t="shared" si="166"/>
        <v>67.82221704422183</v>
      </c>
      <c r="R150" s="633" t="str">
        <f t="shared" si="168"/>
        <v>Accumulated Depreciation on Disposal</v>
      </c>
      <c r="S150" s="126"/>
      <c r="T150" s="126">
        <f t="shared" ref="T150:AA150" si="176">(S148-T148)+T149</f>
        <v>-498.5</v>
      </c>
      <c r="U150" s="126">
        <f t="shared" si="176"/>
        <v>4.9549999999999628</v>
      </c>
      <c r="V150" s="126">
        <f t="shared" si="176"/>
        <v>6.3460000000000036</v>
      </c>
      <c r="W150" s="126">
        <f t="shared" si="176"/>
        <v>87.102000000000004</v>
      </c>
      <c r="X150" s="635">
        <f t="shared" si="176"/>
        <v>3.5450000000001012</v>
      </c>
      <c r="Y150" s="126">
        <f t="shared" si="176"/>
        <v>4.2619999999999578</v>
      </c>
      <c r="Z150" s="126">
        <f t="shared" si="176"/>
        <v>12.048000000000041</v>
      </c>
      <c r="AA150" s="126">
        <f t="shared" si="176"/>
        <v>8.2289999999999424</v>
      </c>
      <c r="AB150" s="622">
        <f>(W148-AB148)+AB149</f>
        <v>28.084000000000046</v>
      </c>
      <c r="AC150" s="635">
        <f>(AB148-AC148)+AC149</f>
        <v>6.657</v>
      </c>
      <c r="AD150" s="126">
        <f>(AC148-AD148)+AD149</f>
        <v>3.3309999999999889</v>
      </c>
      <c r="AE150" s="126">
        <f>(AD148-AE148)+AE149</f>
        <v>11.658000000000044</v>
      </c>
      <c r="AF150" s="126">
        <f>(AE148-AF148)+AF149</f>
        <v>39.148999999999944</v>
      </c>
      <c r="AG150" s="622">
        <f>(AB148-AG148)+AG149</f>
        <v>60.794999999999973</v>
      </c>
      <c r="AH150" s="635">
        <f>(AG148-AH148)+AH149</f>
        <v>6.3310000000001025</v>
      </c>
      <c r="AI150" s="126">
        <f>(AH148-AI148)+AI149</f>
        <v>3.2009999999999224</v>
      </c>
      <c r="AJ150" s="126">
        <f>(AI148-AJ148)+AJ149</f>
        <v>15.305000000000014</v>
      </c>
      <c r="AK150" s="126">
        <f>(AJ148-AK148)+AK149</f>
        <v>31.224000000000018</v>
      </c>
      <c r="AL150" s="622">
        <f>(AG148-AL148)+AL149</f>
        <v>56.061000000000064</v>
      </c>
      <c r="AM150" s="635">
        <f>(AL148-AM148)+AM149</f>
        <v>4.0780000000000172</v>
      </c>
      <c r="AN150" s="126">
        <f>(AM148-AN148)+AN149</f>
        <v>4.1870000000000189</v>
      </c>
      <c r="AO150" s="126">
        <f>(AN148-AO148)+AO149</f>
        <v>16.529999999999895</v>
      </c>
      <c r="AP150" s="126">
        <f>(AO148-AP148)+AP149</f>
        <v>18.048000000000087</v>
      </c>
      <c r="AQ150" s="622">
        <f>(AL148-AQ148)+AQ149</f>
        <v>42.843000000000018</v>
      </c>
      <c r="AR150" s="635">
        <f>(AQ148-AR148)+AR149</f>
        <v>13.098999999999933</v>
      </c>
      <c r="AS150" s="126">
        <f>(AR148-AS148)+AS149</f>
        <v>3.2429999999999808</v>
      </c>
      <c r="AT150" s="126">
        <f>(AS148-AT148)+AT149</f>
        <v>0.77700000000002944</v>
      </c>
      <c r="AU150" s="126">
        <f>(AT148-AU148)+AU149</f>
        <v>7.9540000000000646</v>
      </c>
      <c r="AV150" s="622">
        <f>(AQ148-AV148)+AV149</f>
        <v>25.073000000000008</v>
      </c>
      <c r="AW150" s="635">
        <f>(AV148-AW148)+AW149</f>
        <v>4.4350000000000662</v>
      </c>
      <c r="AX150" s="126">
        <f>(AW148-AX148)+AX149</f>
        <v>3.6679999999999922</v>
      </c>
      <c r="AY150" s="126">
        <f>(AX148-AY148)+AY149</f>
        <v>5.3989999999999512</v>
      </c>
      <c r="AZ150" s="126">
        <f>(AY148-AZ148)+AZ149</f>
        <v>43.054999999999978</v>
      </c>
      <c r="BA150" s="622">
        <f>(AV148-BA148)+BA149</f>
        <v>56.556999999999988</v>
      </c>
      <c r="BB150" s="635">
        <f>(BA148-BB148)+BB149</f>
        <v>7.712000000000053</v>
      </c>
      <c r="BC150" s="126">
        <f>(BB148-BC148)+BC149</f>
        <v>17.933999999999912</v>
      </c>
      <c r="BD150" s="614">
        <f>(BC148-BD148)+BD149</f>
        <v>26.513999999999946</v>
      </c>
      <c r="BE150" s="1239">
        <f>BE146*BE155</f>
        <v>17.642860000000002</v>
      </c>
      <c r="BF150" s="1240">
        <f>SUM(BB150:BE150)</f>
        <v>69.80285999999991</v>
      </c>
      <c r="BG150" s="1241">
        <f>BG146*BG155</f>
        <v>16.890307652469758</v>
      </c>
      <c r="BH150" s="1239">
        <f>BH146*BH155</f>
        <v>21.876864420226742</v>
      </c>
      <c r="BI150" s="1239">
        <f>BI146*BI155</f>
        <v>22.122350941295213</v>
      </c>
      <c r="BJ150" s="1239">
        <f>BJ146*BJ155</f>
        <v>22.730088866646895</v>
      </c>
      <c r="BK150" s="1240">
        <f>SUM(BG150:BJ150)</f>
        <v>83.619611880638601</v>
      </c>
      <c r="BL150" s="1241">
        <f>BL146*BL155</f>
        <v>17.976963956291694</v>
      </c>
      <c r="BM150" s="1239">
        <f>BM146*BM155</f>
        <v>21.019315221755196</v>
      </c>
      <c r="BN150" s="1239">
        <f>BN146*BN155</f>
        <v>21.436831521740562</v>
      </c>
      <c r="BO150" s="1239">
        <f>BO146*BO155</f>
        <v>21.383453003895212</v>
      </c>
      <c r="BP150" s="1240">
        <f>SUM(BL150:BO150)</f>
        <v>81.816563703682661</v>
      </c>
      <c r="BQ150" s="1241">
        <f>BQ146*BQ155</f>
        <v>17.606603978351949</v>
      </c>
      <c r="BR150" s="1239">
        <f>BR146*BR155</f>
        <v>18.796246150020146</v>
      </c>
      <c r="BS150" s="1239">
        <f>BS146*BS155</f>
        <v>18.885825492074325</v>
      </c>
      <c r="BT150" s="1239">
        <f>BT146*BT155</f>
        <v>17.162225201702647</v>
      </c>
      <c r="BU150" s="1240">
        <f>SUM(BQ150:BT150)</f>
        <v>72.450900822149066</v>
      </c>
      <c r="BV150" s="1241">
        <f>BV146*BV155</f>
        <v>16.256269843550061</v>
      </c>
      <c r="BW150" s="1239">
        <f>BW146*BW155</f>
        <v>17.492598665042433</v>
      </c>
      <c r="BX150" s="1239">
        <f>BX146*BX155</f>
        <v>17.355366267206964</v>
      </c>
      <c r="BY150" s="1239">
        <f>BY146*BY155</f>
        <v>16.717982268422372</v>
      </c>
      <c r="BZ150" s="1240">
        <f>SUM(BV150:BY150)</f>
        <v>67.82221704422183</v>
      </c>
    </row>
    <row r="151" spans="1:78" ht="14.1" customHeight="1" x14ac:dyDescent="0.2">
      <c r="C151" s="621" t="s">
        <v>432</v>
      </c>
      <c r="D151" s="126"/>
      <c r="E151" s="126">
        <f t="shared" ref="E151:J151" si="177">E146-E150</f>
        <v>-35.759000000000057</v>
      </c>
      <c r="F151" s="126">
        <f t="shared" si="177"/>
        <v>8.9789999999999139</v>
      </c>
      <c r="G151" s="126">
        <f t="shared" si="177"/>
        <v>13.058999999999997</v>
      </c>
      <c r="H151" s="126">
        <f t="shared" si="177"/>
        <v>-0.38099999999991496</v>
      </c>
      <c r="I151" s="126">
        <f t="shared" si="177"/>
        <v>8.0599999999996896</v>
      </c>
      <c r="J151" s="614">
        <f t="shared" si="177"/>
        <v>-19.654000000000082</v>
      </c>
      <c r="K151" s="126">
        <f t="shared" si="162"/>
        <v>1.787140000000349</v>
      </c>
      <c r="L151" s="126">
        <f t="shared" si="163"/>
        <v>-6.1940453244917393</v>
      </c>
      <c r="M151" s="126">
        <f t="shared" si="164"/>
        <v>-6.0604862002727913</v>
      </c>
      <c r="N151" s="126">
        <f t="shared" si="165"/>
        <v>-5.3667333942332647</v>
      </c>
      <c r="O151" s="622">
        <f t="shared" si="166"/>
        <v>-5.0238679292016144</v>
      </c>
      <c r="R151" s="633" t="str">
        <f t="shared" si="168"/>
        <v>Disposal Value (AT COST or GROSS AMOUNT)</v>
      </c>
      <c r="S151" s="126"/>
      <c r="T151" s="126"/>
      <c r="U151" s="126"/>
      <c r="V151" s="126"/>
      <c r="W151" s="126">
        <f t="shared" ref="W151:BB151" si="178">W146-W150</f>
        <v>99.594000000000023</v>
      </c>
      <c r="X151" s="635">
        <f t="shared" si="178"/>
        <v>-1.2270000000002028</v>
      </c>
      <c r="Y151" s="126">
        <f t="shared" si="178"/>
        <v>-17.371999999999872</v>
      </c>
      <c r="Z151" s="126">
        <f t="shared" si="178"/>
        <v>-1.0940000000000758</v>
      </c>
      <c r="AA151" s="126">
        <f t="shared" si="178"/>
        <v>-16.065999999999889</v>
      </c>
      <c r="AB151" s="622">
        <f t="shared" si="178"/>
        <v>-35.759000000000057</v>
      </c>
      <c r="AC151" s="635">
        <f t="shared" si="178"/>
        <v>17.486999999999792</v>
      </c>
      <c r="AD151" s="126">
        <f t="shared" si="178"/>
        <v>-5.2569999999999055</v>
      </c>
      <c r="AE151" s="126">
        <f t="shared" si="178"/>
        <v>-2.3510000000000417</v>
      </c>
      <c r="AF151" s="126">
        <f t="shared" si="178"/>
        <v>-0.89999999999994884</v>
      </c>
      <c r="AG151" s="622">
        <f t="shared" si="178"/>
        <v>8.9789999999999139</v>
      </c>
      <c r="AH151" s="635">
        <f t="shared" si="178"/>
        <v>5.7139999999998423</v>
      </c>
      <c r="AI151" s="126">
        <f t="shared" si="178"/>
        <v>10.79300000000012</v>
      </c>
      <c r="AJ151" s="126">
        <f t="shared" si="178"/>
        <v>-0.19800000000008566</v>
      </c>
      <c r="AK151" s="126">
        <f t="shared" si="178"/>
        <v>-3.2499999999998437</v>
      </c>
      <c r="AL151" s="622">
        <f t="shared" si="178"/>
        <v>13.058999999999997</v>
      </c>
      <c r="AM151" s="635">
        <f t="shared" si="178"/>
        <v>4.4549999999999024</v>
      </c>
      <c r="AN151" s="126">
        <f t="shared" si="178"/>
        <v>4.802999999999976</v>
      </c>
      <c r="AO151" s="126">
        <f t="shared" si="178"/>
        <v>-26.343999999999774</v>
      </c>
      <c r="AP151" s="126">
        <f t="shared" si="178"/>
        <v>16.704999999999984</v>
      </c>
      <c r="AQ151" s="622">
        <f t="shared" si="178"/>
        <v>-0.38099999999991496</v>
      </c>
      <c r="AR151" s="635">
        <f t="shared" si="178"/>
        <v>15.195999999999671</v>
      </c>
      <c r="AS151" s="126">
        <f t="shared" si="178"/>
        <v>-8.1859999999998365</v>
      </c>
      <c r="AT151" s="126">
        <f t="shared" si="178"/>
        <v>-4.2460000000001799</v>
      </c>
      <c r="AU151" s="126">
        <f t="shared" si="178"/>
        <v>5.2960000000000633</v>
      </c>
      <c r="AV151" s="622">
        <f t="shared" si="178"/>
        <v>8.0599999999996896</v>
      </c>
      <c r="AW151" s="635">
        <f t="shared" si="178"/>
        <v>-0.15900000000019787</v>
      </c>
      <c r="AX151" s="126">
        <f t="shared" si="178"/>
        <v>14.710000000000193</v>
      </c>
      <c r="AY151" s="126">
        <f t="shared" si="178"/>
        <v>1.9420000000001139</v>
      </c>
      <c r="AZ151" s="126">
        <f t="shared" si="178"/>
        <v>-36.14700000000019</v>
      </c>
      <c r="BA151" s="622">
        <f t="shared" si="178"/>
        <v>-19.654000000000082</v>
      </c>
      <c r="BB151" s="635">
        <f t="shared" si="178"/>
        <v>-5.240999999999822</v>
      </c>
      <c r="BC151" s="126">
        <f t="shared" ref="BC151:BZ151" si="179">BC146-BC150</f>
        <v>7.8570000000001414</v>
      </c>
      <c r="BD151" s="614">
        <f t="shared" si="179"/>
        <v>-1.954999999999977</v>
      </c>
      <c r="BE151" s="1239">
        <f t="shared" si="179"/>
        <v>1.1261399999999995</v>
      </c>
      <c r="BF151" s="1240">
        <f t="shared" si="179"/>
        <v>1.787140000000349</v>
      </c>
      <c r="BG151" s="1241">
        <f t="shared" si="179"/>
        <v>-1.2511339001829445</v>
      </c>
      <c r="BH151" s="1239">
        <f t="shared" si="179"/>
        <v>-1.620508475572354</v>
      </c>
      <c r="BI151" s="1239">
        <f t="shared" si="179"/>
        <v>-1.6386926623181637</v>
      </c>
      <c r="BJ151" s="1239">
        <f t="shared" si="179"/>
        <v>-1.6837102864182896</v>
      </c>
      <c r="BK151" s="1240">
        <f t="shared" si="179"/>
        <v>-6.1940453244917393</v>
      </c>
      <c r="BL151" s="1241">
        <f t="shared" si="179"/>
        <v>-1.3316269597253125</v>
      </c>
      <c r="BM151" s="1239">
        <f t="shared" si="179"/>
        <v>-1.5569863127226071</v>
      </c>
      <c r="BN151" s="1239">
        <f t="shared" si="179"/>
        <v>-1.5879134460548592</v>
      </c>
      <c r="BO151" s="1239">
        <f t="shared" si="179"/>
        <v>-1.583959481770016</v>
      </c>
      <c r="BP151" s="1240">
        <f t="shared" si="179"/>
        <v>-6.0604862002727913</v>
      </c>
      <c r="BQ151" s="1241">
        <f t="shared" si="179"/>
        <v>-1.3041928872853319</v>
      </c>
      <c r="BR151" s="1239">
        <f t="shared" si="179"/>
        <v>-1.3923145296311219</v>
      </c>
      <c r="BS151" s="1239">
        <f t="shared" si="179"/>
        <v>-1.3989500364499499</v>
      </c>
      <c r="BT151" s="1239">
        <f t="shared" si="179"/>
        <v>-1.2712759408668646</v>
      </c>
      <c r="BU151" s="1240">
        <f t="shared" si="179"/>
        <v>-5.3667333942332647</v>
      </c>
      <c r="BV151" s="1241">
        <f t="shared" si="179"/>
        <v>-1.2041681365592662</v>
      </c>
      <c r="BW151" s="1239">
        <f t="shared" si="179"/>
        <v>-1.2957480492624036</v>
      </c>
      <c r="BX151" s="1239">
        <f t="shared" si="179"/>
        <v>-1.2855826864597759</v>
      </c>
      <c r="BY151" s="1239">
        <f t="shared" si="179"/>
        <v>-1.2383690569201775</v>
      </c>
      <c r="BZ151" s="1240">
        <f t="shared" si="179"/>
        <v>-5.0238679292016144</v>
      </c>
    </row>
    <row r="152" spans="1:78" ht="14.1" customHeight="1" x14ac:dyDescent="0.2">
      <c r="C152" s="565"/>
      <c r="J152" s="570"/>
      <c r="O152" s="551"/>
      <c r="R152" s="210"/>
      <c r="X152" s="559"/>
      <c r="AB152" s="551"/>
      <c r="AC152" s="559"/>
      <c r="AG152" s="551"/>
      <c r="AH152" s="559"/>
      <c r="AL152" s="551"/>
      <c r="AM152" s="559"/>
      <c r="AQ152" s="551"/>
      <c r="AR152" s="559"/>
      <c r="AV152" s="551"/>
      <c r="AW152" s="559"/>
      <c r="BA152" s="551"/>
      <c r="BB152" s="559"/>
      <c r="BD152" s="570"/>
      <c r="BE152" s="1216"/>
      <c r="BF152" s="1214"/>
      <c r="BG152" s="1215"/>
      <c r="BH152" s="1216"/>
      <c r="BI152" s="1216"/>
      <c r="BJ152" s="1216"/>
      <c r="BK152" s="1214"/>
      <c r="BL152" s="1215"/>
      <c r="BM152" s="1216"/>
      <c r="BN152" s="1216"/>
      <c r="BO152" s="1216"/>
      <c r="BP152" s="1214"/>
      <c r="BQ152" s="1215"/>
      <c r="BR152" s="1216"/>
      <c r="BS152" s="1216"/>
      <c r="BT152" s="1216"/>
      <c r="BU152" s="1214"/>
      <c r="BV152" s="1215"/>
      <c r="BW152" s="1216"/>
      <c r="BX152" s="1216"/>
      <c r="BY152" s="1216"/>
      <c r="BZ152" s="1214"/>
    </row>
    <row r="153" spans="1:78" s="728" customFormat="1" ht="14.1" customHeight="1" x14ac:dyDescent="0.2">
      <c r="A153"/>
      <c r="B153"/>
      <c r="C153" s="565" t="s">
        <v>335</v>
      </c>
      <c r="E153" s="728">
        <f t="shared" ref="E153:J153" si="180">D144/E149</f>
        <v>12.628057913130302</v>
      </c>
      <c r="F153" s="728">
        <f t="shared" si="180"/>
        <v>12.769891299785955</v>
      </c>
      <c r="G153" s="728">
        <f t="shared" si="180"/>
        <v>12.916133823474805</v>
      </c>
      <c r="H153" s="728">
        <f t="shared" si="180"/>
        <v>13.417388849682428</v>
      </c>
      <c r="I153" s="728">
        <f t="shared" si="180"/>
        <v>13.641775284186688</v>
      </c>
      <c r="J153" s="735">
        <f t="shared" si="180"/>
        <v>13.860180603315721</v>
      </c>
      <c r="K153" s="728">
        <f t="shared" si="162"/>
        <v>18.009105055669874</v>
      </c>
      <c r="L153" s="728">
        <f t="shared" si="163"/>
        <v>17.975922601465719</v>
      </c>
      <c r="M153" s="728">
        <f t="shared" si="164"/>
        <v>17.814290973683288</v>
      </c>
      <c r="N153" s="728">
        <f t="shared" si="165"/>
        <v>17.615806912908766</v>
      </c>
      <c r="O153" s="729">
        <f t="shared" si="166"/>
        <v>17.533773669194144</v>
      </c>
      <c r="R153" s="731" t="str">
        <f t="shared" si="168"/>
        <v xml:space="preserve">Implied Life of the Asset </v>
      </c>
      <c r="X153" s="733">
        <f>W144/AB149</f>
        <v>12.628057913130302</v>
      </c>
      <c r="Y153" s="728">
        <f>X144/AB149</f>
        <v>13.064295713292806</v>
      </c>
      <c r="Z153" s="728">
        <f>Y144/AB149</f>
        <v>13.894442649750863</v>
      </c>
      <c r="AA153" s="728">
        <f>Z144/(AB149)</f>
        <v>14.145928166573668</v>
      </c>
      <c r="AB153" s="729">
        <f>AA144/AB149</f>
        <v>14.8927686901021</v>
      </c>
      <c r="AC153" s="733">
        <f>AB144/AG149</f>
        <v>12.769891299785955</v>
      </c>
      <c r="AD153" s="728">
        <f>AC144/AG149</f>
        <v>13.043505267133924</v>
      </c>
      <c r="AE153" s="728">
        <f>AD144/AG149</f>
        <v>13.980417173794434</v>
      </c>
      <c r="AF153" s="728">
        <f>AE144/(AG149)</f>
        <v>14.56347001301045</v>
      </c>
      <c r="AG153" s="729">
        <f>AF144/AG149</f>
        <v>14.598749318000587</v>
      </c>
      <c r="AH153" s="733">
        <f>AG144/AL149</f>
        <v>12.916133823474805</v>
      </c>
      <c r="AI153" s="728">
        <f>AH144/AL149</f>
        <v>13.625695295384501</v>
      </c>
      <c r="AJ153" s="728">
        <f>AI144/AL149</f>
        <v>13.828287104080799</v>
      </c>
      <c r="AK153" s="728">
        <f>AJ144/(AL149)</f>
        <v>14.135256767294196</v>
      </c>
      <c r="AL153" s="729">
        <f>AK144/AL149</f>
        <v>14.119371727748691</v>
      </c>
      <c r="AM153" s="733">
        <f>AL144/AQ149</f>
        <v>13.417388849682428</v>
      </c>
      <c r="AN153" s="728">
        <f>AM144/AQ149</f>
        <v>13.537607621736063</v>
      </c>
      <c r="AO153" s="728">
        <f>AN144/AQ149</f>
        <v>14.000868031051519</v>
      </c>
      <c r="AP153" s="728">
        <f>AO144/(AQ149)</f>
        <v>14.456026817219477</v>
      </c>
      <c r="AQ153" s="729">
        <f>AP144/AQ149</f>
        <v>15.134283697953423</v>
      </c>
      <c r="AR153" s="733">
        <f>AQ144/AV149</f>
        <v>13.641775284186688</v>
      </c>
      <c r="AS153" s="728">
        <f>AR144/AV149</f>
        <v>13.756047912571644</v>
      </c>
      <c r="AT153" s="728">
        <f>AS144/AV149</f>
        <v>14.48780875683034</v>
      </c>
      <c r="AU153" s="728">
        <f>AT144/(AV149)</f>
        <v>15.29043338867579</v>
      </c>
      <c r="AV153" s="729">
        <f>AU144/AV149</f>
        <v>15.768299587158007</v>
      </c>
      <c r="AW153" s="728">
        <f>AV144/BA149</f>
        <v>13.860180603315721</v>
      </c>
      <c r="AX153" s="728">
        <f>AW144/BA149</f>
        <v>14.554295619111523</v>
      </c>
      <c r="AY153" s="728">
        <f>AX144/BA149</f>
        <v>15.00289077133831</v>
      </c>
      <c r="AZ153" s="728">
        <f>AY144/(BA149)</f>
        <v>15.596505353797982</v>
      </c>
      <c r="BA153" s="729">
        <f>AZ144/BA149</f>
        <v>16.113394279963099</v>
      </c>
      <c r="BB153" s="819">
        <f>BA144/BF149</f>
        <v>13.577102949429445</v>
      </c>
      <c r="BC153" s="728">
        <f>BB144/BF149</f>
        <v>15.719310483396036</v>
      </c>
      <c r="BD153" s="735">
        <f>BC144/BF149</f>
        <v>16.656695003914557</v>
      </c>
      <c r="BE153" s="1223">
        <v>17</v>
      </c>
      <c r="BF153" s="1224">
        <f>BE144/BF149</f>
        <v>18.009105055669874</v>
      </c>
      <c r="BG153" s="1245">
        <v>17</v>
      </c>
      <c r="BH153" s="1223">
        <v>17</v>
      </c>
      <c r="BI153" s="1223">
        <v>17</v>
      </c>
      <c r="BJ153" s="1223">
        <v>17</v>
      </c>
      <c r="BK153" s="1224">
        <f>BJ144/BK149</f>
        <v>17.975922601465719</v>
      </c>
      <c r="BL153" s="1245">
        <v>17</v>
      </c>
      <c r="BM153" s="1223">
        <v>17</v>
      </c>
      <c r="BN153" s="1223">
        <v>17</v>
      </c>
      <c r="BO153" s="1223">
        <v>17</v>
      </c>
      <c r="BP153" s="1224">
        <f>BO144/BP149</f>
        <v>17.814290973683288</v>
      </c>
      <c r="BQ153" s="1245">
        <v>17</v>
      </c>
      <c r="BR153" s="1223">
        <v>17</v>
      </c>
      <c r="BS153" s="1223">
        <v>17</v>
      </c>
      <c r="BT153" s="1223">
        <v>17</v>
      </c>
      <c r="BU153" s="1224">
        <f>BT144/BU149</f>
        <v>17.615806912908766</v>
      </c>
      <c r="BV153" s="1245">
        <v>17</v>
      </c>
      <c r="BW153" s="1223">
        <v>17</v>
      </c>
      <c r="BX153" s="1223">
        <v>17</v>
      </c>
      <c r="BY153" s="1223">
        <v>17</v>
      </c>
      <c r="BZ153" s="1224">
        <f>BY144/BZ149</f>
        <v>17.533773669194144</v>
      </c>
    </row>
    <row r="154" spans="1:78" ht="14.1" customHeight="1" x14ac:dyDescent="0.2">
      <c r="C154" s="565" t="s">
        <v>336</v>
      </c>
      <c r="E154" s="160">
        <f t="shared" ref="E154:J154" si="181">IFERROR(E146/E145,"NM")</f>
        <v>-3.4313637826817893E-2</v>
      </c>
      <c r="F154" s="160">
        <f t="shared" si="181"/>
        <v>0.24256140167909437</v>
      </c>
      <c r="G154" s="160">
        <f t="shared" si="181"/>
        <v>0.29903695563766025</v>
      </c>
      <c r="H154" s="160">
        <f t="shared" si="181"/>
        <v>0.1486005053439072</v>
      </c>
      <c r="I154" s="160">
        <f t="shared" si="181"/>
        <v>9.0175244741160065E-2</v>
      </c>
      <c r="J154" s="586">
        <f t="shared" si="181"/>
        <v>8.389352526490218E-2</v>
      </c>
      <c r="K154" s="737">
        <f t="shared" si="162"/>
        <v>2.4963542394193919E-2</v>
      </c>
      <c r="L154" s="116">
        <f t="shared" si="163"/>
        <v>-7.9999999999999877E-2</v>
      </c>
      <c r="M154" s="116">
        <f t="shared" si="164"/>
        <v>-8.0000000000000029E-2</v>
      </c>
      <c r="N154" s="116">
        <f t="shared" si="165"/>
        <v>-0.08</v>
      </c>
      <c r="O154" s="551">
        <f t="shared" si="166"/>
        <v>-7.999999999999996E-2</v>
      </c>
      <c r="R154" s="210" t="str">
        <f t="shared" si="168"/>
        <v>Disposal at Cost / CAPEX</v>
      </c>
      <c r="S154" s="160"/>
      <c r="T154" s="160"/>
      <c r="U154" s="160"/>
      <c r="V154" s="160"/>
      <c r="W154" s="160"/>
      <c r="X154" s="601">
        <f t="shared" ref="X154:AC154" si="182">IFERROR(X146/X145,"NM")</f>
        <v>4.9444337791427193E-2</v>
      </c>
      <c r="Y154" s="160">
        <f t="shared" si="182"/>
        <v>-0.18286559169781727</v>
      </c>
      <c r="Z154" s="160">
        <f t="shared" si="182"/>
        <v>0.29893024778954153</v>
      </c>
      <c r="AA154" s="160">
        <f t="shared" si="182"/>
        <v>-0.11448396756993573</v>
      </c>
      <c r="AB154" s="199">
        <f t="shared" si="182"/>
        <v>-3.4313637826817893E-2</v>
      </c>
      <c r="AC154" s="601">
        <f t="shared" si="182"/>
        <v>0.42551241606598039</v>
      </c>
      <c r="AD154" s="160">
        <f t="shared" ref="AD154:BA154" si="183">IFERROR(AD146/AD145,"NM")</f>
        <v>-1.7558093953122959E-2</v>
      </c>
      <c r="AE154" s="160">
        <f t="shared" si="183"/>
        <v>0.11815561959654183</v>
      </c>
      <c r="AF154" s="160">
        <f t="shared" si="183"/>
        <v>0.90099406388391645</v>
      </c>
      <c r="AG154" s="199">
        <f t="shared" si="183"/>
        <v>0.24256140167909437</v>
      </c>
      <c r="AH154" s="601">
        <f t="shared" si="183"/>
        <v>0.11195174317554392</v>
      </c>
      <c r="AI154" s="160">
        <f t="shared" si="183"/>
        <v>0.33905121868488725</v>
      </c>
      <c r="AJ154" s="160">
        <f t="shared" si="183"/>
        <v>0.26765529215832073</v>
      </c>
      <c r="AK154" s="160">
        <f t="shared" si="183"/>
        <v>1.0827946584091395</v>
      </c>
      <c r="AL154" s="199">
        <f t="shared" si="183"/>
        <v>0.29903695563766025</v>
      </c>
      <c r="AM154" s="601">
        <f t="shared" si="183"/>
        <v>0.33373748435544115</v>
      </c>
      <c r="AN154" s="160">
        <f t="shared" si="183"/>
        <v>0.12045448455127683</v>
      </c>
      <c r="AO154" s="160">
        <f t="shared" si="183"/>
        <v>-0.17947404996159397</v>
      </c>
      <c r="AP154" s="160">
        <f t="shared" si="183"/>
        <v>0.26556983692745084</v>
      </c>
      <c r="AQ154" s="199">
        <f t="shared" si="183"/>
        <v>0.1486005053439072</v>
      </c>
      <c r="AR154" s="601">
        <f t="shared" si="183"/>
        <v>0.61166475712833401</v>
      </c>
      <c r="AS154" s="160">
        <f t="shared" si="183"/>
        <v>-4.4898811902770917E-2</v>
      </c>
      <c r="AT154" s="160">
        <f t="shared" si="183"/>
        <v>-2.8270826202468905E-2</v>
      </c>
      <c r="AU154" s="160">
        <f t="shared" si="183"/>
        <v>0.14993436835196819</v>
      </c>
      <c r="AV154" s="199">
        <f t="shared" si="183"/>
        <v>9.0175244741160065E-2</v>
      </c>
      <c r="AW154" s="601">
        <f t="shared" si="183"/>
        <v>3.3298290698126141E-2</v>
      </c>
      <c r="AX154" s="160">
        <f t="shared" si="183"/>
        <v>0.18637622075512067</v>
      </c>
      <c r="AY154" s="160">
        <f t="shared" si="183"/>
        <v>6.4674995154441736E-2</v>
      </c>
      <c r="AZ154" s="160">
        <f t="shared" si="183"/>
        <v>6.9531257863532203E-2</v>
      </c>
      <c r="BA154" s="199">
        <f t="shared" si="183"/>
        <v>8.389352526490218E-2</v>
      </c>
      <c r="BB154" s="601">
        <f>IFERROR(BB146/BB145,"NM")</f>
        <v>5.4050625158591466E-3</v>
      </c>
      <c r="BC154" s="160">
        <f>IFERROR(BC146/BC145,"NM")</f>
        <v>0.11475161842895622</v>
      </c>
      <c r="BD154" s="586">
        <f>IFERROR(BD146/BD145,"NM")</f>
        <v>0.12699668533428463</v>
      </c>
      <c r="BE154" s="1230">
        <v>0.13700000000000001</v>
      </c>
      <c r="BF154" s="1231">
        <f>IFERROR(BF151/BF146,"NM")</f>
        <v>2.4963542394193919E-2</v>
      </c>
      <c r="BG154" s="1232">
        <v>0.1147</v>
      </c>
      <c r="BH154" s="1230">
        <v>0.1147</v>
      </c>
      <c r="BI154" s="1230">
        <v>0.1147</v>
      </c>
      <c r="BJ154" s="1230">
        <v>0.1147</v>
      </c>
      <c r="BK154" s="1231">
        <f>IFERROR(BK151/BK146,"NM")</f>
        <v>-7.9999999999999877E-2</v>
      </c>
      <c r="BL154" s="1232">
        <v>0.1147</v>
      </c>
      <c r="BM154" s="1230">
        <v>0.1147</v>
      </c>
      <c r="BN154" s="1230">
        <v>0.1147</v>
      </c>
      <c r="BO154" s="1230">
        <v>0.1147</v>
      </c>
      <c r="BP154" s="1231">
        <f>IFERROR(BP151/BP146,"NM")</f>
        <v>-8.0000000000000029E-2</v>
      </c>
      <c r="BQ154" s="1232">
        <v>0.1147</v>
      </c>
      <c r="BR154" s="1230">
        <v>0.1147</v>
      </c>
      <c r="BS154" s="1230">
        <v>0.1147</v>
      </c>
      <c r="BT154" s="1230">
        <v>0.1147</v>
      </c>
      <c r="BU154" s="1231">
        <f>IFERROR(BU151/BU146,"NM")</f>
        <v>-0.08</v>
      </c>
      <c r="BV154" s="1232">
        <v>0.1147</v>
      </c>
      <c r="BW154" s="1230">
        <v>0.1147</v>
      </c>
      <c r="BX154" s="1230">
        <v>0.1147</v>
      </c>
      <c r="BY154" s="1230">
        <v>0.1147</v>
      </c>
      <c r="BZ154" s="1231">
        <f>IFERROR(BZ151/BZ146,"NM")</f>
        <v>-7.999999999999996E-2</v>
      </c>
    </row>
    <row r="155" spans="1:78" ht="14.1" customHeight="1" x14ac:dyDescent="0.2">
      <c r="C155" s="580" t="s">
        <v>433</v>
      </c>
      <c r="D155" s="581"/>
      <c r="E155" s="730">
        <f t="shared" ref="E155:J155" si="184">IFERROR(E150/E146,"NM")</f>
        <v>-3.6591530944625412</v>
      </c>
      <c r="F155" s="730">
        <f t="shared" si="184"/>
        <v>0.87131309656892353</v>
      </c>
      <c r="G155" s="730">
        <f t="shared" si="184"/>
        <v>0.81106770833333353</v>
      </c>
      <c r="H155" s="730">
        <f t="shared" si="184"/>
        <v>1.0089727285572963</v>
      </c>
      <c r="I155" s="730">
        <f t="shared" si="184"/>
        <v>0.75673799535207309</v>
      </c>
      <c r="J155" s="736">
        <f t="shared" si="184"/>
        <v>1.5325854266590828</v>
      </c>
      <c r="K155" s="730">
        <f t="shared" si="162"/>
        <v>0.97503645760580604</v>
      </c>
      <c r="L155" s="730">
        <f t="shared" si="163"/>
        <v>1.0799999999999998</v>
      </c>
      <c r="M155" s="730">
        <f t="shared" si="164"/>
        <v>1.08</v>
      </c>
      <c r="N155" s="730">
        <f t="shared" si="165"/>
        <v>1.08</v>
      </c>
      <c r="O155" s="732">
        <f t="shared" si="166"/>
        <v>1.0799999999999998</v>
      </c>
      <c r="R155" s="634" t="str">
        <f t="shared" si="168"/>
        <v>Accumulated Depreciation on Disposal / Value of Disposal at cost</v>
      </c>
      <c r="S155" s="730"/>
      <c r="T155" s="730"/>
      <c r="U155" s="730"/>
      <c r="V155" s="730"/>
      <c r="W155" s="730"/>
      <c r="X155" s="734">
        <f>IFERROR(X150/X146,"NM")</f>
        <v>1.5293356341674964</v>
      </c>
      <c r="Y155" s="730">
        <f t="shared" ref="Y155:AZ155" si="185">IFERROR(Y150/Y146,"NM")</f>
        <v>-0.32509534706330934</v>
      </c>
      <c r="Z155" s="730">
        <f t="shared" si="185"/>
        <v>1.099872192806288</v>
      </c>
      <c r="AA155" s="730">
        <f t="shared" si="185"/>
        <v>-1.0500191399770318</v>
      </c>
      <c r="AB155" s="732">
        <f t="shared" si="185"/>
        <v>-3.6591530944625412</v>
      </c>
      <c r="AC155" s="734">
        <f t="shared" si="185"/>
        <v>0.27572067594433636</v>
      </c>
      <c r="AD155" s="730">
        <f t="shared" si="185"/>
        <v>-1.7294911734164762</v>
      </c>
      <c r="AE155" s="730">
        <f t="shared" si="185"/>
        <v>1.2526055657032384</v>
      </c>
      <c r="AF155" s="730">
        <f t="shared" si="185"/>
        <v>1.0235300269288072</v>
      </c>
      <c r="AG155" s="732">
        <f t="shared" si="185"/>
        <v>0.87131309656892353</v>
      </c>
      <c r="AH155" s="734">
        <f t="shared" si="185"/>
        <v>0.52561228725613374</v>
      </c>
      <c r="AI155" s="730">
        <f t="shared" si="185"/>
        <v>0.22874088895240194</v>
      </c>
      <c r="AJ155" s="730">
        <f t="shared" si="185"/>
        <v>1.0131065069173288</v>
      </c>
      <c r="AK155" s="730">
        <f t="shared" si="185"/>
        <v>1.1161793093586838</v>
      </c>
      <c r="AL155" s="732">
        <f t="shared" si="185"/>
        <v>0.81106770833333353</v>
      </c>
      <c r="AM155" s="734">
        <f t="shared" si="185"/>
        <v>0.47790929333177729</v>
      </c>
      <c r="AN155" s="730">
        <f t="shared" si="185"/>
        <v>0.46573971078976878</v>
      </c>
      <c r="AO155" s="730">
        <f t="shared" si="185"/>
        <v>-1.6843285102914305</v>
      </c>
      <c r="AP155" s="730">
        <f t="shared" si="185"/>
        <v>0.51932207291457</v>
      </c>
      <c r="AQ155" s="732">
        <f t="shared" si="185"/>
        <v>1.0089727285572963</v>
      </c>
      <c r="AR155" s="734">
        <f t="shared" si="185"/>
        <v>0.46294398303587614</v>
      </c>
      <c r="AS155" s="730">
        <f t="shared" si="185"/>
        <v>-0.65607930406637172</v>
      </c>
      <c r="AT155" s="730">
        <f t="shared" si="185"/>
        <v>-0.2239838570193127</v>
      </c>
      <c r="AU155" s="730">
        <f t="shared" si="185"/>
        <v>0.60030188679245189</v>
      </c>
      <c r="AV155" s="732">
        <f t="shared" si="185"/>
        <v>0.75673799535207309</v>
      </c>
      <c r="AW155" s="734">
        <f t="shared" si="185"/>
        <v>1.0371842843779706</v>
      </c>
      <c r="AX155" s="730">
        <f t="shared" si="185"/>
        <v>0.19958646207421674</v>
      </c>
      <c r="AY155" s="730">
        <f t="shared" si="185"/>
        <v>0.73545838441627887</v>
      </c>
      <c r="AZ155" s="730">
        <f t="shared" si="185"/>
        <v>6.2326288361322089</v>
      </c>
      <c r="BA155" s="732">
        <f>IFERROR(BA150/BA146,"NM")</f>
        <v>1.5325854266590828</v>
      </c>
      <c r="BB155" s="734">
        <f>IFERROR(BB150/BB146,"NM")</f>
        <v>3.1210036422498311</v>
      </c>
      <c r="BC155" s="730">
        <f>IFERROR(BC150/BC146,"NM")</f>
        <v>0.69535884610910292</v>
      </c>
      <c r="BD155" s="736">
        <f>IFERROR(BD150/BD146,"NM")</f>
        <v>1.079604218412801</v>
      </c>
      <c r="BE155" s="1246">
        <v>0.94</v>
      </c>
      <c r="BF155" s="1247">
        <f>IFERROR(BF150/BF146,"NM")</f>
        <v>0.97503645760580604</v>
      </c>
      <c r="BG155" s="1248">
        <v>1.08</v>
      </c>
      <c r="BH155" s="1246">
        <v>1.08</v>
      </c>
      <c r="BI155" s="1246">
        <v>1.08</v>
      </c>
      <c r="BJ155" s="1246">
        <v>1.08</v>
      </c>
      <c r="BK155" s="1247">
        <f>IFERROR(BK150/BK146,"NM")</f>
        <v>1.0799999999999998</v>
      </c>
      <c r="BL155" s="1248">
        <v>1.08</v>
      </c>
      <c r="BM155" s="1246">
        <v>1.08</v>
      </c>
      <c r="BN155" s="1246">
        <v>1.08</v>
      </c>
      <c r="BO155" s="1246">
        <v>1.08</v>
      </c>
      <c r="BP155" s="1247">
        <f>IFERROR(BP150/BP146,"NM")</f>
        <v>1.08</v>
      </c>
      <c r="BQ155" s="1248">
        <v>1.08</v>
      </c>
      <c r="BR155" s="1246">
        <v>1.08</v>
      </c>
      <c r="BS155" s="1246">
        <v>1.08</v>
      </c>
      <c r="BT155" s="1246">
        <v>1.08</v>
      </c>
      <c r="BU155" s="1247">
        <f>IFERROR(BU150/BU146,"NM")</f>
        <v>1.08</v>
      </c>
      <c r="BV155" s="1248">
        <v>1.08</v>
      </c>
      <c r="BW155" s="1246">
        <v>1.08</v>
      </c>
      <c r="BX155" s="1246">
        <v>1.08</v>
      </c>
      <c r="BY155" s="1246">
        <v>1.08</v>
      </c>
      <c r="BZ155" s="1247">
        <f>IFERROR(BZ150/BZ146,"NM")</f>
        <v>1.0799999999999998</v>
      </c>
    </row>
    <row r="156" spans="1:78" ht="14.1" customHeight="1" x14ac:dyDescent="0.2">
      <c r="X156" s="165"/>
      <c r="Y156" s="165"/>
      <c r="Z156" s="165"/>
      <c r="AA156" s="165"/>
      <c r="BE156" s="1216"/>
      <c r="BF156" s="1216"/>
      <c r="BG156" s="1216"/>
      <c r="BH156" s="1216"/>
      <c r="BI156" s="1216"/>
      <c r="BJ156" s="1216"/>
      <c r="BK156" s="1216"/>
      <c r="BL156" s="1216"/>
      <c r="BM156" s="1216"/>
      <c r="BN156" s="1216"/>
      <c r="BO156" s="1216"/>
      <c r="BP156" s="1216"/>
      <c r="BQ156" s="1216"/>
      <c r="BR156" s="1216"/>
      <c r="BS156" s="1216"/>
      <c r="BT156" s="1216"/>
      <c r="BU156" s="1216"/>
      <c r="BV156" s="1216"/>
      <c r="BW156" s="1216"/>
      <c r="BX156" s="1216"/>
      <c r="BY156" s="1216"/>
      <c r="BZ156" s="1216"/>
    </row>
    <row r="157" spans="1:78" ht="14.1" customHeight="1" x14ac:dyDescent="0.2">
      <c r="C157" s="563" t="s">
        <v>184</v>
      </c>
      <c r="D157" s="451"/>
      <c r="E157" s="451">
        <f>E145</f>
        <v>223.67199999999997</v>
      </c>
      <c r="F157" s="451">
        <f t="shared" ref="F157:O157" si="186">F145</f>
        <v>287.65499999999997</v>
      </c>
      <c r="G157" s="451">
        <f t="shared" si="186"/>
        <v>231.142</v>
      </c>
      <c r="H157" s="451">
        <f t="shared" si="186"/>
        <v>285.74599999999998</v>
      </c>
      <c r="I157" s="451">
        <f t="shared" si="186"/>
        <v>367.42899999999997</v>
      </c>
      <c r="J157" s="568">
        <f t="shared" si="186"/>
        <v>439.87900000000002</v>
      </c>
      <c r="K157" s="451">
        <f t="shared" si="186"/>
        <v>1012.302</v>
      </c>
      <c r="L157" s="451">
        <f t="shared" si="186"/>
        <v>675.02673545027778</v>
      </c>
      <c r="M157" s="451">
        <f t="shared" si="186"/>
        <v>660.4714690794234</v>
      </c>
      <c r="N157" s="451">
        <f t="shared" si="186"/>
        <v>584.86632456770531</v>
      </c>
      <c r="O157" s="452">
        <f t="shared" si="186"/>
        <v>547.50086412397741</v>
      </c>
      <c r="R157" s="550" t="str">
        <f>C157</f>
        <v>CAPEX</v>
      </c>
      <c r="S157" s="451"/>
      <c r="T157" s="451"/>
      <c r="U157" s="451"/>
      <c r="V157" s="451"/>
      <c r="W157" s="451"/>
      <c r="X157" s="557">
        <f t="shared" ref="X157:BD157" si="187">X145</f>
        <v>46.881</v>
      </c>
      <c r="Y157" s="451">
        <f t="shared" si="187"/>
        <v>71.691999999999993</v>
      </c>
      <c r="Z157" s="451">
        <f t="shared" si="187"/>
        <v>36.64400000000002</v>
      </c>
      <c r="AA157" s="451">
        <f t="shared" si="187"/>
        <v>68.45499999999997</v>
      </c>
      <c r="AB157" s="452">
        <f t="shared" si="187"/>
        <v>223.67199999999997</v>
      </c>
      <c r="AC157" s="557">
        <f t="shared" si="187"/>
        <v>56.741</v>
      </c>
      <c r="AD157" s="451">
        <f t="shared" si="187"/>
        <v>109.693</v>
      </c>
      <c r="AE157" s="451">
        <f t="shared" si="187"/>
        <v>78.768999999999991</v>
      </c>
      <c r="AF157" s="451">
        <f t="shared" si="187"/>
        <v>42.45199999999997</v>
      </c>
      <c r="AG157" s="452">
        <f t="shared" si="187"/>
        <v>287.65499999999997</v>
      </c>
      <c r="AH157" s="557">
        <f t="shared" si="187"/>
        <v>107.59099999999999</v>
      </c>
      <c r="AI157" s="451">
        <f t="shared" si="187"/>
        <v>41.274000000000015</v>
      </c>
      <c r="AJ157" s="451">
        <f t="shared" si="187"/>
        <v>56.441999999999965</v>
      </c>
      <c r="AK157" s="451">
        <f t="shared" si="187"/>
        <v>25.835000000000051</v>
      </c>
      <c r="AL157" s="452">
        <f t="shared" si="187"/>
        <v>231.142</v>
      </c>
      <c r="AM157" s="557">
        <f t="shared" si="187"/>
        <v>25.568000000000001</v>
      </c>
      <c r="AN157" s="451">
        <f t="shared" si="187"/>
        <v>74.634</v>
      </c>
      <c r="AO157" s="451">
        <f t="shared" si="187"/>
        <v>54.681999999999988</v>
      </c>
      <c r="AP157" s="451">
        <f t="shared" si="187"/>
        <v>130.86199999999999</v>
      </c>
      <c r="AQ157" s="452">
        <f t="shared" si="187"/>
        <v>285.74599999999998</v>
      </c>
      <c r="AR157" s="557">
        <f t="shared" si="187"/>
        <v>46.259</v>
      </c>
      <c r="AS157" s="451">
        <f t="shared" si="187"/>
        <v>110.092</v>
      </c>
      <c r="AT157" s="451">
        <f t="shared" si="187"/>
        <v>122.70600000000003</v>
      </c>
      <c r="AU157" s="451">
        <f t="shared" si="187"/>
        <v>88.371999999999971</v>
      </c>
      <c r="AV157" s="452">
        <f t="shared" si="187"/>
        <v>367.42899999999997</v>
      </c>
      <c r="AW157" s="557">
        <f t="shared" si="187"/>
        <v>128.41499999999999</v>
      </c>
      <c r="AX157" s="451">
        <f t="shared" si="187"/>
        <v>98.606999999999999</v>
      </c>
      <c r="AY157" s="451">
        <f t="shared" si="187"/>
        <v>113.50600000000003</v>
      </c>
      <c r="AZ157" s="451">
        <f t="shared" si="187"/>
        <v>99.350999999999999</v>
      </c>
      <c r="BA157" s="452">
        <f t="shared" si="187"/>
        <v>439.87900000000002</v>
      </c>
      <c r="BB157" s="557">
        <f t="shared" si="187"/>
        <v>457.16399999999999</v>
      </c>
      <c r="BC157" s="451">
        <f t="shared" si="187"/>
        <v>224.755</v>
      </c>
      <c r="BD157" s="451">
        <f t="shared" si="187"/>
        <v>193.38300000000004</v>
      </c>
      <c r="BE157" s="1244">
        <v>137</v>
      </c>
      <c r="BF157" s="1242">
        <f>SUM(BB157:BE157)</f>
        <v>1012.302</v>
      </c>
      <c r="BG157" s="1243">
        <f>BG158*'Income Statement'!BG8</f>
        <v>136.348506994654</v>
      </c>
      <c r="BH157" s="1244">
        <f>BH158*'Income Statement'!BH8</f>
        <v>176.60292889846895</v>
      </c>
      <c r="BI157" s="1244">
        <f>BI158*'Income Statement'!BI8</f>
        <v>178.58464061880602</v>
      </c>
      <c r="BJ157" s="1244">
        <f>BJ158*'Income Statement'!BJ8</f>
        <v>183.49065893834879</v>
      </c>
      <c r="BK157" s="1242">
        <f>SUM(BG157:BJ157)</f>
        <v>675.02673545027778</v>
      </c>
      <c r="BL157" s="1244">
        <f>BL158*'Income Statement'!BL8</f>
        <v>145.12063641295887</v>
      </c>
      <c r="BM157" s="1244">
        <f>BM158*'Income Statement'!BM8</f>
        <v>169.680286913972</v>
      </c>
      <c r="BN157" s="1244">
        <f>BN158*'Income Statement'!BN8</f>
        <v>173.05072428671056</v>
      </c>
      <c r="BO157" s="1244">
        <f>BO158*'Income Statement'!BO8</f>
        <v>172.61982146578202</v>
      </c>
      <c r="BP157" s="1242">
        <f>SUM(BL157:BO157)</f>
        <v>660.4714690794234</v>
      </c>
      <c r="BQ157" s="1244">
        <f>BQ158*'Income Statement'!BQ8</f>
        <v>142.13087263353634</v>
      </c>
      <c r="BR157" s="1244">
        <f>BR158*'Income Statement'!BR8</f>
        <v>151.73436460670467</v>
      </c>
      <c r="BS157" s="1244">
        <f>BS158*'Income Statement'!BS8</f>
        <v>152.45750179271471</v>
      </c>
      <c r="BT157" s="1244">
        <f>BT158*'Income Statement'!BT8</f>
        <v>138.54358553474964</v>
      </c>
      <c r="BU157" s="1242">
        <f>SUM(BQ157:BT157)</f>
        <v>584.86632456770531</v>
      </c>
      <c r="BV157" s="1244">
        <f>BV158*'Income Statement'!BV8</f>
        <v>131.23018053174189</v>
      </c>
      <c r="BW157" s="1244">
        <f>BW158*'Income Statement'!BW8</f>
        <v>141.21055462755038</v>
      </c>
      <c r="BX157" s="1244">
        <f>BX158*'Income Statement'!BX8</f>
        <v>140.10273392107402</v>
      </c>
      <c r="BY157" s="1244">
        <f>BY158*'Income Statement'!BY8</f>
        <v>134.95739504361111</v>
      </c>
      <c r="BZ157" s="1242">
        <f>SUM(BV157:BY157)</f>
        <v>547.50086412397741</v>
      </c>
    </row>
    <row r="158" spans="1:78" s="165" customFormat="1" ht="14.1" customHeight="1" x14ac:dyDescent="0.2">
      <c r="A158"/>
      <c r="B158"/>
      <c r="C158" s="820" t="str">
        <f>C157&amp;" / "&amp;'Income Statement'!C8</f>
        <v>CAPEX / Revenue</v>
      </c>
      <c r="D158" s="581"/>
      <c r="E158" s="730">
        <f>E145/'Income Statement'!E8</f>
        <v>0.1352433021394335</v>
      </c>
      <c r="F158" s="730">
        <f>F145/'Income Statement'!F8</f>
        <v>0.16099477538638912</v>
      </c>
      <c r="G158" s="730">
        <f>G145/'Income Statement'!G8</f>
        <v>0.12683621182572546</v>
      </c>
      <c r="H158" s="730">
        <f>H145/'Income Statement'!H8</f>
        <v>0.12485057045384636</v>
      </c>
      <c r="I158" s="730">
        <f>I145/'Income Statement'!I8</f>
        <v>0.13159795806460972</v>
      </c>
      <c r="J158" s="736">
        <f>J145/'Income Statement'!J8</f>
        <v>0.15265980503450888</v>
      </c>
      <c r="K158" s="730">
        <f>K145/'Income Statement'!K8</f>
        <v>0.31544694724115829</v>
      </c>
      <c r="L158" s="730">
        <f>L145/'Income Statement'!L8</f>
        <v>0.1894827315998602</v>
      </c>
      <c r="M158" s="730">
        <f>M145/'Income Statement'!M8</f>
        <v>0.16144029556835068</v>
      </c>
      <c r="N158" s="730">
        <f>N145/'Income Statement'!N8</f>
        <v>0.13131353309907454</v>
      </c>
      <c r="O158" s="732">
        <f>O145/'Income Statement'!O8</f>
        <v>0.11386783894164262</v>
      </c>
      <c r="P158" s="116"/>
      <c r="Q158" s="116"/>
      <c r="R158" s="821" t="str">
        <f>C158</f>
        <v>CAPEX / Revenue</v>
      </c>
      <c r="S158" s="581"/>
      <c r="T158" s="581"/>
      <c r="U158" s="581"/>
      <c r="V158" s="581"/>
      <c r="W158" s="581"/>
      <c r="X158" s="734">
        <f>X145/'Income Statement'!X8</f>
        <v>0.1193492954519418</v>
      </c>
      <c r="Y158" s="730">
        <f>Y145/'Income Statement'!Y8</f>
        <v>0.16721868206711882</v>
      </c>
      <c r="Z158" s="730">
        <f>Z145/'Income Statement'!Z8</f>
        <v>8.6107312213026588E-2</v>
      </c>
      <c r="AA158" s="730">
        <f>AA145/'Income Statement'!AA8</f>
        <v>0.16829748002458514</v>
      </c>
      <c r="AB158" s="732">
        <f>AB145/'Income Statement'!AB8</f>
        <v>0.1352433021394335</v>
      </c>
      <c r="AC158" s="734">
        <f>AC145/'Income Statement'!AC8</f>
        <v>0.13819583812325859</v>
      </c>
      <c r="AD158" s="730">
        <f>AD145/'Income Statement'!AD8</f>
        <v>0.2363080171048805</v>
      </c>
      <c r="AE158" s="730">
        <f>AE145/'Income Statement'!AE8</f>
        <v>0.16799000194074953</v>
      </c>
      <c r="AF158" s="730">
        <f>AF145/'Income Statement'!AF8</f>
        <v>9.5814383894011007E-2</v>
      </c>
      <c r="AG158" s="732">
        <f>AG145/'Income Statement'!AG8</f>
        <v>0.16099477538638912</v>
      </c>
      <c r="AH158" s="734">
        <f>AH145/'Income Statement'!AH8</f>
        <v>0.24102142492316236</v>
      </c>
      <c r="AI158" s="730">
        <f>AI145/'Income Statement'!AI8</f>
        <v>9.8714704602094208E-2</v>
      </c>
      <c r="AJ158" s="730">
        <f>AJ145/'Income Statement'!AJ8</f>
        <v>0.11725186653205193</v>
      </c>
      <c r="AK158" s="730">
        <f>AK145/'Income Statement'!AK8</f>
        <v>5.422030632846582E-2</v>
      </c>
      <c r="AL158" s="732">
        <f>AL145/'Income Statement'!AL8</f>
        <v>0.12683621182572546</v>
      </c>
      <c r="AM158" s="734">
        <f>AM145/'Income Statement'!AM8</f>
        <v>5.2818370744968743E-2</v>
      </c>
      <c r="AN158" s="730">
        <f>AN145/'Income Statement'!AN8</f>
        <v>0.13063134809296856</v>
      </c>
      <c r="AO158" s="730">
        <f>AO145/'Income Statement'!AO8</f>
        <v>8.8738364469601552E-2</v>
      </c>
      <c r="AP158" s="730">
        <f>AP145/'Income Statement'!AP8</f>
        <v>0.21206616311310827</v>
      </c>
      <c r="AQ158" s="732">
        <f>AQ145/'Income Statement'!AQ8</f>
        <v>0.12485057045384636</v>
      </c>
      <c r="AR158" s="734">
        <f>AR145/'Income Statement'!AR8</f>
        <v>6.9960497023665483E-2</v>
      </c>
      <c r="AS158" s="730">
        <f>AS145/'Income Statement'!AS8</f>
        <v>0.14766468961336135</v>
      </c>
      <c r="AT158" s="730">
        <f>AT145/'Income Statement'!AT8</f>
        <v>0.16819155629207158</v>
      </c>
      <c r="AU158" s="730">
        <f>AU145/'Income Statement'!AU8</f>
        <v>0.13476970563924567</v>
      </c>
      <c r="AV158" s="732">
        <f>AV145/'Income Statement'!AV8</f>
        <v>0.13159795806460972</v>
      </c>
      <c r="AW158" s="734">
        <f>AW145/'Income Statement'!AW8</f>
        <v>0.19441059141453518</v>
      </c>
      <c r="AX158" s="730">
        <f>AX145/'Income Statement'!AX8</f>
        <v>0.14195778423372712</v>
      </c>
      <c r="AY158" s="730">
        <f>AY145/'Income Statement'!AY8</f>
        <v>0.14643214680111055</v>
      </c>
      <c r="AZ158" s="730">
        <f>AZ145/'Income Statement'!AZ8</f>
        <v>0.13226836295085284</v>
      </c>
      <c r="BA158" s="732">
        <f>BA145/'Income Statement'!BA8</f>
        <v>0.15265980503450888</v>
      </c>
      <c r="BB158" s="734">
        <f>BB145/'Income Statement'!BB8</f>
        <v>0.6056957371402073</v>
      </c>
      <c r="BC158" s="730">
        <f>BC145/'Income Statement'!BC8</f>
        <v>0.2730114036664707</v>
      </c>
      <c r="BD158" s="730">
        <f>BD145/'Income Statement'!BD8</f>
        <v>0.22964292966537353</v>
      </c>
      <c r="BE158" s="1246">
        <f>BE145/'Income Statement'!BE8</f>
        <v>0.17364151923169358</v>
      </c>
      <c r="BF158" s="1247">
        <f>BF145/'Income Statement'!BF8</f>
        <v>0.31544694724115829</v>
      </c>
      <c r="BG158" s="1248">
        <v>0.16400000000000001</v>
      </c>
      <c r="BH158" s="1246">
        <v>0.192</v>
      </c>
      <c r="BI158" s="1246">
        <v>0.19400000000000001</v>
      </c>
      <c r="BJ158" s="1246">
        <v>0.20599999999999999</v>
      </c>
      <c r="BK158" s="1247">
        <f>BK145/'Income Statement'!BK8</f>
        <v>0.1894827315998602</v>
      </c>
      <c r="BL158" s="1248">
        <v>0.154</v>
      </c>
      <c r="BM158" s="1246">
        <v>0.16200000000000001</v>
      </c>
      <c r="BN158" s="1246">
        <v>0.16400000000000001</v>
      </c>
      <c r="BO158" s="1246">
        <v>0.16500000000000001</v>
      </c>
      <c r="BP158" s="1247">
        <f>BP145/'Income Statement'!BP8</f>
        <v>0.16144029556835068</v>
      </c>
      <c r="BQ158" s="1248">
        <v>0.13900000000000001</v>
      </c>
      <c r="BR158" s="1246">
        <v>0.13300000000000001</v>
      </c>
      <c r="BS158" s="1246">
        <v>0.13200000000000001</v>
      </c>
      <c r="BT158" s="1246">
        <v>0.122</v>
      </c>
      <c r="BU158" s="1247">
        <f>BU145/'Income Statement'!BU8</f>
        <v>0.13131353309907454</v>
      </c>
      <c r="BV158" s="1248">
        <v>0.11899999999999999</v>
      </c>
      <c r="BW158" s="1246">
        <v>0.114</v>
      </c>
      <c r="BX158" s="1246">
        <v>0.112</v>
      </c>
      <c r="BY158" s="1246">
        <v>0.111</v>
      </c>
      <c r="BZ158" s="1247">
        <f>BZ145/'Income Statement'!BZ8</f>
        <v>0.11386783894164262</v>
      </c>
    </row>
    <row r="160" spans="1:78" ht="14.1" customHeight="1" x14ac:dyDescent="0.2">
      <c r="C160" s="738" t="str">
        <f>"Total PPE Gross / Revenue (Incl. Lease)"</f>
        <v>Total PPE Gross / Revenue (Incl. Lease)</v>
      </c>
      <c r="D160" s="1249">
        <f>(D17+D21)/'Income Statement'!D8</f>
        <v>0.9183393215505341</v>
      </c>
      <c r="E160" s="1249">
        <f>(E17+E21)/'Income Statement'!E8</f>
        <v>0.91987902160354418</v>
      </c>
      <c r="F160" s="1249">
        <f>(F17+F21)/'Income Statement'!F8</f>
        <v>1.0315530842570388</v>
      </c>
      <c r="G160" s="1249">
        <f>(G17+G21)/'Income Statement'!G8</f>
        <v>1.10568294184593</v>
      </c>
      <c r="H160" s="1249">
        <f>(H17+H21)/'Income Statement'!H8</f>
        <v>0.98409798733256881</v>
      </c>
      <c r="I160" s="1249">
        <f>(I17+I21)/'Income Statement'!I8</f>
        <v>0.93095484798483708</v>
      </c>
      <c r="J160" s="1249">
        <f>(J17+J21)/'Income Statement'!J8</f>
        <v>1.0413339473796546</v>
      </c>
      <c r="K160" s="1251">
        <f>(K17+K21)/'Income Statement'!K8</f>
        <v>1.2265497205835083</v>
      </c>
      <c r="L160" s="1249">
        <f>(L17+L21)/'Income Statement'!L8</f>
        <v>1.2767482148699669</v>
      </c>
      <c r="M160" s="1249">
        <f>(M17+M21)/'Income Statement'!M8</f>
        <v>1.260163422285552</v>
      </c>
      <c r="N160" s="1249">
        <f>(N17+N21)/'Income Statement'!N8</f>
        <v>1.2766452486493074</v>
      </c>
      <c r="O160" s="1250">
        <f>(O17+O21)/'Income Statement'!O8</f>
        <v>1.2857984114928001</v>
      </c>
      <c r="R160" s="704"/>
      <c r="S160" s="1249"/>
      <c r="T160" s="1249"/>
      <c r="U160" s="1249"/>
      <c r="V160" s="1249"/>
      <c r="W160" s="1249"/>
      <c r="X160" s="1257"/>
      <c r="Y160" s="1249"/>
      <c r="Z160" s="1249"/>
      <c r="AA160" s="1249"/>
      <c r="AB160" s="1250"/>
      <c r="AC160" s="1257"/>
      <c r="AD160" s="1249"/>
      <c r="AE160" s="1249"/>
      <c r="AF160" s="1249"/>
      <c r="AG160" s="1250"/>
      <c r="AH160" s="1257"/>
      <c r="AI160" s="1249"/>
      <c r="AJ160" s="1249"/>
      <c r="AK160" s="1249"/>
      <c r="AL160" s="1250"/>
      <c r="AM160" s="1257"/>
      <c r="AN160" s="1249"/>
      <c r="AO160" s="1249"/>
      <c r="AP160" s="1249"/>
      <c r="AQ160" s="1250"/>
      <c r="AR160" s="1257"/>
      <c r="AS160" s="1249"/>
      <c r="AT160" s="1249"/>
      <c r="AU160" s="1249"/>
      <c r="AV160" s="1250"/>
      <c r="AW160" s="1257"/>
      <c r="AX160" s="1249"/>
      <c r="AY160" s="1249"/>
      <c r="AZ160" s="1249"/>
      <c r="BA160" s="1250"/>
      <c r="BB160" s="1257"/>
      <c r="BC160" s="1249"/>
      <c r="BD160" s="1249"/>
      <c r="BE160" s="1249"/>
      <c r="BF160" s="1250"/>
      <c r="BG160" s="1257"/>
      <c r="BH160" s="1249"/>
      <c r="BI160" s="1249"/>
      <c r="BJ160" s="1249"/>
      <c r="BK160" s="1250"/>
      <c r="BL160" s="1257"/>
      <c r="BM160" s="1249"/>
      <c r="BN160" s="1249"/>
      <c r="BO160" s="1249"/>
      <c r="BP160" s="1250"/>
      <c r="BQ160" s="1257"/>
      <c r="BR160" s="1249"/>
      <c r="BS160" s="1249"/>
      <c r="BT160" s="1249"/>
      <c r="BU160" s="1250"/>
      <c r="BV160" s="1257"/>
      <c r="BW160" s="1249"/>
      <c r="BX160" s="1249"/>
      <c r="BY160" s="1249"/>
      <c r="BZ160" s="1250"/>
    </row>
    <row r="161" spans="3:78" ht="14.1" customHeight="1" x14ac:dyDescent="0.2">
      <c r="C161" s="577"/>
      <c r="K161" s="1252"/>
      <c r="O161" s="551"/>
      <c r="R161" s="559"/>
      <c r="W161" s="1255"/>
      <c r="X161" s="601"/>
      <c r="Y161" s="160"/>
      <c r="Z161" s="160"/>
      <c r="AA161" s="160"/>
      <c r="AB161" s="199"/>
      <c r="AC161" s="601"/>
      <c r="AD161" s="160"/>
      <c r="AE161" s="160"/>
      <c r="AF161" s="160"/>
      <c r="AG161" s="199"/>
      <c r="AH161" s="601"/>
      <c r="AI161" s="160"/>
      <c r="AJ161" s="160"/>
      <c r="AK161" s="160"/>
      <c r="AL161" s="199"/>
      <c r="AM161" s="601"/>
      <c r="AN161" s="160"/>
      <c r="AO161" s="160"/>
      <c r="AP161" s="160"/>
      <c r="AQ161" s="199"/>
      <c r="AR161" s="601"/>
      <c r="AS161" s="160"/>
      <c r="AT161" s="160"/>
      <c r="AU161" s="160"/>
      <c r="AV161" s="199"/>
      <c r="AW161" s="601"/>
      <c r="AX161" s="160"/>
      <c r="AY161" s="160"/>
      <c r="AZ161" s="160"/>
      <c r="BA161" s="199"/>
      <c r="BB161" s="601"/>
      <c r="BC161" s="160"/>
      <c r="BD161" s="160"/>
      <c r="BE161" s="160"/>
      <c r="BF161" s="199"/>
      <c r="BG161" s="601"/>
      <c r="BH161" s="160"/>
      <c r="BI161" s="160"/>
      <c r="BJ161" s="160"/>
      <c r="BK161" s="199"/>
      <c r="BL161" s="601"/>
      <c r="BM161" s="160"/>
      <c r="BN161" s="160"/>
      <c r="BO161" s="160"/>
      <c r="BP161" s="199"/>
      <c r="BQ161" s="601"/>
      <c r="BR161" s="160"/>
      <c r="BS161" s="160"/>
      <c r="BT161" s="160"/>
      <c r="BU161" s="199"/>
      <c r="BV161" s="601"/>
      <c r="BW161" s="160"/>
      <c r="BX161" s="160"/>
      <c r="BY161" s="160"/>
      <c r="BZ161" s="199"/>
    </row>
    <row r="162" spans="3:78" ht="14.1" customHeight="1" x14ac:dyDescent="0.2">
      <c r="C162" s="577" t="str">
        <f>R162</f>
        <v>Operating Lease Right-of-Use Assets / Revenue</v>
      </c>
      <c r="D162" s="160">
        <f>D21/'Income Statement'!D8</f>
        <v>0</v>
      </c>
      <c r="E162" s="160">
        <f>E21/'Income Statement'!E8</f>
        <v>0</v>
      </c>
      <c r="F162" s="160">
        <f>F21/'Income Statement'!F8</f>
        <v>5.8145164224129492E-2</v>
      </c>
      <c r="G162" s="160">
        <f>G21/'Income Statement'!G8</f>
        <v>6.23996496861772E-2</v>
      </c>
      <c r="H162" s="160">
        <f>H21/'Income Statement'!H8</f>
        <v>4.7092590391767566E-2</v>
      </c>
      <c r="I162" s="160">
        <f>I21/'Income Statement'!I8</f>
        <v>4.3142027544566607E-2</v>
      </c>
      <c r="J162" s="160">
        <f>J21/'Income Statement'!J8</f>
        <v>4.1206580198116696E-2</v>
      </c>
      <c r="K162" s="1253">
        <f>K21/'Income Statement'!K8</f>
        <v>3.540346068014489E-2</v>
      </c>
      <c r="L162" s="160">
        <f>L21/'Income Statement'!L8</f>
        <v>3.6004592080130605E-2</v>
      </c>
      <c r="M162" s="160">
        <f>M21/'Income Statement'!M8</f>
        <v>3.6823671974458176E-2</v>
      </c>
      <c r="N162" s="160">
        <f>N21/'Income Statement'!N8</f>
        <v>3.6714866615102752E-2</v>
      </c>
      <c r="O162" s="199">
        <f>O21/'Income Statement'!O8</f>
        <v>3.6412665338158304E-2</v>
      </c>
      <c r="R162" s="829" t="str">
        <f>R21&amp;" / "&amp;'Income Statement'!C8</f>
        <v>Operating Lease Right-of-Use Assets / Revenue</v>
      </c>
      <c r="X162" s="1258"/>
      <c r="Y162" s="737"/>
      <c r="Z162" s="737"/>
      <c r="AA162" s="737"/>
      <c r="AB162" s="199"/>
      <c r="AC162" s="1258">
        <f>AC21/'Income Statement'!AC8</f>
        <v>0.17648033045613076</v>
      </c>
      <c r="AD162" s="737">
        <f>AD21/'Income Statement'!AD8</f>
        <v>0.15460097588298022</v>
      </c>
      <c r="AE162" s="737">
        <f>AE21/'Income Statement'!AE8</f>
        <v>0.2210535071050628</v>
      </c>
      <c r="AF162" s="737">
        <f>AF21/'Income Statement'!AF8</f>
        <v>0.23448026813221545</v>
      </c>
      <c r="AG162" s="199">
        <f>AG21/'Income Statement'!AG8</f>
        <v>5.8145164224129492E-2</v>
      </c>
      <c r="AH162" s="1258">
        <f>AH21/'Income Statement'!AH8</f>
        <v>0.27476052652801547</v>
      </c>
      <c r="AI162" s="737">
        <f>AI21/'Income Statement'!AI8</f>
        <v>0.29274551916462976</v>
      </c>
      <c r="AJ162" s="737">
        <f>AJ21/'Income Statement'!AJ8</f>
        <v>0.24406594456701025</v>
      </c>
      <c r="AK162" s="737">
        <f>AK21/'Income Statement'!AK8</f>
        <v>0.23865539516707873</v>
      </c>
      <c r="AL162" s="199">
        <f>AL21/'Income Statement'!AL8</f>
        <v>6.23996496861772E-2</v>
      </c>
      <c r="AM162" s="1258">
        <f>AM21/'Income Statement'!AM8</f>
        <v>0.23082627862682151</v>
      </c>
      <c r="AN162" s="737">
        <f>AN21/'Income Statement'!AN8</f>
        <v>0.18546976981900223</v>
      </c>
      <c r="AO162" s="737">
        <f>AO21/'Income Statement'!AO8</f>
        <v>0.17037694574629675</v>
      </c>
      <c r="AP162" s="737">
        <f>AP21/'Income Statement'!AP8</f>
        <v>0.17466264558461528</v>
      </c>
      <c r="AQ162" s="199">
        <f>AQ21/'Income Statement'!AQ8</f>
        <v>4.7092590391767566E-2</v>
      </c>
      <c r="AR162" s="1258">
        <f>AR21/'Income Statement'!AR8</f>
        <v>0.15712263466098822</v>
      </c>
      <c r="AS162" s="737">
        <f>AS21/'Income Statement'!AS8</f>
        <v>0.14133919206388806</v>
      </c>
      <c r="AT162" s="737">
        <f>AT21/'Income Statement'!AT8</f>
        <v>0.14728857491011718</v>
      </c>
      <c r="AU162" s="737">
        <f>AU21/'Income Statement'!AU8</f>
        <v>0.18369715399419889</v>
      </c>
      <c r="AV162" s="199">
        <f>AV21/'Income Statement'!AV8</f>
        <v>4.3142027544566607E-2</v>
      </c>
      <c r="AW162" s="1258">
        <f>AW21/'Income Statement'!AW8</f>
        <v>0.17483403604653802</v>
      </c>
      <c r="AX162" s="737">
        <f>AX21/'Income Statement'!AX8</f>
        <v>0.15897567309990182</v>
      </c>
      <c r="AY162" s="737">
        <f>AY21/'Income Statement'!AY8</f>
        <v>0.16270783235115024</v>
      </c>
      <c r="AZ162" s="737">
        <f>AZ21/'Income Statement'!AZ8</f>
        <v>0.15807341452634155</v>
      </c>
      <c r="BA162" s="199">
        <f>BA21/'Income Statement'!BA8</f>
        <v>4.1206580198116696E-2</v>
      </c>
      <c r="BB162" s="1258">
        <f>BB21/'Income Statement'!BB8</f>
        <v>0.17160080818787057</v>
      </c>
      <c r="BC162" s="737">
        <f>BC21/'Income Statement'!BC8</f>
        <v>0.15480343616230424</v>
      </c>
      <c r="BD162" s="737">
        <f>BD21/'Income Statement'!BD8</f>
        <v>0.14408688723350946</v>
      </c>
      <c r="BE162" s="1260">
        <v>0.14399999999999999</v>
      </c>
      <c r="BF162" s="1231">
        <f>BF21/'Income Statement'!BF8</f>
        <v>3.540346068014489E-2</v>
      </c>
      <c r="BG162" s="1261">
        <f>BB162</f>
        <v>0.17160080818787057</v>
      </c>
      <c r="BH162" s="1260">
        <f>BC162</f>
        <v>0.15480343616230424</v>
      </c>
      <c r="BI162" s="1260">
        <f>BD162</f>
        <v>0.14408688723350946</v>
      </c>
      <c r="BJ162" s="1260">
        <f>BE162</f>
        <v>0.14399999999999999</v>
      </c>
      <c r="BK162" s="1231">
        <f>BK21/'Income Statement'!BK8</f>
        <v>3.6004592080130605E-2</v>
      </c>
      <c r="BL162" s="1261">
        <f t="shared" ref="BL162:BO163" si="188">BG162</f>
        <v>0.17160080818787057</v>
      </c>
      <c r="BM162" s="1260">
        <f t="shared" si="188"/>
        <v>0.15480343616230424</v>
      </c>
      <c r="BN162" s="1260">
        <f t="shared" si="188"/>
        <v>0.14408688723350946</v>
      </c>
      <c r="BO162" s="1260">
        <f t="shared" si="188"/>
        <v>0.14399999999999999</v>
      </c>
      <c r="BP162" s="1231">
        <f>BP21/'Income Statement'!BP8</f>
        <v>3.6823671974458176E-2</v>
      </c>
      <c r="BQ162" s="1261">
        <f t="shared" ref="BQ162:BT163" si="189">BL162</f>
        <v>0.17160080818787057</v>
      </c>
      <c r="BR162" s="1260">
        <f t="shared" si="189"/>
        <v>0.15480343616230424</v>
      </c>
      <c r="BS162" s="1260">
        <f t="shared" si="189"/>
        <v>0.14408688723350946</v>
      </c>
      <c r="BT162" s="1260">
        <f t="shared" si="189"/>
        <v>0.14399999999999999</v>
      </c>
      <c r="BU162" s="1231">
        <f>BU21/'Income Statement'!BU8</f>
        <v>3.6714866615102752E-2</v>
      </c>
      <c r="BV162" s="1261">
        <f t="shared" ref="BV162:BY163" si="190">BQ162</f>
        <v>0.17160080818787057</v>
      </c>
      <c r="BW162" s="1260">
        <f t="shared" si="190"/>
        <v>0.15480343616230424</v>
      </c>
      <c r="BX162" s="1260">
        <f t="shared" si="190"/>
        <v>0.14408688723350946</v>
      </c>
      <c r="BY162" s="1260">
        <f t="shared" si="190"/>
        <v>0.14399999999999999</v>
      </c>
      <c r="BZ162" s="1231">
        <f>BZ21/'Income Statement'!BZ8</f>
        <v>3.6412665338158304E-2</v>
      </c>
    </row>
    <row r="163" spans="3:78" ht="14.1" customHeight="1" x14ac:dyDescent="0.2">
      <c r="C163" s="577" t="str">
        <f>"Operating Lease Asset / Operating Lease Liability"</f>
        <v>Operating Lease Asset / Operating Lease Liability</v>
      </c>
      <c r="D163" s="160"/>
      <c r="E163" s="160" t="str">
        <f>IFERROR((E21/(E38+E30)), "NM")</f>
        <v>NM</v>
      </c>
      <c r="F163" s="160">
        <f t="shared" ref="F163:O163" si="191">IFERROR((F21/(F38+F30)), "NM")</f>
        <v>0.98699398626245738</v>
      </c>
      <c r="G163" s="160">
        <f t="shared" si="191"/>
        <v>0.98428979485847834</v>
      </c>
      <c r="H163" s="160">
        <f t="shared" si="191"/>
        <v>0.98005892301816799</v>
      </c>
      <c r="I163" s="160">
        <f t="shared" si="191"/>
        <v>0.9752967467167587</v>
      </c>
      <c r="J163" s="160">
        <f t="shared" si="191"/>
        <v>0.97148561189340432</v>
      </c>
      <c r="K163" s="1253">
        <f t="shared" si="191"/>
        <v>0.97253906507549293</v>
      </c>
      <c r="L163" s="160">
        <f t="shared" si="191"/>
        <v>1.0293513231256424</v>
      </c>
      <c r="M163" s="160">
        <f t="shared" si="191"/>
        <v>1.0293513231256424</v>
      </c>
      <c r="N163" s="160">
        <f t="shared" si="191"/>
        <v>1.0293513231256424</v>
      </c>
      <c r="O163" s="199">
        <f t="shared" si="191"/>
        <v>1.0293513231256424</v>
      </c>
      <c r="R163" s="594" t="str">
        <f>C163</f>
        <v>Operating Lease Asset / Operating Lease Liability</v>
      </c>
      <c r="X163" s="601"/>
      <c r="Y163" s="160"/>
      <c r="Z163" s="160"/>
      <c r="AA163" s="160"/>
      <c r="AB163" s="199"/>
      <c r="AC163" s="601">
        <f t="shared" ref="AC163:BF163" si="192">IFERROR((AC21/(AC38+AC30)), "NM")</f>
        <v>0.96068942658269796</v>
      </c>
      <c r="AD163" s="160">
        <f t="shared" si="192"/>
        <v>0.98468736707783922</v>
      </c>
      <c r="AE163" s="160">
        <f t="shared" si="192"/>
        <v>0.988498512245365</v>
      </c>
      <c r="AF163" s="160">
        <f t="shared" si="192"/>
        <v>0.98699398626245738</v>
      </c>
      <c r="AG163" s="199">
        <f t="shared" si="192"/>
        <v>0.98699398626245738</v>
      </c>
      <c r="AH163" s="601">
        <f t="shared" si="192"/>
        <v>0.98936041493575111</v>
      </c>
      <c r="AI163" s="160">
        <f t="shared" si="192"/>
        <v>0.98810888483459003</v>
      </c>
      <c r="AJ163" s="160">
        <f t="shared" si="192"/>
        <v>0.98583595552758529</v>
      </c>
      <c r="AK163" s="160">
        <f t="shared" si="192"/>
        <v>0.98428979485847834</v>
      </c>
      <c r="AL163" s="199">
        <f t="shared" si="192"/>
        <v>0.98428979485847834</v>
      </c>
      <c r="AM163" s="601">
        <f t="shared" si="192"/>
        <v>0.98271798209354277</v>
      </c>
      <c r="AN163" s="160">
        <f t="shared" si="192"/>
        <v>0.98141184751602273</v>
      </c>
      <c r="AO163" s="160">
        <f t="shared" si="192"/>
        <v>0.98050917105607238</v>
      </c>
      <c r="AP163" s="160">
        <f t="shared" si="192"/>
        <v>0.98005892301816799</v>
      </c>
      <c r="AQ163" s="199">
        <f t="shared" si="192"/>
        <v>0.98005892301816799</v>
      </c>
      <c r="AR163" s="601">
        <f t="shared" si="192"/>
        <v>0.97964187042083517</v>
      </c>
      <c r="AS163" s="160">
        <f t="shared" si="192"/>
        <v>0.97863053391160604</v>
      </c>
      <c r="AT163" s="160">
        <f t="shared" si="192"/>
        <v>0.97564873159127641</v>
      </c>
      <c r="AU163" s="160">
        <f t="shared" si="192"/>
        <v>0.9752967467167587</v>
      </c>
      <c r="AV163" s="199">
        <f t="shared" si="192"/>
        <v>0.9752967467167587</v>
      </c>
      <c r="AW163" s="601">
        <f t="shared" si="192"/>
        <v>0.97122913250073584</v>
      </c>
      <c r="AX163" s="160">
        <f t="shared" si="192"/>
        <v>0.96952563235849298</v>
      </c>
      <c r="AY163" s="160">
        <f t="shared" si="192"/>
        <v>0.97276576708599116</v>
      </c>
      <c r="AZ163" s="160">
        <f t="shared" si="192"/>
        <v>0.97148561189340432</v>
      </c>
      <c r="BA163" s="199">
        <f t="shared" si="192"/>
        <v>0.97148561189340432</v>
      </c>
      <c r="BB163" s="601">
        <f t="shared" si="192"/>
        <v>1.0385195163411272</v>
      </c>
      <c r="BC163" s="160">
        <f t="shared" si="192"/>
        <v>1.0315601172071036</v>
      </c>
      <c r="BD163" s="160">
        <f t="shared" si="192"/>
        <v>1.0282363309718314</v>
      </c>
      <c r="BE163" s="160">
        <f>BD163</f>
        <v>1.0282363309718314</v>
      </c>
      <c r="BF163" s="199">
        <f t="shared" si="192"/>
        <v>0.97253906507549293</v>
      </c>
      <c r="BG163" s="601">
        <f>AW163</f>
        <v>0.97122913250073584</v>
      </c>
      <c r="BH163" s="160">
        <f>AX163</f>
        <v>0.96952563235849298</v>
      </c>
      <c r="BI163" s="160">
        <f>AY163</f>
        <v>0.97276576708599116</v>
      </c>
      <c r="BJ163" s="160">
        <f>AZ163</f>
        <v>0.97148561189340432</v>
      </c>
      <c r="BK163" s="199">
        <f>BA163</f>
        <v>0.97148561189340432</v>
      </c>
      <c r="BL163" s="601">
        <f t="shared" si="188"/>
        <v>0.97122913250073584</v>
      </c>
      <c r="BM163" s="160">
        <f t="shared" si="188"/>
        <v>0.96952563235849298</v>
      </c>
      <c r="BN163" s="160">
        <f t="shared" si="188"/>
        <v>0.97276576708599116</v>
      </c>
      <c r="BO163" s="160">
        <f t="shared" si="188"/>
        <v>0.97148561189340432</v>
      </c>
      <c r="BP163" s="199">
        <f>BK163</f>
        <v>0.97148561189340432</v>
      </c>
      <c r="BQ163" s="601">
        <f t="shared" si="189"/>
        <v>0.97122913250073584</v>
      </c>
      <c r="BR163" s="160">
        <f t="shared" si="189"/>
        <v>0.96952563235849298</v>
      </c>
      <c r="BS163" s="160">
        <f t="shared" si="189"/>
        <v>0.97276576708599116</v>
      </c>
      <c r="BT163" s="160">
        <f t="shared" si="189"/>
        <v>0.97148561189340432</v>
      </c>
      <c r="BU163" s="199">
        <f>BP163</f>
        <v>0.97148561189340432</v>
      </c>
      <c r="BV163" s="601">
        <f t="shared" si="190"/>
        <v>0.97122913250073584</v>
      </c>
      <c r="BW163" s="160">
        <f t="shared" si="190"/>
        <v>0.96952563235849298</v>
      </c>
      <c r="BX163" s="160">
        <f t="shared" si="190"/>
        <v>0.97276576708599116</v>
      </c>
      <c r="BY163" s="160">
        <f t="shared" si="190"/>
        <v>0.97148561189340432</v>
      </c>
      <c r="BZ163" s="199">
        <f>BU163</f>
        <v>0.97148561189340432</v>
      </c>
    </row>
    <row r="164" spans="3:78" ht="14.1" customHeight="1" x14ac:dyDescent="0.2">
      <c r="C164" s="670" t="str">
        <f>"Current Portion of Lease Liability / Total Lease Liability"</f>
        <v>Current Portion of Lease Liability / Total Lease Liability</v>
      </c>
      <c r="D164" s="581"/>
      <c r="E164" s="730" t="str">
        <f>IFERROR(E30/(E30+E38),"NM")</f>
        <v>NM</v>
      </c>
      <c r="F164" s="730">
        <f>IFERROR(F30/(F30+F38),"NM")</f>
        <v>0.1806971375369327</v>
      </c>
      <c r="G164" s="730">
        <f t="shared" ref="G164:O164" si="193">IFERROR(G30/(G30+G38),"NM")</f>
        <v>0.17492426209642517</v>
      </c>
      <c r="H164" s="730">
        <f t="shared" si="193"/>
        <v>0.19609180351719499</v>
      </c>
      <c r="I164" s="730">
        <f t="shared" si="193"/>
        <v>0.20181205771379529</v>
      </c>
      <c r="J164" s="730">
        <f t="shared" si="193"/>
        <v>0.21074464690432748</v>
      </c>
      <c r="K164" s="1254">
        <f t="shared" si="193"/>
        <v>0.21761126741466388</v>
      </c>
      <c r="L164" s="730">
        <f t="shared" si="193"/>
        <v>0.21761126741466388</v>
      </c>
      <c r="M164" s="730">
        <f t="shared" si="193"/>
        <v>0.21761126741466388</v>
      </c>
      <c r="N164" s="730">
        <f t="shared" si="193"/>
        <v>0.21761126741466386</v>
      </c>
      <c r="O164" s="732">
        <f t="shared" si="193"/>
        <v>0.21761126741466388</v>
      </c>
      <c r="R164" s="670" t="str">
        <f>"Current Portion of Lease Liability / Total Lease Liability"</f>
        <v>Current Portion of Lease Liability / Total Lease Liability</v>
      </c>
      <c r="S164" s="581"/>
      <c r="T164" s="581"/>
      <c r="U164" s="581"/>
      <c r="V164" s="581"/>
      <c r="W164" s="581"/>
      <c r="X164" s="1259"/>
      <c r="Y164" s="1256"/>
      <c r="Z164" s="1256"/>
      <c r="AA164" s="1256"/>
      <c r="AB164" s="732"/>
      <c r="AC164" s="1259">
        <f t="shared" ref="AC164:BC164" si="194">AC30/(AC30+AC38)</f>
        <v>0.23056015909844219</v>
      </c>
      <c r="AD164" s="1256">
        <f t="shared" si="194"/>
        <v>0.23217299433322813</v>
      </c>
      <c r="AE164" s="1256">
        <f t="shared" si="194"/>
        <v>0.17456321049820703</v>
      </c>
      <c r="AF164" s="1256">
        <f t="shared" si="194"/>
        <v>0.1806971375369327</v>
      </c>
      <c r="AG164" s="732">
        <f t="shared" si="194"/>
        <v>0.1806971375369327</v>
      </c>
      <c r="AH164" s="1259">
        <f t="shared" si="194"/>
        <v>0.15075299868517636</v>
      </c>
      <c r="AI164" s="1256">
        <f t="shared" si="194"/>
        <v>0.15270355361092725</v>
      </c>
      <c r="AJ164" s="1256">
        <f t="shared" si="194"/>
        <v>0.16531151667715543</v>
      </c>
      <c r="AK164" s="1256">
        <f t="shared" si="194"/>
        <v>0.17492426209642517</v>
      </c>
      <c r="AL164" s="732">
        <f t="shared" si="194"/>
        <v>0.17492426209642517</v>
      </c>
      <c r="AM164" s="1259">
        <f t="shared" si="194"/>
        <v>0.17885349422173752</v>
      </c>
      <c r="AN164" s="1256">
        <f t="shared" si="194"/>
        <v>0.18304745674804579</v>
      </c>
      <c r="AO164" s="1256">
        <f t="shared" si="194"/>
        <v>0.18768911800963803</v>
      </c>
      <c r="AP164" s="1256">
        <f t="shared" si="194"/>
        <v>0.19609180351719499</v>
      </c>
      <c r="AQ164" s="732">
        <f t="shared" si="194"/>
        <v>0.19609180351719499</v>
      </c>
      <c r="AR164" s="1259">
        <f t="shared" si="194"/>
        <v>0.20734363655222487</v>
      </c>
      <c r="AS164" s="1256">
        <f t="shared" si="194"/>
        <v>0.20575424649646629</v>
      </c>
      <c r="AT164" s="1256">
        <f t="shared" si="194"/>
        <v>0.20655904410830048</v>
      </c>
      <c r="AU164" s="1256">
        <f t="shared" si="194"/>
        <v>0.20181205771379529</v>
      </c>
      <c r="AV164" s="732">
        <f t="shared" si="194"/>
        <v>0.20181205771379529</v>
      </c>
      <c r="AW164" s="1259">
        <f t="shared" si="194"/>
        <v>0.21240486102350617</v>
      </c>
      <c r="AX164" s="1256">
        <f t="shared" si="194"/>
        <v>0.2229431338290942</v>
      </c>
      <c r="AY164" s="1256">
        <f t="shared" si="194"/>
        <v>0.20674415555367021</v>
      </c>
      <c r="AZ164" s="1256">
        <f t="shared" si="194"/>
        <v>0.21074464690432748</v>
      </c>
      <c r="BA164" s="732">
        <f t="shared" si="194"/>
        <v>0.21074464690432748</v>
      </c>
      <c r="BB164" s="1259">
        <f t="shared" si="194"/>
        <v>0.21269123448474936</v>
      </c>
      <c r="BC164" s="1256">
        <f t="shared" si="194"/>
        <v>0.21095659775622866</v>
      </c>
      <c r="BD164" s="1256">
        <f>BD30/(BD30+BD38)</f>
        <v>0.21761126741466388</v>
      </c>
      <c r="BE164" s="1262">
        <f>BD164</f>
        <v>0.21761126741466388</v>
      </c>
      <c r="BF164" s="1247">
        <f>BF30/(BF30+BF38)</f>
        <v>0.21761126741466388</v>
      </c>
      <c r="BG164" s="1263">
        <f>BE164</f>
        <v>0.21761126741466388</v>
      </c>
      <c r="BH164" s="1262">
        <f>BG164</f>
        <v>0.21761126741466388</v>
      </c>
      <c r="BI164" s="1262">
        <f>BH164</f>
        <v>0.21761126741466388</v>
      </c>
      <c r="BJ164" s="1262">
        <f>BI164</f>
        <v>0.21761126741466388</v>
      </c>
      <c r="BK164" s="1247">
        <f>IFERROR(BK30/(BK30+BK38),"NM")</f>
        <v>0.21761126741466388</v>
      </c>
      <c r="BL164" s="1263">
        <f>BJ164</f>
        <v>0.21761126741466388</v>
      </c>
      <c r="BM164" s="1262">
        <f t="shared" ref="BM164:BY164" si="195">BL164</f>
        <v>0.21761126741466388</v>
      </c>
      <c r="BN164" s="1262">
        <f t="shared" si="195"/>
        <v>0.21761126741466388</v>
      </c>
      <c r="BO164" s="1262">
        <f t="shared" si="195"/>
        <v>0.21761126741466388</v>
      </c>
      <c r="BP164" s="1247">
        <f>IFERROR(BP30/(BP30+BP38),"NM")</f>
        <v>0.21761126741466388</v>
      </c>
      <c r="BQ164" s="1263">
        <f>BO164</f>
        <v>0.21761126741466388</v>
      </c>
      <c r="BR164" s="1262">
        <f>BQ164</f>
        <v>0.21761126741466388</v>
      </c>
      <c r="BS164" s="1262">
        <f t="shared" si="195"/>
        <v>0.21761126741466388</v>
      </c>
      <c r="BT164" s="1262">
        <f t="shared" si="195"/>
        <v>0.21761126741466388</v>
      </c>
      <c r="BU164" s="1247">
        <f>IFERROR(BU30/(BU30+BU38),"NM")</f>
        <v>0.21761126741466386</v>
      </c>
      <c r="BV164" s="1263">
        <f>BT164</f>
        <v>0.21761126741466388</v>
      </c>
      <c r="BW164" s="1262">
        <f>BV164</f>
        <v>0.21761126741466388</v>
      </c>
      <c r="BX164" s="1262">
        <f t="shared" si="195"/>
        <v>0.21761126741466388</v>
      </c>
      <c r="BY164" s="1262">
        <f t="shared" si="195"/>
        <v>0.21761126741466388</v>
      </c>
      <c r="BZ164" s="1247">
        <f>IFERROR(BZ30/(BZ30+BZ38),"NM")</f>
        <v>0.21761126741466388</v>
      </c>
    </row>
    <row r="165" spans="3:78" ht="14.1" customHeight="1" x14ac:dyDescent="0.2">
      <c r="C165" s="112" t="s">
        <v>563</v>
      </c>
      <c r="BE165" s="955">
        <f>BE163*BE166</f>
        <v>116.82140554382917</v>
      </c>
    </row>
    <row r="166" spans="3:78" ht="14.1" customHeight="1" x14ac:dyDescent="0.2">
      <c r="BD166" s="116">
        <f>BD21</f>
        <v>121.336</v>
      </c>
      <c r="BE166" s="116">
        <f>BE21</f>
        <v>113.61338052840063</v>
      </c>
      <c r="BF166" s="116">
        <f>BF21</f>
        <v>113.61338052840063</v>
      </c>
      <c r="BG166" s="116">
        <f>BG21</f>
        <v>142.66776826519603</v>
      </c>
      <c r="BH166" s="116">
        <f t="shared" ref="BH166:BZ166" si="196">BH21</f>
        <v>142.38927203026091</v>
      </c>
      <c r="BI166" s="116">
        <f t="shared" si="196"/>
        <v>132.63765450762224</v>
      </c>
      <c r="BJ166" s="116">
        <f t="shared" si="196"/>
        <v>128.26531498603021</v>
      </c>
      <c r="BK166" s="116">
        <f t="shared" si="196"/>
        <v>128.26531498603021</v>
      </c>
      <c r="BL166" s="116">
        <f t="shared" si="196"/>
        <v>161.70661359221987</v>
      </c>
      <c r="BM166" s="116">
        <f t="shared" si="196"/>
        <v>162.14253989684278</v>
      </c>
      <c r="BN166" s="116">
        <f t="shared" si="196"/>
        <v>152.0386597315634</v>
      </c>
      <c r="BO166" s="116">
        <f t="shared" si="196"/>
        <v>150.65002600650067</v>
      </c>
      <c r="BP166" s="116">
        <f t="shared" si="196"/>
        <v>150.65002600650067</v>
      </c>
      <c r="BQ166" s="116">
        <f t="shared" si="196"/>
        <v>175.46599001699374</v>
      </c>
      <c r="BR166" s="116">
        <f t="shared" si="196"/>
        <v>176.60903026332184</v>
      </c>
      <c r="BS166" s="116">
        <f t="shared" si="196"/>
        <v>166.41762779325339</v>
      </c>
      <c r="BT166" s="116">
        <f t="shared" si="196"/>
        <v>163.52685505740942</v>
      </c>
      <c r="BU166" s="116">
        <f t="shared" si="196"/>
        <v>163.52685505740942</v>
      </c>
      <c r="BV166" s="116">
        <f t="shared" si="196"/>
        <v>189.23701712510143</v>
      </c>
      <c r="BW166" s="116">
        <f t="shared" si="196"/>
        <v>191.75332525201375</v>
      </c>
      <c r="BX166" s="116">
        <f t="shared" si="196"/>
        <v>180.24077521064439</v>
      </c>
      <c r="BY166" s="116">
        <f t="shared" si="196"/>
        <v>175.07986384036033</v>
      </c>
      <c r="BZ166" s="116">
        <f t="shared" si="196"/>
        <v>175.07986384036033</v>
      </c>
    </row>
    <row r="167" spans="3:78" ht="14.1" customHeight="1" x14ac:dyDescent="0.2">
      <c r="C167" s="563" t="s">
        <v>575</v>
      </c>
      <c r="D167" s="451"/>
      <c r="E167" s="451"/>
      <c r="F167" s="451"/>
      <c r="G167" s="194">
        <f>G142</f>
        <v>44196</v>
      </c>
      <c r="H167" s="194">
        <f t="shared" ref="H167:O167" si="197">H142</f>
        <v>44561</v>
      </c>
      <c r="I167" s="194">
        <f t="shared" si="197"/>
        <v>44926</v>
      </c>
      <c r="J167" s="194">
        <f t="shared" si="197"/>
        <v>45291</v>
      </c>
      <c r="K167" s="195">
        <f t="shared" si="197"/>
        <v>45657</v>
      </c>
      <c r="L167" s="196">
        <f t="shared" si="197"/>
        <v>46022</v>
      </c>
      <c r="M167" s="196">
        <f t="shared" si="197"/>
        <v>46387</v>
      </c>
      <c r="N167" s="196">
        <f t="shared" si="197"/>
        <v>46752</v>
      </c>
      <c r="O167" s="197">
        <f t="shared" si="197"/>
        <v>47118</v>
      </c>
      <c r="BD167" s="116">
        <f>BD30+BD38</f>
        <v>118.004</v>
      </c>
      <c r="BE167" s="116">
        <f>BE30+BE38</f>
        <v>116.82140554382917</v>
      </c>
      <c r="BF167" s="116">
        <f>BF30+BF38</f>
        <v>116.82140554382917</v>
      </c>
      <c r="BG167" s="116">
        <f>BG30+BG38</f>
        <v>138.56309280802236</v>
      </c>
      <c r="BH167" s="116">
        <f t="shared" ref="BH167:BZ167" si="198">BH30+BH38</f>
        <v>138.05004900620418</v>
      </c>
      <c r="BI167" s="116">
        <f t="shared" si="198"/>
        <v>129.02536973159383</v>
      </c>
      <c r="BJ167" s="116">
        <f t="shared" si="198"/>
        <v>124.6079080139038</v>
      </c>
      <c r="BK167" s="116">
        <f t="shared" si="198"/>
        <v>124.6079080139038</v>
      </c>
      <c r="BL167" s="116">
        <f t="shared" si="198"/>
        <v>157.05417403880341</v>
      </c>
      <c r="BM167" s="116">
        <f t="shared" si="198"/>
        <v>157.20134852569868</v>
      </c>
      <c r="BN167" s="116">
        <f t="shared" si="198"/>
        <v>147.89800346050026</v>
      </c>
      <c r="BO167" s="116">
        <f t="shared" si="198"/>
        <v>146.35433269668258</v>
      </c>
      <c r="BP167" s="116">
        <f t="shared" si="198"/>
        <v>146.35433269668258</v>
      </c>
      <c r="BQ167" s="116">
        <f t="shared" si="198"/>
        <v>170.4176812675876</v>
      </c>
      <c r="BR167" s="116">
        <f t="shared" si="198"/>
        <v>171.22698174626734</v>
      </c>
      <c r="BS167" s="116">
        <f t="shared" si="198"/>
        <v>161.88537135693508</v>
      </c>
      <c r="BT167" s="116">
        <f t="shared" si="198"/>
        <v>158.86398684645144</v>
      </c>
      <c r="BU167" s="116">
        <f t="shared" si="198"/>
        <v>158.86398684645144</v>
      </c>
      <c r="BV167" s="116">
        <f t="shared" si="198"/>
        <v>183.79250397943912</v>
      </c>
      <c r="BW167" s="116">
        <f t="shared" si="198"/>
        <v>185.90976392180241</v>
      </c>
      <c r="BX167" s="116">
        <f t="shared" si="198"/>
        <v>175.33205595795619</v>
      </c>
      <c r="BY167" s="116">
        <f t="shared" si="198"/>
        <v>170.08756865316636</v>
      </c>
      <c r="BZ167" s="116">
        <f t="shared" si="198"/>
        <v>170.08756865316636</v>
      </c>
    </row>
    <row r="168" spans="3:78" ht="14.1" customHeight="1" x14ac:dyDescent="0.2">
      <c r="C168" s="565" t="str">
        <f>"Reversed Model Case "&amp; C79</f>
        <v>Reversed Model Case Common Shares Issued</v>
      </c>
      <c r="G168" s="177"/>
      <c r="H168" s="177"/>
      <c r="I168" s="177"/>
      <c r="J168" s="177"/>
      <c r="K168" s="1264">
        <v>2.3223160275419501E-3</v>
      </c>
      <c r="L168" s="1264">
        <v>7.0717366682817298E-3</v>
      </c>
      <c r="M168" s="1264">
        <v>6.9327208017757203E-3</v>
      </c>
      <c r="N168" s="1264"/>
      <c r="O168" s="1265">
        <v>6.8773318200844903E-3</v>
      </c>
      <c r="R168" s="168"/>
      <c r="BD168" s="165">
        <f>BD166/BD167</f>
        <v>1.0282363309718314</v>
      </c>
      <c r="BE168" s="165">
        <f>BE166/BE165</f>
        <v>0.97253906507549293</v>
      </c>
      <c r="BF168" s="165">
        <f t="shared" ref="BF168:BK168" si="199">BF166/BF167</f>
        <v>0.97253906507549293</v>
      </c>
      <c r="BG168" s="165">
        <f t="shared" si="199"/>
        <v>1.0296231512590488</v>
      </c>
      <c r="BH168" s="165">
        <f t="shared" si="199"/>
        <v>1.031432245444996</v>
      </c>
      <c r="BI168" s="165">
        <f t="shared" si="199"/>
        <v>1.0279967016063811</v>
      </c>
      <c r="BJ168" s="165">
        <f t="shared" si="199"/>
        <v>1.0293513231256424</v>
      </c>
      <c r="BK168" s="165">
        <f t="shared" si="199"/>
        <v>1.0293513231256424</v>
      </c>
    </row>
    <row r="169" spans="3:78" ht="14.1" customHeight="1" x14ac:dyDescent="0.2">
      <c r="C169" s="565" t="str">
        <f>"Base Case "&amp;C79</f>
        <v>Base Case Common Shares Issued</v>
      </c>
      <c r="G169" s="177"/>
      <c r="H169" s="177"/>
      <c r="I169" s="177"/>
      <c r="J169" s="177"/>
      <c r="K169" s="1264">
        <f>-0.0012933274265328+0.00202011921951303</f>
        <v>7.2679179298023016E-4</v>
      </c>
      <c r="L169" s="1264">
        <v>6.9019208036491899E-4</v>
      </c>
      <c r="M169" s="1264">
        <v>6.4754691636725904E-3</v>
      </c>
      <c r="N169" s="1264">
        <v>6.1702913508909999E-3</v>
      </c>
      <c r="O169" s="1265">
        <v>6.0839932482967601E-3</v>
      </c>
      <c r="R169" s="168"/>
    </row>
    <row r="170" spans="3:78" ht="14.1" customHeight="1" x14ac:dyDescent="0.2">
      <c r="C170" s="565" t="str">
        <f>"Bull Case "&amp;C79</f>
        <v>Bull Case Common Shares Issued</v>
      </c>
      <c r="G170" s="177"/>
      <c r="H170" s="177"/>
      <c r="I170" s="177"/>
      <c r="J170" s="177"/>
      <c r="K170" s="1264">
        <v>1.31721076261915E-3</v>
      </c>
      <c r="L170" s="1264"/>
      <c r="M170" s="1264"/>
      <c r="N170" s="1264"/>
      <c r="O170" s="1265"/>
      <c r="R170" s="168"/>
    </row>
    <row r="171" spans="3:78" ht="14.1" customHeight="1" x14ac:dyDescent="0.2">
      <c r="C171" s="1113" t="str">
        <f>"Bear Case "&amp;C79</f>
        <v>Bear Case Common Shares Issued</v>
      </c>
      <c r="D171" s="581"/>
      <c r="E171" s="581"/>
      <c r="F171" s="581"/>
      <c r="G171" s="1114"/>
      <c r="H171" s="1114"/>
      <c r="I171" s="1114"/>
      <c r="J171" s="1114"/>
      <c r="K171" s="1266"/>
      <c r="L171" s="1266">
        <v>3.2310337367334099E-3</v>
      </c>
      <c r="M171" s="1266">
        <v>4.5918171344615601E-2</v>
      </c>
      <c r="N171" s="1266"/>
      <c r="O171" s="1267"/>
    </row>
    <row r="172" spans="3:78" ht="14.1" customHeight="1" x14ac:dyDescent="0.2">
      <c r="C172" s="563" t="s">
        <v>575</v>
      </c>
      <c r="D172" s="451"/>
      <c r="E172" s="451"/>
      <c r="F172" s="451"/>
      <c r="G172" s="194">
        <f>G167</f>
        <v>44196</v>
      </c>
      <c r="H172" s="194">
        <f t="shared" ref="H172:O172" si="200">H167</f>
        <v>44561</v>
      </c>
      <c r="I172" s="194">
        <f t="shared" si="200"/>
        <v>44926</v>
      </c>
      <c r="J172" s="194">
        <f t="shared" si="200"/>
        <v>45291</v>
      </c>
      <c r="K172" s="195">
        <f t="shared" si="200"/>
        <v>45657</v>
      </c>
      <c r="L172" s="196">
        <f t="shared" si="200"/>
        <v>46022</v>
      </c>
      <c r="M172" s="196">
        <f t="shared" si="200"/>
        <v>46387</v>
      </c>
      <c r="N172" s="196">
        <f t="shared" si="200"/>
        <v>46752</v>
      </c>
      <c r="O172" s="197">
        <f t="shared" si="200"/>
        <v>47118</v>
      </c>
    </row>
    <row r="173" spans="3:78" ht="14.1" customHeight="1" x14ac:dyDescent="0.2">
      <c r="C173" s="565" t="str">
        <f>"Reversed Model Case "&amp; $C$84</f>
        <v>Reversed Model Case Common Shares Repurchased</v>
      </c>
      <c r="G173" s="177"/>
      <c r="H173" s="177"/>
      <c r="I173" s="177"/>
      <c r="J173" s="177"/>
      <c r="K173" s="1264"/>
      <c r="L173" s="1264"/>
      <c r="M173" s="1264">
        <f>-0.00691086054998286-0.10971983891461</f>
        <v>-0.11663069946459285</v>
      </c>
      <c r="N173" s="1264">
        <f>-0.00668353598963209-0.390910999128455-0.00669084964274462</f>
        <v>-0.40428538476083176</v>
      </c>
      <c r="O173" s="1265">
        <f>-0.00688232389054136-0.944298398173745</f>
        <v>-0.95118072206428628</v>
      </c>
    </row>
    <row r="174" spans="3:78" ht="14.1" customHeight="1" x14ac:dyDescent="0.2">
      <c r="C174" s="565" t="str">
        <f>"Base Case "&amp;C84</f>
        <v>Base Case Common Shares Repurchased</v>
      </c>
      <c r="G174" s="177"/>
      <c r="H174" s="177"/>
      <c r="I174" s="177"/>
      <c r="J174" s="177"/>
      <c r="K174" s="1264"/>
      <c r="L174" s="1264">
        <v>-9.9086197835980494E-2</v>
      </c>
      <c r="M174" s="1264">
        <v>-8.2312738178982797E-2</v>
      </c>
      <c r="N174" s="1264">
        <v>-0.59640475151543004</v>
      </c>
      <c r="O174" s="1265">
        <v>-0.83084573149359897</v>
      </c>
    </row>
    <row r="175" spans="3:78" ht="14.1" customHeight="1" x14ac:dyDescent="0.2">
      <c r="C175" s="565" t="str">
        <f>"Bull Case "&amp;C84</f>
        <v>Bull Case Common Shares Repurchased</v>
      </c>
      <c r="G175" s="177"/>
      <c r="H175" s="177"/>
      <c r="I175" s="177"/>
      <c r="J175" s="177"/>
      <c r="K175" s="1264"/>
      <c r="L175" s="1264">
        <v>-2.6500613605952199E-5</v>
      </c>
      <c r="M175" s="1264">
        <v>-9.7294665860312504E-2</v>
      </c>
      <c r="N175" s="1264">
        <v>-0.58031032620726597</v>
      </c>
      <c r="O175" s="1265">
        <v>-0.79206406420912501</v>
      </c>
    </row>
    <row r="176" spans="3:78" ht="14.1" customHeight="1" x14ac:dyDescent="0.2">
      <c r="C176" s="1113" t="str">
        <f>"Bear Case "&amp;C84</f>
        <v>Bear Case Common Shares Repurchased</v>
      </c>
      <c r="D176" s="581"/>
      <c r="E176" s="581"/>
      <c r="F176" s="581"/>
      <c r="G176" s="1114"/>
      <c r="H176" s="1114"/>
      <c r="I176" s="1114"/>
      <c r="J176" s="1114"/>
      <c r="K176" s="1266">
        <v>-4.46050769583846E-4</v>
      </c>
      <c r="L176" s="1266"/>
      <c r="M176" s="1266"/>
      <c r="N176" s="1266">
        <v>-0.60174192434742901</v>
      </c>
      <c r="O176" s="1267">
        <v>-0.87004208235639002</v>
      </c>
    </row>
    <row r="177" spans="3:78" ht="14.1" customHeight="1" x14ac:dyDescent="0.2">
      <c r="C177" s="1115" t="s">
        <v>574</v>
      </c>
      <c r="D177" s="451"/>
      <c r="E177" s="451"/>
      <c r="F177" s="451"/>
      <c r="G177" s="194">
        <f>G172</f>
        <v>44196</v>
      </c>
      <c r="H177" s="194">
        <f t="shared" ref="H177:O177" si="201">H172</f>
        <v>44561</v>
      </c>
      <c r="I177" s="194">
        <f t="shared" si="201"/>
        <v>44926</v>
      </c>
      <c r="J177" s="194">
        <f t="shared" si="201"/>
        <v>45291</v>
      </c>
      <c r="K177" s="195">
        <f t="shared" si="201"/>
        <v>45657</v>
      </c>
      <c r="L177" s="196">
        <f t="shared" si="201"/>
        <v>46022</v>
      </c>
      <c r="M177" s="196">
        <f t="shared" si="201"/>
        <v>46387</v>
      </c>
      <c r="N177" s="196">
        <f t="shared" si="201"/>
        <v>46752</v>
      </c>
      <c r="O177" s="197">
        <f t="shared" si="201"/>
        <v>47118</v>
      </c>
    </row>
    <row r="178" spans="3:78" ht="14.1" customHeight="1" x14ac:dyDescent="0.2">
      <c r="C178" s="565" t="str">
        <f>"Reversed Model Case "&amp; C177</f>
        <v>Reversed Model Case Debt Issued (Retired)</v>
      </c>
      <c r="K178" s="1225"/>
      <c r="L178" s="1216"/>
      <c r="M178" s="1216"/>
      <c r="N178" s="1216"/>
      <c r="O178" s="1214"/>
    </row>
    <row r="179" spans="3:78" ht="14.1" customHeight="1" x14ac:dyDescent="0.2">
      <c r="C179" s="565" t="str">
        <f>"Base Case "&amp;C177</f>
        <v>Base Case Debt Issued (Retired)</v>
      </c>
      <c r="K179" s="1216"/>
      <c r="L179" s="1216"/>
      <c r="M179" s="1216"/>
      <c r="N179" s="1216"/>
      <c r="O179" s="1214"/>
    </row>
    <row r="180" spans="3:78" ht="14.1" customHeight="1" x14ac:dyDescent="0.2">
      <c r="C180" s="565" t="str">
        <f>"Bull Case "&amp;C177</f>
        <v>Bull Case Debt Issued (Retired)</v>
      </c>
      <c r="K180" s="1216"/>
      <c r="L180" s="1216"/>
      <c r="M180" s="1216"/>
      <c r="N180" s="1216"/>
      <c r="O180" s="1214"/>
    </row>
    <row r="181" spans="3:78" ht="14.1" customHeight="1" x14ac:dyDescent="0.2">
      <c r="C181" s="1113" t="str">
        <f>"Bear Case "&amp;C177</f>
        <v>Bear Case Debt Issued (Retired)</v>
      </c>
      <c r="D181" s="581"/>
      <c r="E181" s="581"/>
      <c r="F181" s="581"/>
      <c r="G181" s="581"/>
      <c r="H181" s="581"/>
      <c r="I181" s="581"/>
      <c r="J181" s="581"/>
      <c r="K181" s="1268"/>
      <c r="L181" s="1268"/>
      <c r="M181" s="1268"/>
      <c r="N181" s="1268"/>
      <c r="O181" s="1269"/>
    </row>
    <row r="182" spans="3:78" ht="14.1" customHeight="1" x14ac:dyDescent="0.2">
      <c r="R182" s="1116"/>
      <c r="S182" s="1413"/>
      <c r="T182" s="1413"/>
      <c r="U182" s="1413"/>
      <c r="V182" s="1413"/>
      <c r="W182" s="1413"/>
      <c r="X182" s="1413"/>
      <c r="Y182" s="1413"/>
      <c r="Z182" s="1413"/>
      <c r="AA182" s="1413"/>
      <c r="AB182" s="1413"/>
      <c r="AC182" s="1413"/>
      <c r="AD182" s="1413"/>
      <c r="AE182" s="1413"/>
      <c r="AF182" s="1413"/>
      <c r="AG182" s="1413"/>
      <c r="AH182" s="1413"/>
      <c r="AI182" s="1413"/>
      <c r="AJ182" s="1413"/>
      <c r="AK182" s="1413"/>
      <c r="AL182" s="1413"/>
      <c r="AM182" s="1413"/>
      <c r="AN182" s="1413"/>
      <c r="AO182" s="1413"/>
      <c r="AP182" s="1413"/>
      <c r="AQ182" s="1413"/>
      <c r="AR182" s="1413"/>
      <c r="AS182" s="1413"/>
      <c r="AT182" s="1413"/>
      <c r="AU182" s="1413"/>
      <c r="AV182" s="1413"/>
      <c r="AW182" s="1413">
        <f>AW142</f>
        <v>45291</v>
      </c>
      <c r="AX182" s="1413"/>
      <c r="AY182" s="1413"/>
      <c r="AZ182" s="1413"/>
      <c r="BA182" s="1413"/>
      <c r="BB182" s="1414">
        <f>BB142</f>
        <v>45657</v>
      </c>
      <c r="BC182" s="1414"/>
      <c r="BD182" s="1414"/>
      <c r="BE182" s="1414"/>
      <c r="BF182" s="1414"/>
      <c r="BG182" s="1411">
        <f>BG142</f>
        <v>46022</v>
      </c>
      <c r="BH182" s="1411"/>
      <c r="BI182" s="1411"/>
      <c r="BJ182" s="1411"/>
      <c r="BK182" s="1411"/>
      <c r="BL182" s="1411">
        <f>BL142</f>
        <v>46387</v>
      </c>
      <c r="BM182" s="1411"/>
      <c r="BN182" s="1411"/>
      <c r="BO182" s="1411"/>
      <c r="BP182" s="1411"/>
      <c r="BQ182" s="1411">
        <f>BQ142</f>
        <v>46752</v>
      </c>
      <c r="BR182" s="1411"/>
      <c r="BS182" s="1411"/>
      <c r="BT182" s="1411"/>
      <c r="BU182" s="1411"/>
      <c r="BV182" s="1411">
        <f>BV142</f>
        <v>47118</v>
      </c>
      <c r="BW182" s="1411"/>
      <c r="BX182" s="1411"/>
      <c r="BY182" s="1411"/>
      <c r="BZ182" s="1412"/>
    </row>
    <row r="183" spans="3:78" ht="14.1" customHeight="1" x14ac:dyDescent="0.2">
      <c r="C183" s="625"/>
      <c r="D183" s="451"/>
      <c r="E183" s="451"/>
      <c r="F183" s="451"/>
      <c r="G183" s="194">
        <f>G177</f>
        <v>44196</v>
      </c>
      <c r="H183" s="194">
        <f t="shared" ref="H183:O183" si="202">H177</f>
        <v>44561</v>
      </c>
      <c r="I183" s="194">
        <f t="shared" si="202"/>
        <v>44926</v>
      </c>
      <c r="J183" s="194">
        <f t="shared" si="202"/>
        <v>45291</v>
      </c>
      <c r="K183" s="195">
        <f t="shared" si="202"/>
        <v>45657</v>
      </c>
      <c r="L183" s="196">
        <f t="shared" si="202"/>
        <v>46022</v>
      </c>
      <c r="M183" s="196">
        <f t="shared" si="202"/>
        <v>46387</v>
      </c>
      <c r="N183" s="196">
        <f t="shared" si="202"/>
        <v>46752</v>
      </c>
      <c r="O183" s="197">
        <f t="shared" si="202"/>
        <v>47118</v>
      </c>
      <c r="R183" s="1117"/>
      <c r="S183" s="96"/>
      <c r="T183" s="140"/>
      <c r="U183" s="140"/>
      <c r="V183" s="140"/>
      <c r="W183" s="140"/>
      <c r="X183" s="140"/>
      <c r="Y183" s="140"/>
      <c r="Z183" s="140"/>
      <c r="AA183" s="140"/>
      <c r="AB183" s="140"/>
      <c r="AC183" s="140"/>
      <c r="AD183" s="140"/>
      <c r="AE183" s="140"/>
      <c r="AF183" s="140"/>
      <c r="AG183" s="140"/>
      <c r="AH183" s="140"/>
      <c r="AI183" s="140"/>
      <c r="AJ183" s="140"/>
      <c r="AK183" s="140"/>
      <c r="AL183" s="140"/>
      <c r="AM183" s="140"/>
      <c r="AN183" s="140"/>
      <c r="AO183" s="140"/>
      <c r="AP183" s="140"/>
      <c r="AQ183" s="140"/>
      <c r="AR183" s="140"/>
      <c r="AS183" s="140"/>
      <c r="AT183" s="140"/>
      <c r="AU183" s="140"/>
      <c r="AV183" s="140"/>
      <c r="AW183" s="140" t="str">
        <f>AW143</f>
        <v>2023 Q1</v>
      </c>
      <c r="AX183" s="140" t="str">
        <f>AX143</f>
        <v>2023 Q2</v>
      </c>
      <c r="AY183" s="140" t="str">
        <f>AY143</f>
        <v>2023 Q3</v>
      </c>
      <c r="AZ183" s="140" t="str">
        <f>AZ143</f>
        <v>2023 Q4</v>
      </c>
      <c r="BA183" s="140" t="str">
        <f>BA143</f>
        <v>2023 FY</v>
      </c>
      <c r="BB183" s="140" t="str">
        <f>BB143</f>
        <v>2024 Q1</v>
      </c>
      <c r="BC183" s="140" t="str">
        <f>BC143</f>
        <v>2024 Q2</v>
      </c>
      <c r="BD183" s="140" t="str">
        <f>BD143</f>
        <v>2024 Q3</v>
      </c>
      <c r="BE183" s="141" t="str">
        <f>BE143</f>
        <v>2024 Q4</v>
      </c>
      <c r="BF183" s="141" t="str">
        <f>BF143</f>
        <v>2024 FY</v>
      </c>
      <c r="BG183" s="141" t="str">
        <f>BG143</f>
        <v>2025 Q1</v>
      </c>
      <c r="BH183" s="141" t="str">
        <f>BH143</f>
        <v>2025 Q2</v>
      </c>
      <c r="BI183" s="141" t="str">
        <f>BI143</f>
        <v>2025 Q3</v>
      </c>
      <c r="BJ183" s="141" t="str">
        <f>BJ143</f>
        <v>2025 Q4</v>
      </c>
      <c r="BK183" s="141" t="str">
        <f>BK143</f>
        <v>2025 FY</v>
      </c>
      <c r="BL183" s="141" t="str">
        <f>BL143</f>
        <v>2026 Q1</v>
      </c>
      <c r="BM183" s="141" t="str">
        <f>BM143</f>
        <v>2026 Q2</v>
      </c>
      <c r="BN183" s="141" t="str">
        <f>BN143</f>
        <v>2026 Q3</v>
      </c>
      <c r="BO183" s="141" t="str">
        <f>BO143</f>
        <v>2026 Q4</v>
      </c>
      <c r="BP183" s="141" t="str">
        <f>BP143</f>
        <v>2026 FY</v>
      </c>
      <c r="BQ183" s="141" t="str">
        <f>BQ143</f>
        <v>2027 Q1</v>
      </c>
      <c r="BR183" s="141" t="str">
        <f>BR143</f>
        <v>2027 Q2</v>
      </c>
      <c r="BS183" s="141" t="str">
        <f>BS143</f>
        <v>2027 Q3</v>
      </c>
      <c r="BT183" s="141" t="str">
        <f>BT143</f>
        <v>2027 Q4</v>
      </c>
      <c r="BU183" s="141" t="str">
        <f>BU143</f>
        <v>2027 FY</v>
      </c>
      <c r="BV183" s="141" t="str">
        <f>BV143</f>
        <v>2028 Q1</v>
      </c>
      <c r="BW183" s="141" t="str">
        <f>BW143</f>
        <v>2028 Q2</v>
      </c>
      <c r="BX183" s="141" t="str">
        <f>BX143</f>
        <v>2028 Q3</v>
      </c>
      <c r="BY183" s="141" t="str">
        <f>BY143</f>
        <v>2028 Q4</v>
      </c>
      <c r="BZ183" s="1118" t="str">
        <f>BZ143</f>
        <v>2028 FY</v>
      </c>
    </row>
    <row r="184" spans="3:78" ht="14.1" customHeight="1" x14ac:dyDescent="0.2">
      <c r="C184" s="207" t="str">
        <f>R184</f>
        <v>Reversed Model Case Common Shares Issued</v>
      </c>
      <c r="K184" s="1216"/>
      <c r="L184" s="1216"/>
      <c r="M184" s="1216"/>
      <c r="N184" s="1216"/>
      <c r="O184" s="1214"/>
      <c r="R184" s="1119" t="str">
        <f>C168</f>
        <v>Reversed Model Case Common Shares Issued</v>
      </c>
      <c r="AW184" s="1121"/>
      <c r="BA184" s="1120"/>
      <c r="BB184" s="1121"/>
      <c r="BE184" s="1216">
        <v>3.7080000000000268</v>
      </c>
      <c r="BF184" s="1270"/>
      <c r="BG184" s="1271">
        <f>3.51756144399319/4</f>
        <v>0.87939036099829748</v>
      </c>
      <c r="BH184" s="1216">
        <f>3.51756144399319/4</f>
        <v>0.87939036099829748</v>
      </c>
      <c r="BI184" s="1216">
        <f>3.51756144399319/4</f>
        <v>0.87939036099829748</v>
      </c>
      <c r="BJ184" s="1216">
        <f>3.51756144399319/4+0.00108614053736508</f>
        <v>0.88047650153566259</v>
      </c>
      <c r="BK184" s="1270"/>
      <c r="BL184" s="1271">
        <f>3.79344615666658/4</f>
        <v>0.94836153916664501</v>
      </c>
      <c r="BM184" s="1216">
        <f>3.79344615666658/4</f>
        <v>0.94836153916664501</v>
      </c>
      <c r="BN184" s="1216">
        <f>3.79344615666658/4</f>
        <v>0.94836153916664501</v>
      </c>
      <c r="BO184" s="1216">
        <f>3.79344615666658/4</f>
        <v>0.94836153916664501</v>
      </c>
      <c r="BP184" s="1270"/>
      <c r="BQ184" s="1271">
        <f>4.0214699165936/4</f>
        <v>1.0053674791484</v>
      </c>
      <c r="BR184" s="1216">
        <f>4.0214699165936/4</f>
        <v>1.0053674791484</v>
      </c>
      <c r="BS184" s="1216">
        <f>4.0214699165936/4</f>
        <v>1.0053674791484</v>
      </c>
      <c r="BT184" s="1216">
        <f>4.0214699165936/4</f>
        <v>1.0053674791484</v>
      </c>
      <c r="BU184" s="1270"/>
      <c r="BV184" s="1271"/>
      <c r="BW184" s="1216"/>
      <c r="BX184" s="1216"/>
      <c r="BY184" s="1216"/>
      <c r="BZ184" s="1270"/>
    </row>
    <row r="185" spans="3:78" ht="14.1" customHeight="1" x14ac:dyDescent="0.2">
      <c r="C185" s="207" t="str">
        <f t="shared" ref="C185:C202" si="203">R185</f>
        <v>Base Case Common Shares Issued</v>
      </c>
      <c r="K185" s="1216"/>
      <c r="L185" s="1216"/>
      <c r="M185" s="1216"/>
      <c r="N185" s="1216"/>
      <c r="O185" s="1214"/>
      <c r="R185" s="1119" t="str">
        <f>C169</f>
        <v>Base Case Common Shares Issued</v>
      </c>
      <c r="AW185" s="1121"/>
      <c r="BA185" s="1120"/>
      <c r="BB185" s="1121"/>
      <c r="BE185" s="1216">
        <v>2.6597446295892202</v>
      </c>
      <c r="BF185" s="1270"/>
      <c r="BG185" s="1271"/>
      <c r="BH185" s="1216"/>
      <c r="BI185" s="1216"/>
      <c r="BJ185" s="1216">
        <v>0.391652908996802</v>
      </c>
      <c r="BK185" s="1270"/>
      <c r="BL185" s="1271">
        <f>4.04429967403731/4</f>
        <v>1.0110749185093275</v>
      </c>
      <c r="BM185" s="1216">
        <f>4.04429967403731/4</f>
        <v>1.0110749185093275</v>
      </c>
      <c r="BN185" s="1216">
        <f>4.04429967403731/4</f>
        <v>1.0110749185093275</v>
      </c>
      <c r="BO185" s="1216">
        <f>4.04429967403731/4</f>
        <v>1.0110749185093275</v>
      </c>
      <c r="BP185" s="1270"/>
      <c r="BQ185" s="1271">
        <f>4.23099984271221/4</f>
        <v>1.0577499606780525</v>
      </c>
      <c r="BR185" s="1216">
        <f>4.23099984271221/4</f>
        <v>1.0577499606780525</v>
      </c>
      <c r="BS185" s="1216">
        <f>4.23099984271221/4</f>
        <v>1.0577499606780525</v>
      </c>
      <c r="BT185" s="1216">
        <f>4.23099984271221/4</f>
        <v>1.0577499606780525</v>
      </c>
      <c r="BU185" s="1270"/>
      <c r="BV185" s="1271">
        <f>4.55175209719804/4</f>
        <v>1.1379380242995101</v>
      </c>
      <c r="BW185" s="1216">
        <f>4.55175209719804/4</f>
        <v>1.1379380242995101</v>
      </c>
      <c r="BX185" s="1216">
        <f>4.55175209719804/4</f>
        <v>1.1379380242995101</v>
      </c>
      <c r="BY185" s="1216">
        <f>4.55175209719804/4</f>
        <v>1.1379380242995101</v>
      </c>
      <c r="BZ185" s="1270"/>
    </row>
    <row r="186" spans="3:78" ht="14.1" customHeight="1" x14ac:dyDescent="0.2">
      <c r="C186" s="207" t="str">
        <f t="shared" si="203"/>
        <v>Bull Case Common Shares Issued</v>
      </c>
      <c r="K186" s="1216"/>
      <c r="L186" s="1216"/>
      <c r="M186" s="1216"/>
      <c r="N186" s="1216"/>
      <c r="O186" s="1214"/>
      <c r="R186" s="1119" t="str">
        <f>C170</f>
        <v>Bull Case Common Shares Issued</v>
      </c>
      <c r="AW186" s="1121"/>
      <c r="BA186" s="1120"/>
      <c r="BB186" s="1121"/>
      <c r="BE186" s="1216">
        <v>0.72441815022251999</v>
      </c>
      <c r="BF186" s="1270"/>
      <c r="BG186" s="1271"/>
      <c r="BH186" s="1216"/>
      <c r="BI186" s="1216"/>
      <c r="BJ186" s="1216"/>
      <c r="BK186" s="1270"/>
      <c r="BL186" s="1271"/>
      <c r="BM186" s="1216"/>
      <c r="BN186" s="1216"/>
      <c r="BO186" s="1216"/>
      <c r="BP186" s="1270"/>
      <c r="BQ186" s="1271"/>
      <c r="BR186" s="1216"/>
      <c r="BS186" s="1216"/>
      <c r="BT186" s="1216"/>
      <c r="BU186" s="1270"/>
      <c r="BV186" s="1271"/>
      <c r="BW186" s="1216"/>
      <c r="BX186" s="1216"/>
      <c r="BY186" s="1216"/>
      <c r="BZ186" s="1270"/>
    </row>
    <row r="187" spans="3:78" ht="14.1" customHeight="1" x14ac:dyDescent="0.2">
      <c r="C187" s="207" t="str">
        <f t="shared" si="203"/>
        <v>Bear Case Common Shares Issued</v>
      </c>
      <c r="K187" s="1216"/>
      <c r="L187" s="1216"/>
      <c r="M187" s="1216"/>
      <c r="N187" s="1216"/>
      <c r="O187" s="1214"/>
      <c r="R187" s="1119" t="str">
        <f>C171</f>
        <v>Bear Case Common Shares Issued</v>
      </c>
      <c r="AW187" s="1121"/>
      <c r="BA187" s="1120"/>
      <c r="BB187" s="1121"/>
      <c r="BE187" s="1216"/>
      <c r="BF187" s="1270"/>
      <c r="BG187" s="1271">
        <f>1.52839571402594/4</f>
        <v>0.38209892850648502</v>
      </c>
      <c r="BH187" s="1216">
        <f>1.52839571402594/4</f>
        <v>0.38209892850648502</v>
      </c>
      <c r="BI187" s="1216">
        <f>1.52839571402594/4</f>
        <v>0.38209892850648502</v>
      </c>
      <c r="BJ187" s="1216">
        <f>1.52839571402594/4</f>
        <v>0.38209892850648502</v>
      </c>
      <c r="BK187" s="1270"/>
      <c r="BL187" s="1271">
        <f>23.9094554775032/4</f>
        <v>5.9773638693758002</v>
      </c>
      <c r="BM187" s="1216">
        <f>23.9094554775032/4</f>
        <v>5.9773638693758002</v>
      </c>
      <c r="BN187" s="1216">
        <f>23.9094554775032/4</f>
        <v>5.9773638693758002</v>
      </c>
      <c r="BO187" s="1216">
        <f>23.9094554775032/4</f>
        <v>5.9773638693758002</v>
      </c>
      <c r="BP187" s="1270"/>
      <c r="BQ187" s="1271"/>
      <c r="BR187" s="1216"/>
      <c r="BS187" s="1216"/>
      <c r="BT187" s="1216"/>
      <c r="BU187" s="1270"/>
      <c r="BV187" s="1271"/>
      <c r="BW187" s="1216"/>
      <c r="BX187" s="1216"/>
      <c r="BY187" s="1216"/>
      <c r="BZ187" s="1270"/>
    </row>
    <row r="188" spans="3:78" ht="14.1" customHeight="1" x14ac:dyDescent="0.2">
      <c r="C188" s="207"/>
      <c r="K188" s="1216"/>
      <c r="L188" s="1216"/>
      <c r="M188" s="1216"/>
      <c r="N188" s="1216"/>
      <c r="O188" s="1214"/>
      <c r="R188" s="1119"/>
      <c r="AW188" s="1121"/>
      <c r="BA188" s="1120"/>
      <c r="BB188" s="1121"/>
      <c r="BE188" s="1216"/>
      <c r="BF188" s="1270"/>
      <c r="BG188" s="1271"/>
      <c r="BH188" s="1216"/>
      <c r="BI188" s="1216"/>
      <c r="BJ188" s="1216"/>
      <c r="BK188" s="1270"/>
      <c r="BL188" s="1271"/>
      <c r="BM188" s="1216"/>
      <c r="BN188" s="1216"/>
      <c r="BO188" s="1216"/>
      <c r="BP188" s="1270"/>
      <c r="BQ188" s="1271"/>
      <c r="BR188" s="1216"/>
      <c r="BS188" s="1216"/>
      <c r="BT188" s="1216"/>
      <c r="BU188" s="1270"/>
      <c r="BV188" s="1271"/>
      <c r="BW188" s="1216"/>
      <c r="BX188" s="1216"/>
      <c r="BY188" s="1216"/>
      <c r="BZ188" s="1270"/>
    </row>
    <row r="189" spans="3:78" ht="14.1" customHeight="1" x14ac:dyDescent="0.2">
      <c r="C189" s="207" t="str">
        <f t="shared" si="203"/>
        <v>Reversed Model Case Common Shares Repurchased</v>
      </c>
      <c r="K189" s="1216"/>
      <c r="L189" s="1216"/>
      <c r="M189" s="1216"/>
      <c r="N189" s="1216"/>
      <c r="O189" s="1214"/>
      <c r="R189" s="1119" t="str">
        <f>C173</f>
        <v>Reversed Model Case Common Shares Repurchased</v>
      </c>
      <c r="AW189" s="1121"/>
      <c r="BA189" s="1120"/>
      <c r="BB189" s="1121"/>
      <c r="BE189" s="1216">
        <v>-1.0569999999999995</v>
      </c>
      <c r="BF189" s="1270"/>
      <c r="BG189" s="1271"/>
      <c r="BH189" s="1216"/>
      <c r="BI189" s="1216"/>
      <c r="BJ189" s="1216"/>
      <c r="BK189" s="1270"/>
      <c r="BL189" s="1271"/>
      <c r="BM189" s="1216"/>
      <c r="BN189" s="1216"/>
      <c r="BO189" s="1216"/>
      <c r="BP189" s="1270"/>
      <c r="BQ189" s="1271"/>
      <c r="BR189" s="1216"/>
      <c r="BS189" s="1216"/>
      <c r="BT189" s="1216"/>
      <c r="BU189" s="1270"/>
      <c r="BV189" s="1271"/>
      <c r="BW189" s="1216"/>
      <c r="BX189" s="1216"/>
      <c r="BY189" s="1216"/>
      <c r="BZ189" s="1270"/>
    </row>
    <row r="190" spans="3:78" ht="14.1" customHeight="1" x14ac:dyDescent="0.2">
      <c r="C190" s="207" t="str">
        <f t="shared" si="203"/>
        <v>Base Case Common Shares Repurchased</v>
      </c>
      <c r="K190" s="1216"/>
      <c r="L190" s="1216"/>
      <c r="M190" s="1216"/>
      <c r="N190" s="1216"/>
      <c r="O190" s="1214"/>
      <c r="R190" s="1119" t="str">
        <f>C174</f>
        <v>Base Case Common Shares Repurchased</v>
      </c>
      <c r="AW190" s="1121"/>
      <c r="BA190" s="1120"/>
      <c r="BB190" s="1121"/>
      <c r="BE190" s="1216">
        <f>-0.67266822928746</f>
        <v>-0.67266822928745995</v>
      </c>
      <c r="BF190" s="1270"/>
      <c r="BG190" s="1271"/>
      <c r="BH190" s="1216"/>
      <c r="BI190" s="1216"/>
      <c r="BJ190" s="1216"/>
      <c r="BK190" s="1270"/>
      <c r="BL190" s="1271"/>
      <c r="BM190" s="1216"/>
      <c r="BN190" s="1216"/>
      <c r="BO190" s="1216"/>
      <c r="BP190" s="1270"/>
      <c r="BQ190" s="1271"/>
      <c r="BR190" s="1216"/>
      <c r="BS190" s="1216"/>
      <c r="BT190" s="1216"/>
      <c r="BU190" s="1270"/>
      <c r="BV190" s="1271"/>
      <c r="BW190" s="1216"/>
      <c r="BX190" s="1216"/>
      <c r="BY190" s="1216"/>
      <c r="BZ190" s="1270"/>
    </row>
    <row r="191" spans="3:78" ht="14.1" customHeight="1" x14ac:dyDescent="0.2">
      <c r="C191" s="207" t="str">
        <f t="shared" si="203"/>
        <v>Bull Case Common Shares Repurchased</v>
      </c>
      <c r="K191" s="1216"/>
      <c r="L191" s="1216"/>
      <c r="M191" s="1216"/>
      <c r="N191" s="1216"/>
      <c r="O191" s="1214"/>
      <c r="R191" s="1119" t="str">
        <f>C175</f>
        <v>Bull Case Common Shares Repurchased</v>
      </c>
      <c r="AW191" s="1121"/>
      <c r="BA191" s="1120"/>
      <c r="BB191" s="1121"/>
      <c r="BE191" s="1216"/>
      <c r="BF191" s="1270"/>
      <c r="BG191" s="1271"/>
      <c r="BH191" s="1216"/>
      <c r="BI191" s="1216"/>
      <c r="BJ191" s="1216">
        <v>-1.5903724838933299E-2</v>
      </c>
      <c r="BK191" s="1270"/>
      <c r="BL191" s="1271"/>
      <c r="BM191" s="1216"/>
      <c r="BN191" s="1216"/>
      <c r="BO191" s="1216"/>
      <c r="BP191" s="1270"/>
      <c r="BQ191" s="1271"/>
      <c r="BR191" s="1216"/>
      <c r="BS191" s="1216"/>
      <c r="BT191" s="1216"/>
      <c r="BU191" s="1270"/>
      <c r="BV191" s="1271"/>
      <c r="BW191" s="1216"/>
      <c r="BX191" s="1216"/>
      <c r="BY191" s="1216"/>
      <c r="BZ191" s="1270"/>
    </row>
    <row r="192" spans="3:78" ht="14.1" customHeight="1" x14ac:dyDescent="0.2">
      <c r="C192" s="207" t="str">
        <f t="shared" si="203"/>
        <v>Bear Case Common Shares Repurchased</v>
      </c>
      <c r="K192" s="1216"/>
      <c r="L192" s="1216"/>
      <c r="M192" s="1216"/>
      <c r="N192" s="1216"/>
      <c r="O192" s="1214"/>
      <c r="R192" s="1119" t="str">
        <f>C176</f>
        <v>Bear Case Common Shares Repurchased</v>
      </c>
      <c r="AW192" s="1121"/>
      <c r="BA192" s="1120"/>
      <c r="BB192" s="1121"/>
      <c r="BE192" s="1216"/>
      <c r="BF192" s="1270"/>
      <c r="BG192" s="1271"/>
      <c r="BH192" s="1216"/>
      <c r="BI192" s="1216"/>
      <c r="BJ192" s="1216"/>
      <c r="BK192" s="1270"/>
      <c r="BL192" s="1271"/>
      <c r="BM192" s="1216"/>
      <c r="BN192" s="1216"/>
      <c r="BO192" s="1216"/>
      <c r="BP192" s="1270"/>
      <c r="BQ192" s="1271"/>
      <c r="BR192" s="1216"/>
      <c r="BS192" s="1216"/>
      <c r="BT192" s="1216"/>
      <c r="BU192" s="1270"/>
      <c r="BV192" s="1271"/>
      <c r="BW192" s="1216"/>
      <c r="BX192" s="1216"/>
      <c r="BY192" s="1216"/>
      <c r="BZ192" s="1270"/>
    </row>
    <row r="193" spans="3:78" ht="14.1" customHeight="1" x14ac:dyDescent="0.2">
      <c r="C193" s="207"/>
      <c r="K193" s="1216"/>
      <c r="L193" s="1216"/>
      <c r="M193" s="1216"/>
      <c r="N193" s="1216"/>
      <c r="O193" s="1214"/>
      <c r="R193" s="1121"/>
      <c r="AW193" s="1121"/>
      <c r="BA193" s="1120"/>
      <c r="BB193" s="1121"/>
      <c r="BE193" s="1216"/>
      <c r="BF193" s="1270"/>
      <c r="BG193" s="1271"/>
      <c r="BH193" s="1216"/>
      <c r="BI193" s="1216"/>
      <c r="BJ193" s="1216"/>
      <c r="BK193" s="1270"/>
      <c r="BL193" s="1271"/>
      <c r="BM193" s="1216"/>
      <c r="BN193" s="1216"/>
      <c r="BO193" s="1216"/>
      <c r="BP193" s="1270"/>
      <c r="BQ193" s="1271"/>
      <c r="BR193" s="1216"/>
      <c r="BS193" s="1216"/>
      <c r="BT193" s="1216"/>
      <c r="BU193" s="1270"/>
      <c r="BV193" s="1271"/>
      <c r="BW193" s="1216"/>
      <c r="BX193" s="1216"/>
      <c r="BY193" s="1216"/>
      <c r="BZ193" s="1270"/>
    </row>
    <row r="194" spans="3:78" ht="14.1" customHeight="1" x14ac:dyDescent="0.2">
      <c r="C194" s="207" t="str">
        <f t="shared" si="203"/>
        <v>Reversed Model Case Changes In Treasury Stock</v>
      </c>
      <c r="K194" s="1216"/>
      <c r="L194" s="1216"/>
      <c r="M194" s="1216"/>
      <c r="N194" s="1216"/>
      <c r="O194" s="1214"/>
      <c r="R194" s="565" t="str">
        <f>"Reversed Model Case "&amp; R73</f>
        <v>Reversed Model Case Changes In Treasury Stock</v>
      </c>
      <c r="AW194" s="1121"/>
      <c r="BA194" s="1120"/>
      <c r="BB194" s="1121"/>
      <c r="BE194" s="1216">
        <v>1.0583487427291001</v>
      </c>
      <c r="BF194" s="1270"/>
      <c r="BG194" s="1271"/>
      <c r="BH194" s="1216"/>
      <c r="BI194" s="1216"/>
      <c r="BJ194" s="1216"/>
      <c r="BK194" s="1270"/>
      <c r="BL194" s="1271">
        <f>-60.0368106926097/4</f>
        <v>-15.009202673152425</v>
      </c>
      <c r="BM194" s="1216">
        <f>-60.0368106926097/4</f>
        <v>-15.009202673152425</v>
      </c>
      <c r="BN194" s="1216">
        <f>-60.0368106926097/4</f>
        <v>-15.009202673152425</v>
      </c>
      <c r="BO194" s="1216">
        <f>-60.0368106926097/4 + -3.78403600872186</f>
        <v>-18.793238681874286</v>
      </c>
      <c r="BP194" s="1270"/>
      <c r="BQ194" s="1271">
        <v>-58.738725873438</v>
      </c>
      <c r="BR194" s="1216">
        <v>-58.738725873438</v>
      </c>
      <c r="BS194" s="1216">
        <v>-58.738725873438</v>
      </c>
      <c r="BT194" s="1216">
        <f>(-234.954903493752/4)-4.02258941716161</f>
        <v>-62.761315290599612</v>
      </c>
      <c r="BU194" s="1270"/>
      <c r="BV194" s="1271">
        <f>-618.957088817884/4</f>
        <v>-154.73927220447101</v>
      </c>
      <c r="BW194" s="1216">
        <f>-618.957088817884/4</f>
        <v>-154.73927220447101</v>
      </c>
      <c r="BX194" s="1216">
        <f>-618.957088817884/4</f>
        <v>-154.73927220447101</v>
      </c>
      <c r="BY194" s="1216">
        <f>(-618.957088817884/4)-4.52058148809328+4.51009530443662</f>
        <v>-154.74975838812767</v>
      </c>
      <c r="BZ194" s="1270"/>
    </row>
    <row r="195" spans="3:78" ht="14.1" customHeight="1" x14ac:dyDescent="0.2">
      <c r="C195" s="207" t="str">
        <f t="shared" si="203"/>
        <v>Base Case Changes In Treasury Stock</v>
      </c>
      <c r="K195" s="1216"/>
      <c r="L195" s="1216"/>
      <c r="M195" s="1216"/>
      <c r="N195" s="1216"/>
      <c r="O195" s="1214"/>
      <c r="R195" s="565" t="str">
        <f>"Base Case "&amp;R73</f>
        <v>Base Case Changes In Treasury Stock</v>
      </c>
      <c r="AW195" s="1121"/>
      <c r="BA195" s="1120"/>
      <c r="BB195" s="1121"/>
      <c r="BE195" s="1216">
        <v>1.0496041131392799</v>
      </c>
      <c r="BF195" s="1270"/>
      <c r="BG195" s="1271">
        <f>-56.1648017540504/4</f>
        <v>-14.0412004385126</v>
      </c>
      <c r="BH195" s="1216">
        <f>-56.1648017540504/4</f>
        <v>-14.0412004385126</v>
      </c>
      <c r="BI195" s="1216">
        <f>-56.1648017540504/4</f>
        <v>-14.0412004385126</v>
      </c>
      <c r="BJ195" s="1216">
        <f>-56.1648017540504/4</f>
        <v>-14.0412004385126</v>
      </c>
      <c r="BK195" s="1270"/>
      <c r="BL195" s="1271">
        <f>-51.3826512042166/4</f>
        <v>-12.84566280105415</v>
      </c>
      <c r="BM195" s="1216">
        <f>-51.3826512042166/4</f>
        <v>-12.84566280105415</v>
      </c>
      <c r="BN195" s="1216">
        <f>-51.3826512042166/4</f>
        <v>-12.84566280105415</v>
      </c>
      <c r="BO195" s="1216">
        <f>-51.3826512042166/4</f>
        <v>-12.84566280105415</v>
      </c>
      <c r="BP195" s="1270"/>
      <c r="BQ195" s="1271">
        <f>-408.995229923723/4</f>
        <v>-102.24880748093075</v>
      </c>
      <c r="BR195" s="1216">
        <f>-408.995229923723/4</f>
        <v>-102.24880748093075</v>
      </c>
      <c r="BS195" s="1216">
        <f>-408.995229923723/4</f>
        <v>-102.24880748093075</v>
      </c>
      <c r="BT195" s="1216">
        <f>-408.995229923723/4</f>
        <v>-102.24880748093075</v>
      </c>
      <c r="BU195" s="1270"/>
      <c r="BV195" s="1271">
        <f>-622.050695931713/4</f>
        <v>-155.51267398292825</v>
      </c>
      <c r="BW195" s="1216">
        <v>-155.51267398292825</v>
      </c>
      <c r="BX195" s="1216">
        <v>-155.51267398292825</v>
      </c>
      <c r="BY195" s="1216">
        <v>-155.51267398292825</v>
      </c>
      <c r="BZ195" s="1270"/>
    </row>
    <row r="196" spans="3:78" ht="14.1" customHeight="1" x14ac:dyDescent="0.2">
      <c r="C196" s="207" t="str">
        <f t="shared" si="203"/>
        <v>Bull Case Changes In Treasury Stock</v>
      </c>
      <c r="K196" s="1216"/>
      <c r="L196" s="1216"/>
      <c r="M196" s="1216"/>
      <c r="N196" s="1216"/>
      <c r="O196" s="1214"/>
      <c r="R196" s="565" t="str">
        <f>"Bull Case "&amp;R73</f>
        <v>Bull Case Changes In Treasury Stock</v>
      </c>
      <c r="AW196" s="1121"/>
      <c r="BA196" s="1120"/>
      <c r="BB196" s="1121"/>
      <c r="BE196" s="1216"/>
      <c r="BF196" s="1270"/>
      <c r="BG196" s="1271"/>
      <c r="BH196" s="1216"/>
      <c r="BI196" s="1216"/>
      <c r="BJ196" s="1216"/>
      <c r="BK196" s="1270"/>
      <c r="BL196" s="1271">
        <f>-64.2513125408277/4</f>
        <v>-16.062828135206924</v>
      </c>
      <c r="BM196" s="1216">
        <f>-64.2513125408277/4</f>
        <v>-16.062828135206924</v>
      </c>
      <c r="BN196" s="1216">
        <f>-64.2513125408277/4</f>
        <v>-16.062828135206924</v>
      </c>
      <c r="BO196" s="1216">
        <f>-64.2513125408277/4</f>
        <v>-16.062828135206924</v>
      </c>
      <c r="BP196" s="1270"/>
      <c r="BQ196" s="1271">
        <f>-420.69640820434/4</f>
        <v>-105.174102051085</v>
      </c>
      <c r="BR196" s="1216">
        <f>-420.69640820434/4</f>
        <v>-105.174102051085</v>
      </c>
      <c r="BS196" s="1216">
        <f>-420.69640820434/4</f>
        <v>-105.174102051085</v>
      </c>
      <c r="BT196" s="1216">
        <f>-420.69640820434/4</f>
        <v>-105.174102051085</v>
      </c>
      <c r="BU196" s="1270"/>
      <c r="BV196" s="1271">
        <f>-626.492830692582/4</f>
        <v>-156.62320767314549</v>
      </c>
      <c r="BW196" s="1216">
        <f>-626.492830692582/4</f>
        <v>-156.62320767314549</v>
      </c>
      <c r="BX196" s="1216">
        <f>-626.492830692582/4</f>
        <v>-156.62320767314549</v>
      </c>
      <c r="BY196" s="1216">
        <f>-626.492830692582/4</f>
        <v>-156.62320767314549</v>
      </c>
      <c r="BZ196" s="1270"/>
    </row>
    <row r="197" spans="3:78" ht="14.1" customHeight="1" x14ac:dyDescent="0.2">
      <c r="C197" s="207" t="str">
        <f t="shared" si="203"/>
        <v>Bear Case Changes In Treasury Stock</v>
      </c>
      <c r="K197" s="1216"/>
      <c r="L197" s="1216"/>
      <c r="M197" s="1216"/>
      <c r="N197" s="1216"/>
      <c r="O197" s="1214"/>
      <c r="R197" s="205" t="str">
        <f>"Bear Case "&amp;R73</f>
        <v>Bear Case Changes In Treasury Stock</v>
      </c>
      <c r="AW197" s="1121"/>
      <c r="BA197" s="1120"/>
      <c r="BB197" s="1121"/>
      <c r="BE197" s="1216">
        <v>-0.193372546164782</v>
      </c>
      <c r="BF197" s="1270"/>
      <c r="BG197" s="1271"/>
      <c r="BH197" s="1216"/>
      <c r="BI197" s="1216"/>
      <c r="BJ197" s="1216"/>
      <c r="BK197" s="1270"/>
      <c r="BL197" s="1271"/>
      <c r="BM197" s="1216"/>
      <c r="BN197" s="1216"/>
      <c r="BO197" s="1216"/>
      <c r="BP197" s="1270"/>
      <c r="BQ197" s="1271">
        <f>-343.890286148605/4</f>
        <v>-85.972571537151254</v>
      </c>
      <c r="BR197" s="1216">
        <f>-343.890286148605/4</f>
        <v>-85.972571537151254</v>
      </c>
      <c r="BS197" s="1216">
        <f>-343.890286148605/4</f>
        <v>-85.972571537151254</v>
      </c>
      <c r="BT197" s="1216">
        <f>-343.890286148605/4</f>
        <v>-85.972571537151254</v>
      </c>
      <c r="BU197" s="1270"/>
      <c r="BV197" s="1271">
        <f>-542.407698202651/4</f>
        <v>-135.60192455066274</v>
      </c>
      <c r="BW197" s="1216">
        <f>-542.407698202651/4</f>
        <v>-135.60192455066274</v>
      </c>
      <c r="BX197" s="1216">
        <f>-542.407698202651/4</f>
        <v>-135.60192455066274</v>
      </c>
      <c r="BY197" s="1216">
        <f>-542.407698202651/4</f>
        <v>-135.60192455066274</v>
      </c>
      <c r="BZ197" s="1270"/>
    </row>
    <row r="198" spans="3:78" ht="14.1" customHeight="1" x14ac:dyDescent="0.2">
      <c r="C198" s="207"/>
      <c r="K198" s="1216"/>
      <c r="L198" s="1216"/>
      <c r="M198" s="1216"/>
      <c r="N198" s="1216"/>
      <c r="O198" s="1214"/>
      <c r="R198" s="1121"/>
      <c r="AW198" s="1121"/>
      <c r="BA198" s="1120"/>
      <c r="BB198" s="1121"/>
      <c r="BE198" s="1216"/>
      <c r="BF198" s="1270"/>
      <c r="BG198" s="1271"/>
      <c r="BH198" s="1216"/>
      <c r="BI198" s="1216"/>
      <c r="BJ198" s="1216"/>
      <c r="BK198" s="1270"/>
      <c r="BL198" s="1271"/>
      <c r="BM198" s="1216"/>
      <c r="BN198" s="1216"/>
      <c r="BO198" s="1216"/>
      <c r="BP198" s="1270"/>
      <c r="BQ198" s="1271"/>
      <c r="BR198" s="1216"/>
      <c r="BS198" s="1216"/>
      <c r="BT198" s="1216"/>
      <c r="BU198" s="1270"/>
      <c r="BV198" s="1271"/>
      <c r="BW198" s="1216"/>
      <c r="BX198" s="1216"/>
      <c r="BY198" s="1216"/>
      <c r="BZ198" s="1270"/>
    </row>
    <row r="199" spans="3:78" ht="14.1" customHeight="1" x14ac:dyDescent="0.2">
      <c r="C199" s="207" t="str">
        <f t="shared" si="203"/>
        <v>Reversed Model Case Debt Issued (Retired)</v>
      </c>
      <c r="K199" s="1216"/>
      <c r="L199" s="1216"/>
      <c r="M199" s="1216"/>
      <c r="N199" s="1216"/>
      <c r="O199" s="1214"/>
      <c r="R199" s="1122" t="str">
        <f>C178</f>
        <v>Reversed Model Case Debt Issued (Retired)</v>
      </c>
      <c r="AW199" s="1121"/>
      <c r="BA199" s="1120"/>
      <c r="BB199" s="1121"/>
      <c r="BE199" s="1216">
        <v>-0.47055818536779292</v>
      </c>
      <c r="BF199" s="1270"/>
      <c r="BG199" s="1271"/>
      <c r="BH199" s="1216"/>
      <c r="BI199" s="1216"/>
      <c r="BJ199" s="1216">
        <v>1.1332835047339795</v>
      </c>
      <c r="BK199" s="1270"/>
      <c r="BL199" s="1271">
        <v>-8.6701214530826505</v>
      </c>
      <c r="BM199" s="1216">
        <v>-8.6701214530826505</v>
      </c>
      <c r="BN199" s="1216">
        <v>-8.6701214530826505</v>
      </c>
      <c r="BO199" s="1216">
        <f>-0.0111700355044905-8.67012145308265</f>
        <v>-8.6812914885871404</v>
      </c>
      <c r="BP199" s="1270"/>
      <c r="BQ199" s="1271">
        <v>-13.602369496081</v>
      </c>
      <c r="BR199" s="1216">
        <v>-13.602369496081</v>
      </c>
      <c r="BS199" s="1216">
        <v>-13.602369496081</v>
      </c>
      <c r="BT199" s="1216">
        <f>-0.000199962254580727-13.602369496081</f>
        <v>-13.60256945833558</v>
      </c>
      <c r="BU199" s="1270"/>
      <c r="BV199" s="1271">
        <v>2.20791241869368</v>
      </c>
      <c r="BW199" s="1216">
        <v>2.20791241869368</v>
      </c>
      <c r="BX199" s="1216">
        <v>2.20791241869368</v>
      </c>
      <c r="BY199" s="1216">
        <f>0.000705964400514771+2.20626477561926</f>
        <v>2.2069707400197749</v>
      </c>
      <c r="BZ199" s="1270"/>
    </row>
    <row r="200" spans="3:78" ht="14.1" customHeight="1" x14ac:dyDescent="0.2">
      <c r="C200" s="207" t="str">
        <f t="shared" si="203"/>
        <v>Base Case Debt Issued (Retired)</v>
      </c>
      <c r="K200" s="1216"/>
      <c r="L200" s="1216"/>
      <c r="M200" s="1216"/>
      <c r="N200" s="1216"/>
      <c r="O200" s="1214"/>
      <c r="R200" s="1122" t="str">
        <f>C179</f>
        <v>Base Case Debt Issued (Retired)</v>
      </c>
      <c r="AW200" s="1121"/>
      <c r="BA200" s="1120"/>
      <c r="BB200" s="1121"/>
      <c r="BE200" s="1216">
        <f>0.330425531951675-0.727120009042102</f>
        <v>-0.39669447709042693</v>
      </c>
      <c r="BF200" s="1270"/>
      <c r="BG200" s="1271">
        <f>52.7475528107705/4</f>
        <v>13.186888202692625</v>
      </c>
      <c r="BH200" s="1216">
        <f>52.7475528107705/4</f>
        <v>13.186888202692625</v>
      </c>
      <c r="BI200" s="1216">
        <f>52.7475528107705/4</f>
        <v>13.186888202692625</v>
      </c>
      <c r="BJ200" s="1216">
        <f>52.7475528107705/4+0.0679550103434521</f>
        <v>13.254843213036077</v>
      </c>
      <c r="BK200" s="1270"/>
      <c r="BL200" s="1271">
        <f>-44.1368132084478/4</f>
        <v>-11.034203302111949</v>
      </c>
      <c r="BM200" s="1216">
        <f>-44.1368132084478/4</f>
        <v>-11.034203302111949</v>
      </c>
      <c r="BN200" s="1216">
        <f>-44.1368132084478/4</f>
        <v>-11.034203302111949</v>
      </c>
      <c r="BO200" s="1216">
        <f>-44.1368132084478/4-0.144463098509199</f>
        <v>-11.178666400621148</v>
      </c>
      <c r="BP200" s="1270"/>
      <c r="BQ200" s="1271">
        <f>-3.8735197132565/4</f>
        <v>-0.968379928314125</v>
      </c>
      <c r="BR200" s="1216">
        <f>-3.8735197132565/4</f>
        <v>-0.968379928314125</v>
      </c>
      <c r="BS200" s="1216">
        <f>-3.8735197132565/4</f>
        <v>-0.968379928314125</v>
      </c>
      <c r="BT200" s="1216">
        <f>-3.8735197132565/4-0.121031747098671</f>
        <v>-1.089411675412796</v>
      </c>
      <c r="BU200" s="1270"/>
      <c r="BV200" s="1271">
        <f>16.6128884586465/4</f>
        <v>4.1532221146616246</v>
      </c>
      <c r="BW200" s="1216">
        <f>16.6128884586465/4</f>
        <v>4.1532221146616246</v>
      </c>
      <c r="BX200" s="1216">
        <f>16.6128884586465/4</f>
        <v>4.1532221146616246</v>
      </c>
      <c r="BY200" s="1216">
        <f>16.6128884586465/4-0.132885696687159</f>
        <v>4.0203364179744661</v>
      </c>
      <c r="BZ200" s="1270"/>
    </row>
    <row r="201" spans="3:78" ht="14.1" customHeight="1" x14ac:dyDescent="0.2">
      <c r="C201" s="207" t="str">
        <f t="shared" si="203"/>
        <v>Bull Case Debt Issued (Retired)</v>
      </c>
      <c r="K201" s="1216"/>
      <c r="L201" s="1216"/>
      <c r="M201" s="1216"/>
      <c r="N201" s="1216"/>
      <c r="O201" s="1214"/>
      <c r="R201" s="1122" t="str">
        <f>C180</f>
        <v>Bull Case Debt Issued (Retired)</v>
      </c>
      <c r="AW201" s="1121"/>
      <c r="BA201" s="1120"/>
      <c r="BB201" s="1121"/>
      <c r="BE201" s="1216">
        <v>1.300853952033</v>
      </c>
      <c r="BF201" s="1270"/>
      <c r="BG201" s="1271">
        <f>-3.24704425510628/4</f>
        <v>-0.81176106377656998</v>
      </c>
      <c r="BH201" s="1216">
        <f>-3.24704425510628/4</f>
        <v>-0.81176106377656998</v>
      </c>
      <c r="BI201" s="1216">
        <f>-3.24704425510628/4</f>
        <v>-0.81176106377656998</v>
      </c>
      <c r="BJ201" s="1216">
        <f>-3.24704425510628/4</f>
        <v>-0.81176106377656998</v>
      </c>
      <c r="BK201" s="1270"/>
      <c r="BL201" s="1271">
        <v>-0.461509097040123</v>
      </c>
      <c r="BM201" s="1216"/>
      <c r="BN201" s="1216"/>
      <c r="BO201" s="1216"/>
      <c r="BP201" s="1270"/>
      <c r="BQ201" s="1271"/>
      <c r="BR201" s="1216"/>
      <c r="BS201" s="1216"/>
      <c r="BT201" s="1216">
        <v>0.91235860774408695</v>
      </c>
      <c r="BU201" s="1270"/>
      <c r="BV201" s="1271"/>
      <c r="BW201" s="1216"/>
      <c r="BX201" s="1216"/>
      <c r="BY201" s="1216">
        <v>-0.23023453884018699</v>
      </c>
      <c r="BZ201" s="1270"/>
    </row>
    <row r="202" spans="3:78" ht="14.1" customHeight="1" x14ac:dyDescent="0.2">
      <c r="C202" s="1127" t="str">
        <f t="shared" si="203"/>
        <v>Bear Case Debt Issued (Retired)</v>
      </c>
      <c r="D202" s="581"/>
      <c r="E202" s="581"/>
      <c r="F202" s="581"/>
      <c r="G202" s="581"/>
      <c r="H202" s="581"/>
      <c r="I202" s="581"/>
      <c r="J202" s="581"/>
      <c r="K202" s="1268"/>
      <c r="L202" s="1268"/>
      <c r="M202" s="1268"/>
      <c r="N202" s="1268"/>
      <c r="O202" s="1269"/>
      <c r="R202" s="1123" t="str">
        <f>C181</f>
        <v>Bear Case Debt Issued (Retired)</v>
      </c>
      <c r="S202" s="1124"/>
      <c r="T202" s="1124"/>
      <c r="U202" s="1124"/>
      <c r="V202" s="1124"/>
      <c r="W202" s="1124"/>
      <c r="X202" s="1124"/>
      <c r="Y202" s="1124"/>
      <c r="Z202" s="1124"/>
      <c r="AA202" s="1124"/>
      <c r="AB202" s="1124"/>
      <c r="AC202" s="1124"/>
      <c r="AD202" s="1124"/>
      <c r="AE202" s="1124"/>
      <c r="AF202" s="1124"/>
      <c r="AG202" s="1124"/>
      <c r="AH202" s="1124"/>
      <c r="AI202" s="1124"/>
      <c r="AJ202" s="1124"/>
      <c r="AK202" s="1124"/>
      <c r="AL202" s="1124"/>
      <c r="AM202" s="1124"/>
      <c r="AN202" s="1124"/>
      <c r="AO202" s="1124"/>
      <c r="AP202" s="1124"/>
      <c r="AQ202" s="1124"/>
      <c r="AR202" s="1124"/>
      <c r="AS202" s="1124"/>
      <c r="AT202" s="1124"/>
      <c r="AU202" s="1124"/>
      <c r="AV202" s="1124"/>
      <c r="AW202" s="1126"/>
      <c r="AX202" s="1124"/>
      <c r="AY202" s="1124"/>
      <c r="AZ202" s="1124"/>
      <c r="BA202" s="1125"/>
      <c r="BB202" s="1126"/>
      <c r="BC202" s="1124"/>
      <c r="BD202" s="1124"/>
      <c r="BE202" s="1272">
        <v>0.30769399356944299</v>
      </c>
      <c r="BF202" s="1273"/>
      <c r="BG202" s="1274">
        <f>-2.31588413567619/4</f>
        <v>-0.57897103391904747</v>
      </c>
      <c r="BH202" s="1272">
        <f>-2.31588413567619/4</f>
        <v>-0.57897103391904747</v>
      </c>
      <c r="BI202" s="1272">
        <f>-2.31588413567619/4</f>
        <v>-0.57897103391904747</v>
      </c>
      <c r="BJ202" s="1272">
        <f>-2.31588413567619/4</f>
        <v>-0.57897103391904747</v>
      </c>
      <c r="BK202" s="1273"/>
      <c r="BL202" s="1274">
        <f>-25.7388142596851/4</f>
        <v>-6.4347035649212749</v>
      </c>
      <c r="BM202" s="1272">
        <f>-25.7388142596851/4</f>
        <v>-6.4347035649212749</v>
      </c>
      <c r="BN202" s="1272">
        <f>-25.7388142596851/4</f>
        <v>-6.4347035649212749</v>
      </c>
      <c r="BO202" s="1272">
        <f>-25.7388142596851/4</f>
        <v>-6.4347035649212749</v>
      </c>
      <c r="BP202" s="1273"/>
      <c r="BQ202" s="1274">
        <f>-22.1731394208278/4</f>
        <v>-5.5432848552069496</v>
      </c>
      <c r="BR202" s="1272">
        <f>-22.1731394208278/4</f>
        <v>-5.5432848552069496</v>
      </c>
      <c r="BS202" s="1272">
        <f>-22.1731394208278/4</f>
        <v>-5.5432848552069496</v>
      </c>
      <c r="BT202" s="1272">
        <f>-22.1731394208278/4</f>
        <v>-5.5432848552069496</v>
      </c>
      <c r="BU202" s="1273"/>
      <c r="BV202" s="1274">
        <f>5.40893173205695/4</f>
        <v>1.3522329330142375</v>
      </c>
      <c r="BW202" s="1272">
        <f>5.40893173205695/4</f>
        <v>1.3522329330142375</v>
      </c>
      <c r="BX202" s="1272">
        <f>5.40893173205695/4</f>
        <v>1.3522329330142375</v>
      </c>
      <c r="BY202" s="1272">
        <f>5.40893173205695/4</f>
        <v>1.3522329330142375</v>
      </c>
      <c r="BZ202" s="1273"/>
    </row>
  </sheetData>
  <mergeCells count="80">
    <mergeCell ref="P69:Q84"/>
    <mergeCell ref="BQ182:BU182"/>
    <mergeCell ref="BV182:BZ182"/>
    <mergeCell ref="AR182:AV182"/>
    <mergeCell ref="AW182:BA182"/>
    <mergeCell ref="BB182:BF182"/>
    <mergeCell ref="BG182:BK182"/>
    <mergeCell ref="BL182:BP182"/>
    <mergeCell ref="S182:W182"/>
    <mergeCell ref="X182:AB182"/>
    <mergeCell ref="AC182:AG182"/>
    <mergeCell ref="AH182:AL182"/>
    <mergeCell ref="AM182:AQ182"/>
    <mergeCell ref="BQ142:BU142"/>
    <mergeCell ref="BV142:BZ142"/>
    <mergeCell ref="AR142:AV142"/>
    <mergeCell ref="AW142:BA142"/>
    <mergeCell ref="BB142:BF142"/>
    <mergeCell ref="BG142:BK142"/>
    <mergeCell ref="BL142:BP142"/>
    <mergeCell ref="S142:W142"/>
    <mergeCell ref="X142:AB142"/>
    <mergeCell ref="AC142:AG142"/>
    <mergeCell ref="AH142:AL142"/>
    <mergeCell ref="AM142:AQ142"/>
    <mergeCell ref="BL61:BP61"/>
    <mergeCell ref="BQ61:BU61"/>
    <mergeCell ref="R59:AZ59"/>
    <mergeCell ref="R60:BA60"/>
    <mergeCell ref="R61:BA61"/>
    <mergeCell ref="BB61:BF61"/>
    <mergeCell ref="BG61:BK61"/>
    <mergeCell ref="BE59:BH60"/>
    <mergeCell ref="CA5:CE5"/>
    <mergeCell ref="R3:AZ3"/>
    <mergeCell ref="R4:BA4"/>
    <mergeCell ref="S5:W5"/>
    <mergeCell ref="X5:AB5"/>
    <mergeCell ref="AC5:AG5"/>
    <mergeCell ref="AH5:AL5"/>
    <mergeCell ref="AM5:AQ5"/>
    <mergeCell ref="AR5:AV5"/>
    <mergeCell ref="AW5:BA5"/>
    <mergeCell ref="BB5:BF5"/>
    <mergeCell ref="BG5:BK5"/>
    <mergeCell ref="BL5:BP5"/>
    <mergeCell ref="BQ5:BU5"/>
    <mergeCell ref="BV5:BZ5"/>
    <mergeCell ref="BQ104:BU104"/>
    <mergeCell ref="AR62:AV62"/>
    <mergeCell ref="AW62:BA62"/>
    <mergeCell ref="BB62:BF62"/>
    <mergeCell ref="BG62:BK62"/>
    <mergeCell ref="BL62:BP62"/>
    <mergeCell ref="R103:BA103"/>
    <mergeCell ref="R104:BA104"/>
    <mergeCell ref="BB104:BF104"/>
    <mergeCell ref="BG104:BK104"/>
    <mergeCell ref="BL104:BP104"/>
    <mergeCell ref="S62:W62"/>
    <mergeCell ref="X62:AB62"/>
    <mergeCell ref="AC62:AG62"/>
    <mergeCell ref="AH62:AL62"/>
    <mergeCell ref="AM62:AQ62"/>
    <mergeCell ref="BQ105:BU105"/>
    <mergeCell ref="BV105:BZ105"/>
    <mergeCell ref="P3:Q7"/>
    <mergeCell ref="AR105:AV105"/>
    <mergeCell ref="AW105:BA105"/>
    <mergeCell ref="BB105:BF105"/>
    <mergeCell ref="BG105:BK105"/>
    <mergeCell ref="BL105:BP105"/>
    <mergeCell ref="S105:W105"/>
    <mergeCell ref="X105:AB105"/>
    <mergeCell ref="AC105:AG105"/>
    <mergeCell ref="AH105:AL105"/>
    <mergeCell ref="AM105:AQ105"/>
    <mergeCell ref="BQ62:BU62"/>
    <mergeCell ref="BV62:BZ62"/>
    <mergeCell ref="R102:AZ10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8D6DA-6EF6-4EF9-AE09-5EAB64E53D7B}">
  <dimension ref="A1:CE117"/>
  <sheetViews>
    <sheetView showGridLines="0" zoomScaleNormal="100" workbookViewId="0">
      <pane xSplit="3" topLeftCell="D1" activePane="topRight" state="frozen"/>
      <selection activeCell="E57" sqref="E57"/>
      <selection pane="topRight" activeCell="C9" sqref="C9"/>
    </sheetView>
  </sheetViews>
  <sheetFormatPr defaultColWidth="9.01171875" defaultRowHeight="14.1" customHeight="1" outlineLevelCol="1" x14ac:dyDescent="0.2"/>
  <cols>
    <col min="1" max="1" width="0.671875" customWidth="1"/>
    <col min="2" max="2" width="0.8046875" customWidth="1"/>
    <col min="3" max="3" width="31.20703125" style="60" customWidth="1"/>
    <col min="4" max="6" width="10.22265625" style="60" customWidth="1" outlineLevel="1"/>
    <col min="7" max="7" width="10.22265625" style="60" customWidth="1"/>
    <col min="8" max="9" width="10.22265625" style="60" bestFit="1" customWidth="1"/>
    <col min="10" max="10" width="10.22265625" style="60" customWidth="1"/>
    <col min="11" max="15" width="10.22265625" style="60" bestFit="1" customWidth="1"/>
    <col min="16" max="16" width="2.5546875" style="60" customWidth="1"/>
    <col min="17" max="17" width="5.6484375" style="60" customWidth="1"/>
    <col min="18" max="18" width="31.20703125" style="60" customWidth="1"/>
    <col min="19" max="19" width="10.22265625" style="60" customWidth="1" outlineLevel="1"/>
    <col min="20" max="43" width="9.01171875" style="60" customWidth="1" outlineLevel="1"/>
    <col min="44" max="47" width="9.01171875" style="60"/>
    <col min="48" max="48" width="9.01171875" style="60" customWidth="1" outlineLevel="1"/>
    <col min="49" max="52" width="9.01171875" style="60"/>
    <col min="53" max="53" width="9.01171875" style="60" customWidth="1" outlineLevel="1"/>
    <col min="54" max="57" width="9.01171875" style="60"/>
    <col min="58" max="58" width="9.01171875" style="60" customWidth="1" outlineLevel="1"/>
    <col min="59" max="62" width="9.01171875" style="60"/>
    <col min="63" max="63" width="9.01171875" style="60" customWidth="1" outlineLevel="1"/>
    <col min="64" max="67" width="9.01171875" style="60"/>
    <col min="68" max="68" width="9.01171875" style="60" customWidth="1" outlineLevel="1"/>
    <col min="69" max="72" width="9.01171875" style="60"/>
    <col min="73" max="73" width="9.01171875" style="60" customWidth="1" outlineLevel="1"/>
    <col min="74" max="77" width="9.01171875" style="60"/>
    <col min="78" max="78" width="9.01171875" style="60" customWidth="1" outlineLevel="1"/>
    <col min="79" max="16384" width="9.01171875" style="60"/>
  </cols>
  <sheetData>
    <row r="1" spans="1:83" customFormat="1" ht="3" customHeight="1" x14ac:dyDescent="0.2"/>
    <row r="2" spans="1:83" customFormat="1" ht="1.1499999999999999" customHeight="1" x14ac:dyDescent="0.2"/>
    <row r="3" spans="1:83" s="41" customFormat="1" ht="18.75" x14ac:dyDescent="0.25">
      <c r="A3"/>
      <c r="B3"/>
      <c r="C3" s="47" t="str">
        <f>Company_Name</f>
        <v>SAIA, Inc.</v>
      </c>
      <c r="D3" s="48"/>
      <c r="E3" s="48"/>
      <c r="F3" s="48"/>
      <c r="G3" s="48"/>
      <c r="H3" s="48"/>
      <c r="I3" s="48"/>
      <c r="J3" s="48"/>
      <c r="K3" s="48"/>
      <c r="L3" s="48"/>
      <c r="M3" s="48"/>
      <c r="N3" s="48"/>
      <c r="O3" s="48"/>
      <c r="P3" s="1373" t="s">
        <v>172</v>
      </c>
      <c r="Q3" s="1373"/>
      <c r="R3" s="1374" t="str">
        <f>C3</f>
        <v>SAIA, Inc.</v>
      </c>
      <c r="S3" s="1374"/>
      <c r="T3" s="1374"/>
      <c r="U3" s="1374"/>
      <c r="V3" s="1374"/>
      <c r="W3" s="1374"/>
      <c r="X3" s="1374"/>
      <c r="Y3" s="1374"/>
      <c r="Z3" s="1374"/>
      <c r="AA3" s="1374"/>
      <c r="AB3" s="1374"/>
      <c r="AC3" s="1374"/>
      <c r="AD3" s="1374"/>
      <c r="AE3" s="1374"/>
      <c r="AF3" s="1374"/>
      <c r="AG3" s="1374"/>
      <c r="AH3" s="1374"/>
      <c r="AI3" s="1374"/>
      <c r="AJ3" s="1374"/>
      <c r="AK3" s="1374"/>
      <c r="AL3" s="1374"/>
      <c r="AM3" s="1374"/>
      <c r="AN3" s="1374"/>
      <c r="AO3" s="1374"/>
      <c r="AP3" s="1374"/>
      <c r="AQ3" s="1374"/>
      <c r="AR3" s="1374"/>
      <c r="AS3" s="1374"/>
      <c r="AT3" s="1374"/>
      <c r="AU3" s="1374"/>
      <c r="AV3" s="1374"/>
      <c r="AW3" s="1374"/>
      <c r="AX3" s="1374"/>
      <c r="AY3" s="1374"/>
      <c r="AZ3" s="1374"/>
      <c r="BA3" s="47"/>
      <c r="BB3" s="47"/>
      <c r="BC3" s="47"/>
      <c r="BD3" s="47"/>
      <c r="BE3" s="47"/>
      <c r="BF3" s="47"/>
      <c r="BG3" s="47"/>
      <c r="BH3" s="47"/>
      <c r="BI3" s="47"/>
      <c r="BJ3" s="47"/>
      <c r="BK3" s="47"/>
      <c r="BL3" s="47"/>
      <c r="BM3" s="47"/>
      <c r="BN3" s="47"/>
      <c r="BO3" s="47"/>
      <c r="BP3" s="47"/>
      <c r="BQ3" s="47"/>
      <c r="BR3" s="47"/>
      <c r="BS3" s="47"/>
      <c r="BT3" s="47"/>
      <c r="BU3" s="47"/>
      <c r="BV3" s="47"/>
      <c r="BW3" s="47"/>
      <c r="BX3" s="47"/>
      <c r="BY3" s="47"/>
      <c r="BZ3" s="47"/>
    </row>
    <row r="4" spans="1:83" s="62" customFormat="1" ht="15" x14ac:dyDescent="0.2">
      <c r="A4"/>
      <c r="B4"/>
      <c r="C4" s="48" t="str">
        <f>"Cash Flow Statement"</f>
        <v>Cash Flow Statement</v>
      </c>
      <c r="D4" s="48"/>
      <c r="E4" s="48"/>
      <c r="F4" s="48"/>
      <c r="G4" s="48"/>
      <c r="H4" s="48"/>
      <c r="I4" s="48"/>
      <c r="J4" s="48"/>
      <c r="K4" s="48"/>
      <c r="L4" s="48"/>
      <c r="M4" s="48"/>
      <c r="N4" s="67" t="str" cm="1">
        <f t="array" ref="N4">"DCF Share Value as of "&amp;TEXT(DCF_ShareValue_Date,"MM/DD/YYYY")&amp;":"</f>
        <v>DCF Share Value as of 12/31/2024:</v>
      </c>
      <c r="O4" s="64"/>
      <c r="P4" s="1373"/>
      <c r="Q4" s="1373"/>
      <c r="R4" s="1375" t="str">
        <f>C4&amp;" Quarterly and Year Basis"</f>
        <v>Cash Flow Statement Quarterly and Year Basis</v>
      </c>
      <c r="S4" s="1375"/>
      <c r="T4" s="1375"/>
      <c r="U4" s="1375"/>
      <c r="V4" s="1375"/>
      <c r="W4" s="1375"/>
      <c r="X4" s="1375"/>
      <c r="Y4" s="1375"/>
      <c r="Z4" s="1375"/>
      <c r="AA4" s="1375"/>
      <c r="AB4" s="1375"/>
      <c r="AC4" s="1375"/>
      <c r="AD4" s="1375"/>
      <c r="AE4" s="1375"/>
      <c r="AF4" s="1375"/>
      <c r="AG4" s="1375"/>
      <c r="AH4" s="1375"/>
      <c r="AI4" s="1375"/>
      <c r="AJ4" s="1375"/>
      <c r="AK4" s="1375"/>
      <c r="AL4" s="1375"/>
      <c r="AM4" s="1375"/>
      <c r="AN4" s="1375"/>
      <c r="AO4" s="1375"/>
      <c r="AP4" s="1375"/>
      <c r="AQ4" s="1375"/>
      <c r="AR4" s="1375"/>
      <c r="AS4" s="1375"/>
      <c r="AT4" s="1375"/>
      <c r="AU4" s="1375"/>
      <c r="AV4" s="1375"/>
      <c r="AW4" s="1375"/>
      <c r="AX4" s="1375"/>
      <c r="AY4" s="1375"/>
      <c r="AZ4" s="1375"/>
      <c r="BA4" s="1375"/>
      <c r="BB4" s="63"/>
      <c r="BC4" s="63"/>
      <c r="BD4" s="63"/>
      <c r="BE4" s="63"/>
      <c r="BF4" s="63"/>
      <c r="BG4" s="63"/>
      <c r="BH4" s="63"/>
      <c r="BI4" s="63"/>
      <c r="BJ4" s="63"/>
      <c r="BK4" s="63"/>
      <c r="BL4" s="63"/>
      <c r="BM4" s="63"/>
      <c r="BN4" s="63"/>
      <c r="BO4" s="63"/>
      <c r="BP4" s="63"/>
      <c r="BQ4" s="63"/>
      <c r="BR4" s="63"/>
      <c r="BS4" s="63"/>
      <c r="BT4" s="63"/>
      <c r="BU4" s="63"/>
      <c r="BV4" s="63"/>
      <c r="BW4" s="63"/>
      <c r="BX4" s="63"/>
      <c r="BY4" s="63"/>
      <c r="BZ4" s="63"/>
    </row>
    <row r="5" spans="1:83" s="61" customFormat="1" ht="15" x14ac:dyDescent="0.2">
      <c r="A5"/>
      <c r="B5"/>
      <c r="C5" s="46" t="str">
        <f>"($ in millions, fiscal year ending "&amp;TEXT(FY_Year_End,"MMMM,DD")&amp;")"</f>
        <v>($ in millions, fiscal year ending December,31)</v>
      </c>
      <c r="D5" s="49"/>
      <c r="E5" s="49"/>
      <c r="F5" s="49"/>
      <c r="G5" s="49"/>
      <c r="H5" s="49" t="str">
        <f>"Ticker: "&amp;Company_Ticker</f>
        <v>Ticker: SAIA</v>
      </c>
      <c r="I5" s="49"/>
      <c r="J5" s="49"/>
      <c r="K5" s="49"/>
      <c r="L5" s="49"/>
      <c r="M5" s="49"/>
      <c r="N5" s="66" t="str" cm="1">
        <f t="array" ref="N5">"Market Share Price as of "&amp;TEXT(Market_Share_Price_Date,"MM/DD/YYYY")&amp;":"</f>
        <v>Market Share Price as of 12/31/2024:</v>
      </c>
      <c r="O5" s="65">
        <f>Market_Share_Price</f>
        <v>455.73</v>
      </c>
      <c r="P5" s="1373"/>
      <c r="Q5" s="1373"/>
      <c r="R5" s="96"/>
      <c r="S5" s="1367">
        <f>D7</f>
        <v>43100</v>
      </c>
      <c r="T5" s="1368"/>
      <c r="U5" s="1368"/>
      <c r="V5" s="1368"/>
      <c r="W5" s="1368"/>
      <c r="X5" s="1368">
        <f>DATE(YEAR(S5)+1,MONTH(S5),DAY(S5))</f>
        <v>43465</v>
      </c>
      <c r="Y5" s="1368"/>
      <c r="Z5" s="1368"/>
      <c r="AA5" s="1368"/>
      <c r="AB5" s="1368"/>
      <c r="AC5" s="1368">
        <f>DATE(YEAR(X5)+1,MONTH(X5),DAY(X5))</f>
        <v>43830</v>
      </c>
      <c r="AD5" s="1368"/>
      <c r="AE5" s="1368"/>
      <c r="AF5" s="1368"/>
      <c r="AG5" s="1368"/>
      <c r="AH5" s="1368">
        <f>DATE(YEAR(AC5)+1,MONTH(AC5),DAY(AC5))</f>
        <v>44196</v>
      </c>
      <c r="AI5" s="1368"/>
      <c r="AJ5" s="1368"/>
      <c r="AK5" s="1368"/>
      <c r="AL5" s="1368"/>
      <c r="AM5" s="1368">
        <f>DATE(YEAR(AH5)+1,MONTH(AH5),DAY(AH5))</f>
        <v>44561</v>
      </c>
      <c r="AN5" s="1368"/>
      <c r="AO5" s="1368"/>
      <c r="AP5" s="1368"/>
      <c r="AQ5" s="1368"/>
      <c r="AR5" s="1368">
        <f>DATE(YEAR(AM5)+1,MONTH(AM5),DAY(AM5))</f>
        <v>44926</v>
      </c>
      <c r="AS5" s="1368"/>
      <c r="AT5" s="1368"/>
      <c r="AU5" s="1368"/>
      <c r="AV5" s="1368"/>
      <c r="AW5" s="1368">
        <f>DATE(YEAR(AR5)+1,MONTH(AR5),DAY(AR5))</f>
        <v>45291</v>
      </c>
      <c r="AX5" s="1368"/>
      <c r="AY5" s="1368"/>
      <c r="AZ5" s="1368"/>
      <c r="BA5" s="1368"/>
      <c r="BB5" s="1369">
        <f>DATE(YEAR(AW5)+1,MONTH(AW5),DAY(AW5))</f>
        <v>45657</v>
      </c>
      <c r="BC5" s="1369"/>
      <c r="BD5" s="1369"/>
      <c r="BE5" s="1369"/>
      <c r="BF5" s="1369"/>
      <c r="BG5" s="1365">
        <f>DATE(YEAR(BB5)+1,MONTH(BB5),DAY(BB5))</f>
        <v>46022</v>
      </c>
      <c r="BH5" s="1365"/>
      <c r="BI5" s="1365"/>
      <c r="BJ5" s="1365"/>
      <c r="BK5" s="1365"/>
      <c r="BL5" s="1365">
        <f>DATE(YEAR(BG5)+1,MONTH(BG5),DAY(BG5))</f>
        <v>46387</v>
      </c>
      <c r="BM5" s="1365"/>
      <c r="BN5" s="1365"/>
      <c r="BO5" s="1365"/>
      <c r="BP5" s="1365"/>
      <c r="BQ5" s="1365">
        <f>DATE(YEAR(BL5)+1,MONTH(BL5),DAY(BL5))</f>
        <v>46752</v>
      </c>
      <c r="BR5" s="1365"/>
      <c r="BS5" s="1365"/>
      <c r="BT5" s="1365"/>
      <c r="BU5" s="1365"/>
      <c r="BV5" s="1365">
        <f>DATE(YEAR(BQ5)+1,MONTH(BQ5),DAY(BQ5))</f>
        <v>47118</v>
      </c>
      <c r="BW5" s="1365"/>
      <c r="BX5" s="1365"/>
      <c r="BY5" s="1365"/>
      <c r="BZ5" s="1366"/>
      <c r="CA5" s="1388"/>
      <c r="CB5" s="1388"/>
      <c r="CC5" s="1388"/>
      <c r="CD5" s="1388"/>
      <c r="CE5" s="1388"/>
    </row>
    <row r="6" spans="1:83" s="45" customFormat="1" ht="1.5" customHeight="1" x14ac:dyDescent="0.2">
      <c r="A6"/>
      <c r="B6"/>
      <c r="C6" s="42" t="s">
        <v>49</v>
      </c>
      <c r="D6" s="42">
        <v>6</v>
      </c>
      <c r="E6" s="42">
        <v>5</v>
      </c>
      <c r="F6" s="42">
        <v>4</v>
      </c>
      <c r="G6" s="42">
        <v>3</v>
      </c>
      <c r="H6" s="42">
        <v>2</v>
      </c>
      <c r="I6" s="42">
        <v>1</v>
      </c>
      <c r="J6" s="42"/>
      <c r="K6" s="42">
        <v>1</v>
      </c>
      <c r="L6" s="42">
        <v>2</v>
      </c>
      <c r="M6" s="42">
        <v>3</v>
      </c>
      <c r="N6" s="42">
        <v>4</v>
      </c>
      <c r="O6" s="42">
        <v>5</v>
      </c>
      <c r="P6" s="1373"/>
      <c r="Q6" s="1373"/>
      <c r="R6" s="42"/>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4"/>
      <c r="CB6" s="44"/>
      <c r="CC6" s="44"/>
      <c r="CD6" s="44"/>
      <c r="CE6" s="44"/>
    </row>
    <row r="7" spans="1:83" s="50" customFormat="1" ht="14.1" customHeight="1" x14ac:dyDescent="0.2">
      <c r="A7"/>
      <c r="B7"/>
      <c r="C7" s="163"/>
      <c r="D7" s="51">
        <f t="shared" ref="D7:I7" si="0">DATE(Base_Year-D6,MONTH(FY_Year_End),DAY(FY_Year_End))</f>
        <v>43100</v>
      </c>
      <c r="E7" s="52">
        <f t="shared" si="0"/>
        <v>43465</v>
      </c>
      <c r="F7" s="52">
        <f t="shared" si="0"/>
        <v>43830</v>
      </c>
      <c r="G7" s="52">
        <f t="shared" si="0"/>
        <v>44196</v>
      </c>
      <c r="H7" s="52">
        <f t="shared" si="0"/>
        <v>44561</v>
      </c>
      <c r="I7" s="52">
        <f t="shared" si="0"/>
        <v>44926</v>
      </c>
      <c r="J7" s="52">
        <f>DATE(Base_Year,MONTH(FY_Year_End),DAY(FY_Year_End))</f>
        <v>45291</v>
      </c>
      <c r="K7" s="53">
        <f>DATE(Base_Year+K6,MONTH(FY_Year_End),DAY(FY_Year_End))</f>
        <v>45657</v>
      </c>
      <c r="L7" s="54">
        <f>DATE(Base_Year+L6,MONTH(FY_Year_End),DAY(FY_Year_End))</f>
        <v>46022</v>
      </c>
      <c r="M7" s="54">
        <f>DATE(Base_Year+M6,MONTH(FY_Year_End),DAY(FY_Year_End))</f>
        <v>46387</v>
      </c>
      <c r="N7" s="54">
        <f>DATE(Base_Year+N6,MONTH(FY_Year_End),DAY(FY_Year_End))</f>
        <v>46752</v>
      </c>
      <c r="O7" s="55">
        <f>DATE(Base_Year+O6,MONTH(FY_Year_End),DAY(FY_Year_End))</f>
        <v>47118</v>
      </c>
      <c r="P7" s="1373"/>
      <c r="Q7" s="1373"/>
      <c r="R7" s="56"/>
      <c r="S7" s="56" t="str">
        <f>TEXT(S5,"YYYY")&amp; " Q"&amp;$K$6</f>
        <v>2017 Q1</v>
      </c>
      <c r="T7" s="57" t="str">
        <f>TEXT(S5,"YYYY")&amp; " Q"&amp;$L$6</f>
        <v>2017 Q2</v>
      </c>
      <c r="U7" s="57" t="str">
        <f>TEXT(S5,"YYYY")&amp; " Q"&amp;$M$6</f>
        <v>2017 Q3</v>
      </c>
      <c r="V7" s="57" t="str">
        <f>TEXT(S5,"YYYY")&amp; " Q"&amp;$N$6</f>
        <v>2017 Q4</v>
      </c>
      <c r="W7" s="57" t="str">
        <f>TEXT(S5,"YYYY")&amp; " FY"</f>
        <v>2017 FY</v>
      </c>
      <c r="X7" s="57" t="str">
        <f>TEXT(X5,"YYYY")&amp; " Q"&amp;$K$6</f>
        <v>2018 Q1</v>
      </c>
      <c r="Y7" s="57" t="str">
        <f>TEXT(X5,"YYYY")&amp; " Q"&amp;$L$6</f>
        <v>2018 Q2</v>
      </c>
      <c r="Z7" s="57" t="str">
        <f>TEXT(X5,"YYYY")&amp; " Q"&amp;$M$6</f>
        <v>2018 Q3</v>
      </c>
      <c r="AA7" s="57" t="str">
        <f>TEXT(X5,"YYYY")&amp; " Q"&amp;$N$6</f>
        <v>2018 Q4</v>
      </c>
      <c r="AB7" s="57" t="str">
        <f>TEXT(X5,"YYYY")&amp; " FY"</f>
        <v>2018 FY</v>
      </c>
      <c r="AC7" s="57" t="str">
        <f>TEXT(AC5,"YYYY")&amp; " Q"&amp;$K$6</f>
        <v>2019 Q1</v>
      </c>
      <c r="AD7" s="57" t="str">
        <f>TEXT(AC5,"YYYY")&amp; " Q"&amp;$L$6</f>
        <v>2019 Q2</v>
      </c>
      <c r="AE7" s="57" t="str">
        <f>TEXT(AC5,"YYYY")&amp; " Q"&amp;$M$6</f>
        <v>2019 Q3</v>
      </c>
      <c r="AF7" s="57" t="str">
        <f>TEXT(AC5,"YYYY")&amp; " Q"&amp;$N$6</f>
        <v>2019 Q4</v>
      </c>
      <c r="AG7" s="57" t="str">
        <f>TEXT(AC5,"YYYY")&amp; " FY"</f>
        <v>2019 FY</v>
      </c>
      <c r="AH7" s="57" t="str">
        <f>TEXT(AH5,"YYYY")&amp; " Q"&amp;$K$6</f>
        <v>2020 Q1</v>
      </c>
      <c r="AI7" s="57" t="str">
        <f>TEXT(AH5,"YYYY")&amp; " Q"&amp;$L$6</f>
        <v>2020 Q2</v>
      </c>
      <c r="AJ7" s="57" t="str">
        <f>TEXT(AH5,"YYYY")&amp; " Q"&amp;$M$6</f>
        <v>2020 Q3</v>
      </c>
      <c r="AK7" s="57" t="str">
        <f>TEXT(AH5,"YYYY")&amp; " Q"&amp;$N$6</f>
        <v>2020 Q4</v>
      </c>
      <c r="AL7" s="57" t="str">
        <f>TEXT(AH5,"YYYY")&amp; " FY"</f>
        <v>2020 FY</v>
      </c>
      <c r="AM7" s="57" t="str">
        <f>TEXT(AM5,"YYYY")&amp; " Q"&amp;$K$6</f>
        <v>2021 Q1</v>
      </c>
      <c r="AN7" s="57" t="str">
        <f>TEXT(AM5,"YYYY")&amp; " Q"&amp;$L$6</f>
        <v>2021 Q2</v>
      </c>
      <c r="AO7" s="57" t="str">
        <f>TEXT(AM5,"YYYY")&amp; " Q"&amp;$M$6</f>
        <v>2021 Q3</v>
      </c>
      <c r="AP7" s="57" t="str">
        <f>TEXT(AM5,"YYYY")&amp; " Q"&amp;$N$6</f>
        <v>2021 Q4</v>
      </c>
      <c r="AQ7" s="57" t="str">
        <f>TEXT(AM5,"YYYY")&amp; " FY"</f>
        <v>2021 FY</v>
      </c>
      <c r="AR7" s="57" t="str">
        <f>TEXT(AR5,"YYYY")&amp; " Q"&amp;$K$6</f>
        <v>2022 Q1</v>
      </c>
      <c r="AS7" s="57" t="str">
        <f>TEXT(AR5,"YYYY")&amp; " Q"&amp;$L$6</f>
        <v>2022 Q2</v>
      </c>
      <c r="AT7" s="57" t="str">
        <f>TEXT(AR5,"YYYY")&amp; " Q"&amp;$M$6</f>
        <v>2022 Q3</v>
      </c>
      <c r="AU7" s="57" t="str">
        <f>TEXT(AR5,"YYYY")&amp; " Q"&amp;$N$6</f>
        <v>2022 Q4</v>
      </c>
      <c r="AV7" s="57" t="str">
        <f>TEXT(AR5,"YYYY")&amp; " FY"</f>
        <v>2022 FY</v>
      </c>
      <c r="AW7" s="57" t="str">
        <f>TEXT(AW5,"YYYY")&amp; " Q"&amp;$K$6</f>
        <v>2023 Q1</v>
      </c>
      <c r="AX7" s="57" t="str">
        <f>TEXT(AW5,"YYYY")&amp; " Q"&amp;$L$6</f>
        <v>2023 Q2</v>
      </c>
      <c r="AY7" s="57" t="str">
        <f>TEXT(AW5,"YYYY")&amp; " Q"&amp;$M$6</f>
        <v>2023 Q3</v>
      </c>
      <c r="AZ7" s="57" t="str">
        <f>TEXT(AW5,"YYYY")&amp; " Q"&amp;$N$6</f>
        <v>2023 Q4</v>
      </c>
      <c r="BA7" s="57" t="str">
        <f>TEXT(AW5,"YYYY")&amp; " FY"</f>
        <v>2023 FY</v>
      </c>
      <c r="BB7" s="57" t="str">
        <f>TEXT(BB5,"YYYY")&amp; " Q"&amp;$K$6</f>
        <v>2024 Q1</v>
      </c>
      <c r="BC7" s="57" t="str">
        <f>TEXT(BB5,"YYYY")&amp; " Q"&amp;$L$6</f>
        <v>2024 Q2</v>
      </c>
      <c r="BD7" s="57" t="str">
        <f>TEXT(BB5,"YYYY")&amp; " Q"&amp;$M$6</f>
        <v>2024 Q3</v>
      </c>
      <c r="BE7" s="58" t="str">
        <f>TEXT(BB5,"YYYY")&amp; " Q"&amp;$N$6</f>
        <v>2024 Q4</v>
      </c>
      <c r="BF7" s="58" t="str">
        <f>TEXT(BB5,"YYYY")&amp; " FY"</f>
        <v>2024 FY</v>
      </c>
      <c r="BG7" s="58" t="str">
        <f>TEXT(BG5,"YYYY")&amp; " Q"&amp;$K$6</f>
        <v>2025 Q1</v>
      </c>
      <c r="BH7" s="58" t="str">
        <f>TEXT(BG5,"YYYY")&amp; " Q"&amp;$L$6</f>
        <v>2025 Q2</v>
      </c>
      <c r="BI7" s="58" t="str">
        <f>TEXT(BG5,"YYYY")&amp; " Q"&amp;$M$6</f>
        <v>2025 Q3</v>
      </c>
      <c r="BJ7" s="58" t="str">
        <f>TEXT(BG5,"YYYY")&amp; " Q"&amp;$N$6</f>
        <v>2025 Q4</v>
      </c>
      <c r="BK7" s="58" t="str">
        <f>TEXT(BG5,"YYYY")&amp; " FY"</f>
        <v>2025 FY</v>
      </c>
      <c r="BL7" s="58" t="str">
        <f>TEXT(BL5,"YYYY")&amp; " Q"&amp;$K$6</f>
        <v>2026 Q1</v>
      </c>
      <c r="BM7" s="58" t="str">
        <f>TEXT(BL5,"YYYY")&amp; " Q"&amp;$L$6</f>
        <v>2026 Q2</v>
      </c>
      <c r="BN7" s="58" t="str">
        <f>TEXT(BL5,"YYYY")&amp; " Q"&amp;$M$6</f>
        <v>2026 Q3</v>
      </c>
      <c r="BO7" s="58" t="str">
        <f>TEXT(BL5,"YYYY")&amp; " Q"&amp;$N$6</f>
        <v>2026 Q4</v>
      </c>
      <c r="BP7" s="58" t="str">
        <f>TEXT(BL5,"YYYY")&amp; " FY"</f>
        <v>2026 FY</v>
      </c>
      <c r="BQ7" s="58" t="str">
        <f>TEXT(BQ5,"YYYY")&amp; " Q"&amp;$K$6</f>
        <v>2027 Q1</v>
      </c>
      <c r="BR7" s="58" t="str">
        <f>TEXT(BQ5,"YYYY")&amp; " Q"&amp;$L$6</f>
        <v>2027 Q2</v>
      </c>
      <c r="BS7" s="58" t="str">
        <f>TEXT(BQ5,"YYYY")&amp; " Q"&amp;$M$6</f>
        <v>2027 Q3</v>
      </c>
      <c r="BT7" s="58" t="str">
        <f>TEXT(BQ5,"YYYY")&amp; " Q"&amp;$N$6</f>
        <v>2027 Q4</v>
      </c>
      <c r="BU7" s="58" t="str">
        <f>TEXT(BQ5,"YYYY")&amp; " FY"</f>
        <v>2027 FY</v>
      </c>
      <c r="BV7" s="58" t="str">
        <f>TEXT(BV5,"YYYY")&amp; " Q"&amp;$K$6</f>
        <v>2028 Q1</v>
      </c>
      <c r="BW7" s="58" t="str">
        <f>TEXT(BV5,"YYYY")&amp; " Q"&amp;$L$6</f>
        <v>2028 Q2</v>
      </c>
      <c r="BX7" s="58" t="str">
        <f>TEXT(BV5,"YYYY")&amp; " Q"&amp;$M$6</f>
        <v>2028 Q3</v>
      </c>
      <c r="BY7" s="58" t="str">
        <f>TEXT(BV5,"YYYY")&amp; " Q"&amp;$N$6</f>
        <v>2028 Q4</v>
      </c>
      <c r="BZ7" s="59" t="str">
        <f>TEXT(BV5,"YYYY")&amp; " FY"</f>
        <v>2028 FY</v>
      </c>
    </row>
    <row r="8" spans="1:83" s="716" customFormat="1" ht="14.1" customHeight="1" x14ac:dyDescent="0.2">
      <c r="A8"/>
      <c r="B8"/>
    </row>
    <row r="9" spans="1:83" s="847" customFormat="1" ht="14.1" customHeight="1" x14ac:dyDescent="0.2">
      <c r="A9"/>
      <c r="B9"/>
      <c r="C9" s="857"/>
      <c r="D9" s="845"/>
      <c r="E9" s="845"/>
      <c r="F9" s="845"/>
      <c r="G9" s="845"/>
      <c r="H9" s="845"/>
      <c r="I9" s="845"/>
      <c r="J9" s="845"/>
      <c r="K9" s="845"/>
      <c r="L9" s="845"/>
      <c r="M9" s="845"/>
      <c r="N9" s="845"/>
      <c r="O9" s="845"/>
      <c r="P9" s="845"/>
      <c r="Q9" s="845"/>
      <c r="R9" s="845"/>
      <c r="S9" s="846"/>
      <c r="T9" s="846"/>
      <c r="U9" s="846"/>
      <c r="V9" s="846"/>
      <c r="W9" s="846"/>
      <c r="X9" s="846"/>
      <c r="Y9" s="846"/>
      <c r="Z9" s="846"/>
      <c r="AA9" s="846"/>
      <c r="AB9" s="846"/>
      <c r="AC9" s="846"/>
      <c r="AD9" s="846"/>
      <c r="AE9" s="846"/>
      <c r="AF9" s="846"/>
      <c r="AG9" s="846"/>
      <c r="AH9" s="846"/>
      <c r="AI9" s="846"/>
      <c r="AJ9" s="846"/>
      <c r="AK9" s="846"/>
      <c r="AL9" s="846"/>
      <c r="AM9" s="846"/>
      <c r="AN9" s="846"/>
      <c r="AO9" s="846"/>
      <c r="AP9" s="846"/>
      <c r="AQ9" s="846"/>
      <c r="AR9" s="846"/>
      <c r="AS9" s="846"/>
      <c r="AT9" s="846"/>
      <c r="AU9" s="846"/>
      <c r="AV9" s="846"/>
      <c r="AW9" s="846"/>
      <c r="AX9" s="846"/>
      <c r="AY9" s="846"/>
      <c r="AZ9" s="846"/>
      <c r="BA9" s="846"/>
      <c r="BB9" s="846"/>
      <c r="BC9" s="846"/>
      <c r="BD9" s="846"/>
      <c r="BE9" s="846"/>
      <c r="BF9" s="846"/>
      <c r="BG9" s="846"/>
      <c r="BH9" s="846"/>
      <c r="BI9" s="846"/>
      <c r="BJ9" s="846"/>
      <c r="BK9" s="846"/>
      <c r="BL9" s="846"/>
      <c r="BM9" s="846"/>
      <c r="BN9" s="846"/>
      <c r="BO9" s="846"/>
      <c r="BP9" s="846"/>
      <c r="BQ9" s="846"/>
      <c r="BR9" s="846"/>
      <c r="BS9" s="846"/>
      <c r="BT9" s="846"/>
      <c r="BU9" s="846"/>
      <c r="BV9" s="846"/>
      <c r="BW9" s="846"/>
      <c r="BX9" s="846"/>
      <c r="BY9" s="846"/>
      <c r="BZ9" s="846"/>
    </row>
    <row r="10" spans="1:83" s="716" customFormat="1" ht="14.1" customHeight="1" x14ac:dyDescent="0.2">
      <c r="A10"/>
      <c r="B10"/>
    </row>
    <row r="11" spans="1:83" s="716" customFormat="1" ht="14.1" customHeight="1" x14ac:dyDescent="0.2">
      <c r="A11"/>
      <c r="B11"/>
    </row>
    <row r="12" spans="1:83" s="716" customFormat="1" ht="14.1" customHeight="1" x14ac:dyDescent="0.2">
      <c r="A12"/>
      <c r="B12"/>
    </row>
    <row r="13" spans="1:83" s="716" customFormat="1" ht="14.1" customHeight="1" x14ac:dyDescent="0.2">
      <c r="A13"/>
      <c r="B13"/>
    </row>
    <row r="14" spans="1:83" s="716" customFormat="1" ht="14.1" customHeight="1" x14ac:dyDescent="0.2">
      <c r="A14"/>
      <c r="B14"/>
    </row>
    <row r="15" spans="1:83" s="716" customFormat="1" ht="14.1" customHeight="1" x14ac:dyDescent="0.2">
      <c r="A15"/>
      <c r="B15"/>
    </row>
    <row r="16" spans="1:83" s="716" customFormat="1" ht="14.1" customHeight="1" x14ac:dyDescent="0.2">
      <c r="A16"/>
      <c r="B16"/>
    </row>
    <row r="17" spans="1:78" s="716" customFormat="1" ht="14.1" customHeight="1" x14ac:dyDescent="0.2">
      <c r="A17"/>
      <c r="B17"/>
    </row>
    <row r="18" spans="1:78" s="716" customFormat="1" ht="14.1" customHeight="1" x14ac:dyDescent="0.2">
      <c r="A18"/>
      <c r="B18"/>
    </row>
    <row r="19" spans="1:78" s="716" customFormat="1" ht="14.1" customHeight="1" x14ac:dyDescent="0.2">
      <c r="A19"/>
      <c r="B19"/>
      <c r="C19" s="723"/>
      <c r="R19" s="723"/>
    </row>
    <row r="20" spans="1:78" s="716" customFormat="1" ht="14.1" customHeight="1" x14ac:dyDescent="0.2">
      <c r="A20"/>
      <c r="B20"/>
      <c r="D20" s="846"/>
      <c r="E20" s="846"/>
      <c r="F20" s="846"/>
      <c r="G20" s="846"/>
      <c r="H20" s="846"/>
      <c r="I20" s="846"/>
      <c r="J20" s="846"/>
      <c r="K20" s="846"/>
      <c r="L20" s="846"/>
      <c r="M20" s="846"/>
      <c r="N20" s="846"/>
      <c r="O20" s="846"/>
      <c r="P20" s="846"/>
      <c r="Q20" s="846"/>
      <c r="R20" s="848"/>
      <c r="S20" s="846"/>
      <c r="T20" s="846"/>
      <c r="U20" s="846"/>
      <c r="V20" s="846"/>
      <c r="W20" s="846"/>
      <c r="X20" s="846"/>
      <c r="Y20" s="846"/>
      <c r="Z20" s="846"/>
      <c r="AA20" s="846"/>
      <c r="AB20" s="846"/>
      <c r="AC20" s="846"/>
      <c r="AD20" s="846"/>
      <c r="AE20" s="846"/>
      <c r="AF20" s="846"/>
      <c r="AG20" s="846"/>
      <c r="AH20" s="846"/>
      <c r="AI20" s="846"/>
      <c r="AJ20" s="846"/>
      <c r="AK20" s="846"/>
      <c r="AL20" s="846"/>
      <c r="AM20" s="846"/>
      <c r="AN20" s="846"/>
      <c r="AO20" s="846"/>
      <c r="AP20" s="846"/>
      <c r="AQ20" s="846"/>
      <c r="AR20" s="846"/>
      <c r="AS20" s="846"/>
      <c r="AT20" s="846"/>
      <c r="AU20" s="846"/>
      <c r="AV20" s="846"/>
      <c r="AW20" s="846"/>
      <c r="AX20" s="846"/>
      <c r="AY20" s="846"/>
      <c r="AZ20" s="846"/>
      <c r="BA20" s="846"/>
      <c r="BB20" s="846"/>
      <c r="BC20" s="846"/>
      <c r="BD20" s="846"/>
      <c r="BE20" s="846"/>
      <c r="BF20" s="846"/>
      <c r="BG20" s="846"/>
      <c r="BH20" s="846"/>
      <c r="BI20" s="846"/>
      <c r="BJ20" s="846"/>
      <c r="BK20" s="846"/>
      <c r="BL20" s="846"/>
      <c r="BM20" s="846"/>
      <c r="BN20" s="846"/>
      <c r="BO20" s="846"/>
      <c r="BP20" s="846"/>
      <c r="BQ20" s="846"/>
      <c r="BR20" s="846"/>
      <c r="BS20" s="846"/>
      <c r="BT20" s="846"/>
      <c r="BU20" s="846"/>
      <c r="BV20" s="846"/>
      <c r="BW20" s="846"/>
      <c r="BX20" s="846"/>
      <c r="BY20" s="846"/>
      <c r="BZ20" s="846"/>
    </row>
    <row r="21" spans="1:78" s="723" customFormat="1" ht="14.1" customHeight="1" x14ac:dyDescent="0.2">
      <c r="A21"/>
      <c r="B21"/>
      <c r="D21" s="849"/>
      <c r="E21" s="849"/>
      <c r="F21" s="849"/>
      <c r="G21" s="849"/>
      <c r="H21" s="849"/>
      <c r="I21" s="849"/>
      <c r="J21" s="849"/>
      <c r="K21" s="849"/>
      <c r="L21" s="849"/>
      <c r="M21" s="849"/>
      <c r="N21" s="849"/>
      <c r="O21" s="849"/>
      <c r="P21" s="849"/>
      <c r="Q21" s="849"/>
      <c r="R21" s="850"/>
      <c r="S21" s="849"/>
      <c r="T21" s="849"/>
      <c r="U21" s="849"/>
      <c r="V21" s="849"/>
      <c r="W21" s="849"/>
      <c r="X21" s="849"/>
      <c r="Y21" s="849"/>
      <c r="Z21" s="849"/>
      <c r="AA21" s="849"/>
      <c r="AB21" s="849"/>
      <c r="AC21" s="849"/>
      <c r="AD21" s="849"/>
      <c r="AE21" s="849"/>
      <c r="AF21" s="849"/>
      <c r="AG21" s="849"/>
      <c r="AH21" s="849"/>
      <c r="AI21" s="849"/>
      <c r="AJ21" s="849"/>
      <c r="AK21" s="849"/>
      <c r="AL21" s="849"/>
      <c r="AM21" s="849"/>
      <c r="AN21" s="849"/>
      <c r="AO21" s="849"/>
      <c r="AP21" s="849"/>
      <c r="AQ21" s="849"/>
      <c r="AR21" s="849"/>
      <c r="AS21" s="849"/>
      <c r="AT21" s="849"/>
      <c r="AU21" s="849"/>
      <c r="AV21" s="849"/>
      <c r="AW21" s="849"/>
      <c r="AX21" s="849"/>
      <c r="AY21" s="849"/>
      <c r="AZ21" s="849"/>
      <c r="BA21" s="849"/>
      <c r="BB21" s="849"/>
      <c r="BC21" s="849"/>
      <c r="BD21" s="849"/>
      <c r="BE21" s="849"/>
      <c r="BF21" s="849"/>
      <c r="BG21" s="849"/>
      <c r="BH21" s="849"/>
      <c r="BI21" s="849"/>
      <c r="BJ21" s="849"/>
      <c r="BK21" s="849"/>
      <c r="BL21" s="849"/>
      <c r="BM21" s="849"/>
      <c r="BN21" s="849"/>
      <c r="BO21" s="849"/>
      <c r="BP21" s="849"/>
      <c r="BQ21" s="849"/>
      <c r="BR21" s="849"/>
      <c r="BS21" s="849"/>
      <c r="BT21" s="849"/>
      <c r="BU21" s="849"/>
      <c r="BV21" s="849"/>
      <c r="BW21" s="849"/>
      <c r="BX21" s="849"/>
      <c r="BY21" s="849"/>
      <c r="BZ21" s="849"/>
    </row>
    <row r="22" spans="1:78" s="716" customFormat="1" ht="14.1" customHeight="1" x14ac:dyDescent="0.2">
      <c r="A22"/>
      <c r="B22"/>
    </row>
    <row r="23" spans="1:78" s="716" customFormat="1" ht="14.1" customHeight="1" x14ac:dyDescent="0.2">
      <c r="A23"/>
      <c r="B23"/>
    </row>
    <row r="24" spans="1:78" s="716" customFormat="1" ht="14.1" customHeight="1" x14ac:dyDescent="0.2">
      <c r="A24"/>
      <c r="B24"/>
    </row>
    <row r="25" spans="1:78" s="716" customFormat="1" ht="14.1" customHeight="1" x14ac:dyDescent="0.2">
      <c r="A25"/>
      <c r="B25"/>
    </row>
    <row r="26" spans="1:78" s="716" customFormat="1" ht="14.1" customHeight="1" x14ac:dyDescent="0.2">
      <c r="A26"/>
      <c r="B26"/>
    </row>
    <row r="27" spans="1:78" s="716" customFormat="1" ht="14.1" customHeight="1" x14ac:dyDescent="0.2">
      <c r="A27"/>
      <c r="B27"/>
    </row>
    <row r="28" spans="1:78" s="716" customFormat="1" ht="14.1" customHeight="1" x14ac:dyDescent="0.2">
      <c r="A28"/>
      <c r="B28"/>
    </row>
    <row r="29" spans="1:78" s="716" customFormat="1" ht="14.1" customHeight="1" x14ac:dyDescent="0.2">
      <c r="A29"/>
      <c r="B29"/>
    </row>
    <row r="30" spans="1:78" s="716" customFormat="1" ht="14.1" customHeight="1" x14ac:dyDescent="0.2">
      <c r="A30"/>
      <c r="B30"/>
    </row>
    <row r="31" spans="1:78" s="716" customFormat="1" ht="14.1" customHeight="1" x14ac:dyDescent="0.2">
      <c r="A31"/>
      <c r="B31"/>
    </row>
    <row r="32" spans="1:78" s="716" customFormat="1" ht="14.1" customHeight="1" x14ac:dyDescent="0.2">
      <c r="A32"/>
      <c r="B32"/>
    </row>
    <row r="33" spans="1:78" s="716" customFormat="1" ht="14.1" customHeight="1" x14ac:dyDescent="0.2">
      <c r="A33"/>
      <c r="B33"/>
    </row>
    <row r="34" spans="1:78" s="716" customFormat="1" ht="14.1" customHeight="1" x14ac:dyDescent="0.2">
      <c r="A34"/>
      <c r="B34"/>
    </row>
    <row r="35" spans="1:78" s="716" customFormat="1" ht="14.1" customHeight="1" x14ac:dyDescent="0.2">
      <c r="A35"/>
      <c r="B35"/>
    </row>
    <row r="36" spans="1:78" s="716" customFormat="1" ht="14.1" customHeight="1" x14ac:dyDescent="0.2">
      <c r="A36"/>
      <c r="B36"/>
    </row>
    <row r="37" spans="1:78" s="716" customFormat="1" ht="14.1" customHeight="1" x14ac:dyDescent="0.2">
      <c r="A37"/>
      <c r="B37"/>
      <c r="C37" s="723"/>
      <c r="G37" s="723"/>
      <c r="H37" s="723"/>
      <c r="I37" s="723"/>
      <c r="J37" s="723"/>
      <c r="K37" s="723"/>
      <c r="L37" s="723"/>
      <c r="M37" s="723"/>
      <c r="N37" s="723"/>
      <c r="O37" s="723"/>
      <c r="P37" s="723"/>
      <c r="Q37" s="723"/>
      <c r="R37" s="723"/>
      <c r="S37" s="723"/>
      <c r="T37" s="723"/>
      <c r="U37" s="723"/>
      <c r="V37" s="723"/>
      <c r="W37" s="723"/>
      <c r="X37" s="723"/>
      <c r="Y37" s="723"/>
      <c r="Z37" s="723"/>
      <c r="AA37" s="723"/>
      <c r="AB37" s="723"/>
      <c r="AC37" s="723"/>
      <c r="AD37" s="723"/>
      <c r="AE37" s="723"/>
      <c r="AF37" s="723"/>
      <c r="AG37" s="723"/>
      <c r="AH37" s="723"/>
      <c r="AI37" s="723"/>
      <c r="AJ37" s="723"/>
      <c r="AK37" s="723"/>
      <c r="AL37" s="723"/>
      <c r="AM37" s="723"/>
      <c r="AN37" s="723"/>
      <c r="AO37" s="723"/>
      <c r="AP37" s="723"/>
      <c r="AQ37" s="723"/>
      <c r="AR37" s="723"/>
      <c r="AS37" s="723"/>
      <c r="AT37" s="723"/>
      <c r="AU37" s="723"/>
      <c r="AV37" s="723"/>
      <c r="AW37" s="723"/>
      <c r="AX37" s="723"/>
      <c r="AY37" s="723"/>
      <c r="AZ37" s="723"/>
      <c r="BA37" s="723"/>
      <c r="BB37" s="723"/>
      <c r="BC37" s="723"/>
      <c r="BD37" s="723"/>
      <c r="BE37" s="723"/>
      <c r="BF37" s="723"/>
      <c r="BG37" s="723"/>
      <c r="BH37" s="723"/>
      <c r="BI37" s="723"/>
      <c r="BJ37" s="723"/>
      <c r="BK37" s="723"/>
      <c r="BL37" s="723"/>
      <c r="BM37" s="723"/>
      <c r="BN37" s="723"/>
      <c r="BO37" s="723"/>
      <c r="BP37" s="723"/>
      <c r="BQ37" s="723"/>
      <c r="BR37" s="723"/>
      <c r="BS37" s="723"/>
      <c r="BT37" s="723"/>
      <c r="BU37" s="723"/>
      <c r="BV37" s="723"/>
      <c r="BW37" s="723"/>
      <c r="BX37" s="723"/>
      <c r="BY37" s="723"/>
      <c r="BZ37" s="723"/>
    </row>
    <row r="38" spans="1:78" s="716" customFormat="1" ht="14.1" customHeight="1" x14ac:dyDescent="0.2">
      <c r="A38"/>
      <c r="B38"/>
    </row>
    <row r="39" spans="1:78" s="716" customFormat="1" ht="14.1" customHeight="1" x14ac:dyDescent="0.2">
      <c r="A39"/>
      <c r="B39"/>
      <c r="G39" s="721"/>
      <c r="H39" s="721"/>
      <c r="I39" s="721"/>
      <c r="J39" s="721"/>
      <c r="K39" s="721"/>
      <c r="L39" s="721"/>
      <c r="M39" s="721"/>
      <c r="N39" s="721"/>
      <c r="O39" s="721"/>
      <c r="S39" s="721"/>
      <c r="T39" s="721"/>
      <c r="U39" s="721"/>
      <c r="V39" s="721"/>
      <c r="W39" s="721"/>
      <c r="X39" s="721"/>
      <c r="Y39" s="721"/>
      <c r="Z39" s="721"/>
      <c r="AA39" s="721"/>
      <c r="AB39" s="721"/>
      <c r="AC39" s="721"/>
      <c r="AD39" s="721"/>
      <c r="AE39" s="721"/>
      <c r="AF39" s="721"/>
      <c r="AG39" s="721"/>
      <c r="AH39" s="721"/>
      <c r="AI39" s="721"/>
      <c r="AJ39" s="721"/>
      <c r="AK39" s="721"/>
      <c r="AL39" s="721"/>
      <c r="AM39" s="721"/>
      <c r="AN39" s="721"/>
      <c r="AO39" s="721"/>
      <c r="AP39" s="721"/>
      <c r="AQ39" s="721"/>
      <c r="AR39" s="721"/>
      <c r="AS39" s="721"/>
      <c r="AT39" s="721"/>
      <c r="AU39" s="721"/>
      <c r="AV39" s="721"/>
      <c r="AW39" s="721"/>
      <c r="AX39" s="721"/>
      <c r="AY39" s="721"/>
      <c r="AZ39" s="721"/>
      <c r="BA39" s="721"/>
      <c r="BB39" s="721"/>
      <c r="BC39" s="721"/>
      <c r="BD39" s="721"/>
      <c r="BE39" s="721"/>
      <c r="BF39" s="721"/>
      <c r="BG39" s="721"/>
      <c r="BH39" s="721"/>
      <c r="BI39" s="721"/>
      <c r="BJ39" s="721"/>
      <c r="BK39" s="721"/>
      <c r="BL39" s="721"/>
      <c r="BM39" s="721"/>
      <c r="BN39" s="721"/>
      <c r="BO39" s="721"/>
      <c r="BP39" s="721"/>
      <c r="BQ39" s="721"/>
      <c r="BR39" s="721"/>
      <c r="BS39" s="721"/>
      <c r="BT39" s="721"/>
      <c r="BU39" s="721"/>
      <c r="BV39" s="721"/>
      <c r="BW39" s="721"/>
      <c r="BX39" s="721"/>
      <c r="BY39" s="721"/>
      <c r="BZ39" s="721"/>
    </row>
    <row r="40" spans="1:78" s="716" customFormat="1" ht="14.1" customHeight="1" x14ac:dyDescent="0.2">
      <c r="A40"/>
      <c r="B40"/>
      <c r="G40" s="721"/>
      <c r="H40" s="721"/>
      <c r="I40" s="721"/>
      <c r="J40" s="721"/>
      <c r="K40" s="721"/>
      <c r="L40" s="721"/>
      <c r="M40" s="721"/>
      <c r="N40" s="721"/>
      <c r="O40" s="721"/>
      <c r="S40" s="721"/>
      <c r="T40" s="721"/>
      <c r="U40" s="721"/>
      <c r="V40" s="721"/>
      <c r="W40" s="721"/>
      <c r="X40" s="721"/>
      <c r="Y40" s="721"/>
      <c r="Z40" s="721"/>
      <c r="AA40" s="721"/>
      <c r="AB40" s="721"/>
      <c r="AC40" s="721"/>
      <c r="AD40" s="721"/>
      <c r="AE40" s="721"/>
      <c r="AF40" s="721"/>
      <c r="AG40" s="721"/>
      <c r="AH40" s="721"/>
      <c r="AI40" s="721"/>
      <c r="AJ40" s="721"/>
      <c r="AK40" s="721"/>
      <c r="AL40" s="721"/>
      <c r="AM40" s="721"/>
      <c r="AN40" s="721"/>
      <c r="AO40" s="721"/>
      <c r="AP40" s="721"/>
      <c r="AQ40" s="721"/>
      <c r="AR40" s="721"/>
      <c r="AS40" s="721"/>
      <c r="AT40" s="721"/>
      <c r="AU40" s="721"/>
      <c r="AV40" s="721"/>
      <c r="AW40" s="721"/>
      <c r="AX40" s="721"/>
      <c r="AY40" s="721"/>
      <c r="AZ40" s="721"/>
      <c r="BA40" s="721"/>
      <c r="BB40" s="721"/>
      <c r="BC40" s="721"/>
      <c r="BD40" s="721"/>
      <c r="BE40" s="721"/>
      <c r="BF40" s="721"/>
      <c r="BG40" s="721"/>
      <c r="BH40" s="721"/>
      <c r="BI40" s="721"/>
      <c r="BJ40" s="721"/>
      <c r="BK40" s="721"/>
      <c r="BL40" s="721"/>
      <c r="BM40" s="721"/>
      <c r="BN40" s="721"/>
      <c r="BO40" s="721"/>
      <c r="BP40" s="721"/>
      <c r="BQ40" s="721"/>
      <c r="BR40" s="721"/>
      <c r="BS40" s="721"/>
      <c r="BT40" s="721"/>
      <c r="BU40" s="721"/>
      <c r="BV40" s="721"/>
      <c r="BW40" s="721"/>
      <c r="BX40" s="721"/>
      <c r="BY40" s="721"/>
      <c r="BZ40" s="721"/>
    </row>
    <row r="41" spans="1:78" s="716" customFormat="1" ht="14.1" customHeight="1" x14ac:dyDescent="0.2">
      <c r="A41"/>
      <c r="B41"/>
    </row>
    <row r="42" spans="1:78" s="851" customFormat="1" ht="14.1" customHeight="1" x14ac:dyDescent="0.2">
      <c r="A42"/>
      <c r="B42"/>
      <c r="C42" s="723"/>
    </row>
    <row r="43" spans="1:78" s="716" customFormat="1" ht="14.1" customHeight="1" x14ac:dyDescent="0.2">
      <c r="A43"/>
      <c r="B43"/>
    </row>
    <row r="44" spans="1:78" s="716" customFormat="1" ht="14.1" customHeight="1" x14ac:dyDescent="0.2">
      <c r="A44"/>
      <c r="B44"/>
    </row>
    <row r="45" spans="1:78" s="716" customFormat="1" ht="14.1" customHeight="1" x14ac:dyDescent="0.2">
      <c r="A45"/>
      <c r="B45"/>
    </row>
    <row r="46" spans="1:78" s="716" customFormat="1" ht="14.1" customHeight="1" x14ac:dyDescent="0.2">
      <c r="A46"/>
      <c r="B46"/>
    </row>
    <row r="47" spans="1:78" s="716" customFormat="1" ht="14.1" customHeight="1" x14ac:dyDescent="0.2">
      <c r="A47"/>
      <c r="B47"/>
      <c r="R47" s="852"/>
    </row>
    <row r="48" spans="1:78" s="716" customFormat="1" ht="14.1" customHeight="1" x14ac:dyDescent="0.2">
      <c r="A48"/>
      <c r="B48"/>
    </row>
    <row r="49" spans="1:78" s="716" customFormat="1" ht="14.1" customHeight="1" x14ac:dyDescent="0.2">
      <c r="A49"/>
      <c r="B49"/>
    </row>
    <row r="50" spans="1:78" s="716" customFormat="1" ht="14.1" customHeight="1" x14ac:dyDescent="0.2">
      <c r="A50"/>
      <c r="B50"/>
    </row>
    <row r="51" spans="1:78" s="716" customFormat="1" ht="14.1" customHeight="1" x14ac:dyDescent="0.2">
      <c r="A51"/>
      <c r="B51"/>
    </row>
    <row r="52" spans="1:78" ht="6" customHeight="1" x14ac:dyDescent="0.2"/>
    <row r="53" spans="1:78" ht="6" customHeight="1" x14ac:dyDescent="0.2"/>
    <row r="54" spans="1:78" ht="18" customHeight="1" x14ac:dyDescent="0.25">
      <c r="C54" s="136" t="str">
        <f>C3</f>
        <v>SAIA, Inc.</v>
      </c>
      <c r="D54" s="133"/>
      <c r="E54" s="133"/>
      <c r="F54" s="133"/>
      <c r="G54" s="133"/>
      <c r="H54" s="133"/>
      <c r="I54" s="133"/>
      <c r="J54" s="133"/>
      <c r="K54" s="133"/>
      <c r="L54" s="133"/>
      <c r="M54" s="133"/>
      <c r="N54" s="67"/>
      <c r="O54" s="144"/>
      <c r="R54" s="1374" t="str">
        <f>R3</f>
        <v>SAIA, Inc.</v>
      </c>
      <c r="S54" s="1374"/>
      <c r="T54" s="1374"/>
      <c r="U54" s="1374"/>
      <c r="V54" s="1374"/>
      <c r="W54" s="1374"/>
      <c r="X54" s="1374"/>
      <c r="Y54" s="1374"/>
      <c r="Z54" s="1374"/>
      <c r="AA54" s="1374"/>
      <c r="AB54" s="1374"/>
      <c r="AC54" s="1374"/>
      <c r="AD54" s="1374"/>
      <c r="AE54" s="1374"/>
      <c r="AF54" s="1374"/>
      <c r="AG54" s="1374"/>
      <c r="AH54" s="1374"/>
      <c r="AI54" s="1374"/>
      <c r="AJ54" s="1374"/>
      <c r="AK54" s="1374"/>
      <c r="AL54" s="1374"/>
      <c r="AM54" s="1374"/>
      <c r="AN54" s="1374"/>
      <c r="AO54" s="1374"/>
      <c r="AP54" s="1374"/>
      <c r="AQ54" s="1374"/>
      <c r="AR54" s="1374"/>
      <c r="AS54" s="1374"/>
      <c r="AT54" s="1374"/>
      <c r="AU54" s="1374"/>
      <c r="AV54" s="1374"/>
      <c r="AW54" s="1374"/>
      <c r="AX54" s="1374"/>
      <c r="AY54" s="1374"/>
      <c r="AZ54" s="1374"/>
      <c r="BA54" s="47"/>
      <c r="BB54" s="47"/>
      <c r="BC54" s="47"/>
      <c r="BD54" s="47"/>
      <c r="BE54" s="47"/>
      <c r="BF54" s="47"/>
      <c r="BG54" s="47"/>
      <c r="BH54" s="47"/>
      <c r="BI54" s="47"/>
      <c r="BJ54" s="47"/>
      <c r="BK54" s="47"/>
      <c r="BL54" s="47"/>
      <c r="BM54" s="47"/>
      <c r="BN54" s="47"/>
      <c r="BO54" s="47"/>
      <c r="BP54" s="47"/>
      <c r="BQ54" s="47"/>
      <c r="BR54" s="47"/>
      <c r="BS54" s="47"/>
      <c r="BT54" s="47"/>
      <c r="BU54" s="47"/>
      <c r="BV54" s="47"/>
      <c r="BW54" s="47"/>
      <c r="BX54" s="47"/>
      <c r="BY54" s="47"/>
      <c r="BZ54" s="47"/>
    </row>
    <row r="55" spans="1:78" ht="14.1" customHeight="1" x14ac:dyDescent="0.2">
      <c r="C55" s="133" t="str">
        <f>C4&amp; " Margins, Tax Rates and Percentages"</f>
        <v>Cash Flow Statement Margins, Tax Rates and Percentages</v>
      </c>
      <c r="D55" s="133"/>
      <c r="E55" s="133"/>
      <c r="F55" s="133"/>
      <c r="G55" s="133"/>
      <c r="H55" s="133"/>
      <c r="I55" s="133"/>
      <c r="J55" s="133"/>
      <c r="K55" s="133"/>
      <c r="L55" s="133"/>
      <c r="M55" s="133"/>
      <c r="N55" s="67" t="str">
        <f>N4</f>
        <v>DCF Share Value as of 12/31/2024:</v>
      </c>
      <c r="O55" s="144">
        <f>O4</f>
        <v>0</v>
      </c>
      <c r="R55" s="1387" t="str">
        <f>C55</f>
        <v>Cash Flow Statement Margins, Tax Rates and Percentages</v>
      </c>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48"/>
      <c r="BC55" s="48"/>
      <c r="BD55" s="48"/>
      <c r="BE55" s="48"/>
      <c r="BF55" s="48"/>
      <c r="BG55" s="48"/>
      <c r="BH55" s="48"/>
      <c r="BI55" s="48"/>
      <c r="BJ55" s="48"/>
      <c r="BK55" s="48"/>
      <c r="BL55" s="48"/>
      <c r="BM55" s="48"/>
      <c r="BN55" s="48"/>
      <c r="BO55" s="48"/>
      <c r="BP55" s="48"/>
      <c r="BQ55" s="48"/>
      <c r="BR55" s="48"/>
      <c r="BS55" s="48"/>
      <c r="BT55" s="48"/>
      <c r="BU55" s="48"/>
      <c r="BV55" s="48"/>
      <c r="BW55" s="48"/>
      <c r="BX55" s="48"/>
      <c r="BY55" s="48"/>
      <c r="BZ55" s="48"/>
    </row>
    <row r="56" spans="1:78" ht="14.1" customHeight="1" x14ac:dyDescent="0.2">
      <c r="C56" s="151" t="str">
        <f>C5</f>
        <v>($ in millions, fiscal year ending December,31)</v>
      </c>
      <c r="D56" s="133"/>
      <c r="E56" s="133"/>
      <c r="F56" s="133"/>
      <c r="G56" s="133"/>
      <c r="H56" s="133"/>
      <c r="I56" s="133"/>
      <c r="J56" s="133"/>
      <c r="K56" s="133"/>
      <c r="L56" s="133"/>
      <c r="M56" s="133"/>
      <c r="N56" s="67" t="str">
        <f>N5</f>
        <v>Market Share Price as of 12/31/2024:</v>
      </c>
      <c r="O56" s="65">
        <f>O5</f>
        <v>455.73</v>
      </c>
      <c r="R56" s="144" t="str">
        <f>"Quarterly and Year Basis"</f>
        <v>Quarterly and Year Basis</v>
      </c>
      <c r="S56" s="95"/>
      <c r="T56" s="95"/>
      <c r="U56" s="95"/>
      <c r="V56" s="95"/>
      <c r="W56" s="95"/>
      <c r="X56" s="95"/>
      <c r="Y56" s="95"/>
      <c r="Z56" s="95"/>
      <c r="AA56" s="95"/>
      <c r="AB56" s="95"/>
      <c r="AC56" s="95"/>
      <c r="AD56" s="95"/>
      <c r="AE56" s="95"/>
      <c r="AF56" s="95"/>
      <c r="AG56" s="95"/>
      <c r="AH56" s="95"/>
      <c r="AI56" s="95"/>
      <c r="AJ56" s="95"/>
      <c r="AK56" s="95"/>
      <c r="AL56" s="95"/>
      <c r="AM56" s="95"/>
      <c r="AN56" s="95"/>
      <c r="AO56" s="95"/>
      <c r="AP56" s="95"/>
      <c r="AQ56" s="95"/>
      <c r="AR56" s="95"/>
      <c r="AS56" s="95"/>
      <c r="AT56" s="95"/>
      <c r="AU56" s="95"/>
      <c r="AV56" s="95"/>
      <c r="AW56" s="95"/>
      <c r="AX56" s="95"/>
      <c r="AY56" s="95"/>
      <c r="AZ56" s="95"/>
      <c r="BA56" s="95"/>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row>
    <row r="57" spans="1:78" ht="14.1" customHeight="1" x14ac:dyDescent="0.2">
      <c r="C57" s="170"/>
      <c r="D57" s="97">
        <f>D7</f>
        <v>43100</v>
      </c>
      <c r="E57" s="98">
        <f t="shared" ref="E57:O57" si="1">E7</f>
        <v>43465</v>
      </c>
      <c r="F57" s="98">
        <f t="shared" si="1"/>
        <v>43830</v>
      </c>
      <c r="G57" s="98">
        <f t="shared" si="1"/>
        <v>44196</v>
      </c>
      <c r="H57" s="98">
        <f t="shared" si="1"/>
        <v>44561</v>
      </c>
      <c r="I57" s="98">
        <f t="shared" si="1"/>
        <v>44926</v>
      </c>
      <c r="J57" s="98">
        <f t="shared" si="1"/>
        <v>45291</v>
      </c>
      <c r="K57" s="137">
        <f t="shared" si="1"/>
        <v>45657</v>
      </c>
      <c r="L57" s="138">
        <f t="shared" si="1"/>
        <v>46022</v>
      </c>
      <c r="M57" s="138">
        <f t="shared" si="1"/>
        <v>46387</v>
      </c>
      <c r="N57" s="138">
        <f t="shared" si="1"/>
        <v>46752</v>
      </c>
      <c r="O57" s="139">
        <f t="shared" si="1"/>
        <v>47118</v>
      </c>
      <c r="R57" s="96"/>
      <c r="S57" s="1395">
        <f>S5</f>
        <v>43100</v>
      </c>
      <c r="T57" s="1396"/>
      <c r="U57" s="1396"/>
      <c r="V57" s="1396"/>
      <c r="W57" s="1397"/>
      <c r="X57" s="1395">
        <f>X5</f>
        <v>43465</v>
      </c>
      <c r="Y57" s="1396"/>
      <c r="Z57" s="1396"/>
      <c r="AA57" s="1396"/>
      <c r="AB57" s="1397"/>
      <c r="AC57" s="1395">
        <f>AC5</f>
        <v>43830</v>
      </c>
      <c r="AD57" s="1396"/>
      <c r="AE57" s="1396"/>
      <c r="AF57" s="1396"/>
      <c r="AG57" s="1397"/>
      <c r="AH57" s="1395">
        <f>AH5</f>
        <v>44196</v>
      </c>
      <c r="AI57" s="1396"/>
      <c r="AJ57" s="1396"/>
      <c r="AK57" s="1396"/>
      <c r="AL57" s="1397"/>
      <c r="AM57" s="1395">
        <f>AM5</f>
        <v>44561</v>
      </c>
      <c r="AN57" s="1396"/>
      <c r="AO57" s="1396"/>
      <c r="AP57" s="1396"/>
      <c r="AQ57" s="1397"/>
      <c r="AR57" s="1395">
        <f>AR5</f>
        <v>44926</v>
      </c>
      <c r="AS57" s="1396"/>
      <c r="AT57" s="1396"/>
      <c r="AU57" s="1396"/>
      <c r="AV57" s="1397"/>
      <c r="AW57" s="1395">
        <f>AW5</f>
        <v>45291</v>
      </c>
      <c r="AX57" s="1396"/>
      <c r="AY57" s="1396"/>
      <c r="AZ57" s="1396"/>
      <c r="BA57" s="1397"/>
      <c r="BB57" s="1389">
        <f>BB5</f>
        <v>45657</v>
      </c>
      <c r="BC57" s="1390"/>
      <c r="BD57" s="1390"/>
      <c r="BE57" s="1390"/>
      <c r="BF57" s="1391"/>
      <c r="BG57" s="1392">
        <f>BG5</f>
        <v>46022</v>
      </c>
      <c r="BH57" s="1393"/>
      <c r="BI57" s="1393"/>
      <c r="BJ57" s="1393"/>
      <c r="BK57" s="1394"/>
      <c r="BL57" s="1392">
        <f>BL5</f>
        <v>46387</v>
      </c>
      <c r="BM57" s="1393"/>
      <c r="BN57" s="1393"/>
      <c r="BO57" s="1393"/>
      <c r="BP57" s="1394"/>
      <c r="BQ57" s="1392">
        <f>BQ5</f>
        <v>46752</v>
      </c>
      <c r="BR57" s="1393"/>
      <c r="BS57" s="1393"/>
      <c r="BT57" s="1393"/>
      <c r="BU57" s="1394"/>
      <c r="BV57" s="1392">
        <f>BV5</f>
        <v>47118</v>
      </c>
      <c r="BW57" s="1393"/>
      <c r="BX57" s="1393"/>
      <c r="BY57" s="1393"/>
      <c r="BZ57" s="1393"/>
    </row>
    <row r="58" spans="1:78" s="143" customFormat="1" ht="14.1" customHeight="1" x14ac:dyDescent="0.25">
      <c r="A58"/>
      <c r="B58"/>
      <c r="C58" s="149"/>
      <c r="D58" s="94"/>
      <c r="E58" s="94"/>
      <c r="F58" s="94"/>
      <c r="G58" s="94"/>
      <c r="H58" s="94"/>
      <c r="I58" s="94"/>
      <c r="J58" s="94"/>
      <c r="K58" s="94"/>
      <c r="L58" s="94"/>
      <c r="M58" s="94"/>
      <c r="N58" s="94"/>
      <c r="O58" s="94"/>
      <c r="P58" s="60"/>
      <c r="Q58" s="60"/>
      <c r="R58" s="170"/>
      <c r="S58" s="96" t="str">
        <f t="shared" ref="S58:BZ58" si="2">S7</f>
        <v>2017 Q1</v>
      </c>
      <c r="T58" s="140" t="str">
        <f t="shared" si="2"/>
        <v>2017 Q2</v>
      </c>
      <c r="U58" s="140" t="str">
        <f t="shared" si="2"/>
        <v>2017 Q3</v>
      </c>
      <c r="V58" s="140" t="str">
        <f t="shared" si="2"/>
        <v>2017 Q4</v>
      </c>
      <c r="W58" s="140" t="str">
        <f t="shared" si="2"/>
        <v>2017 FY</v>
      </c>
      <c r="X58" s="140" t="str">
        <f t="shared" si="2"/>
        <v>2018 Q1</v>
      </c>
      <c r="Y58" s="140" t="str">
        <f t="shared" si="2"/>
        <v>2018 Q2</v>
      </c>
      <c r="Z58" s="140" t="str">
        <f t="shared" si="2"/>
        <v>2018 Q3</v>
      </c>
      <c r="AA58" s="140" t="str">
        <f t="shared" si="2"/>
        <v>2018 Q4</v>
      </c>
      <c r="AB58" s="140" t="str">
        <f t="shared" si="2"/>
        <v>2018 FY</v>
      </c>
      <c r="AC58" s="140" t="str">
        <f t="shared" si="2"/>
        <v>2019 Q1</v>
      </c>
      <c r="AD58" s="140" t="str">
        <f t="shared" si="2"/>
        <v>2019 Q2</v>
      </c>
      <c r="AE58" s="140" t="str">
        <f t="shared" si="2"/>
        <v>2019 Q3</v>
      </c>
      <c r="AF58" s="140" t="str">
        <f t="shared" si="2"/>
        <v>2019 Q4</v>
      </c>
      <c r="AG58" s="140" t="str">
        <f t="shared" si="2"/>
        <v>2019 FY</v>
      </c>
      <c r="AH58" s="140" t="str">
        <f t="shared" si="2"/>
        <v>2020 Q1</v>
      </c>
      <c r="AI58" s="140" t="str">
        <f t="shared" si="2"/>
        <v>2020 Q2</v>
      </c>
      <c r="AJ58" s="140" t="str">
        <f t="shared" si="2"/>
        <v>2020 Q3</v>
      </c>
      <c r="AK58" s="140" t="str">
        <f t="shared" si="2"/>
        <v>2020 Q4</v>
      </c>
      <c r="AL58" s="140" t="str">
        <f t="shared" si="2"/>
        <v>2020 FY</v>
      </c>
      <c r="AM58" s="140" t="str">
        <f t="shared" si="2"/>
        <v>2021 Q1</v>
      </c>
      <c r="AN58" s="140" t="str">
        <f t="shared" si="2"/>
        <v>2021 Q2</v>
      </c>
      <c r="AO58" s="140" t="str">
        <f t="shared" si="2"/>
        <v>2021 Q3</v>
      </c>
      <c r="AP58" s="140" t="str">
        <f t="shared" si="2"/>
        <v>2021 Q4</v>
      </c>
      <c r="AQ58" s="140" t="str">
        <f t="shared" si="2"/>
        <v>2021 FY</v>
      </c>
      <c r="AR58" s="140" t="str">
        <f t="shared" si="2"/>
        <v>2022 Q1</v>
      </c>
      <c r="AS58" s="140" t="str">
        <f t="shared" si="2"/>
        <v>2022 Q2</v>
      </c>
      <c r="AT58" s="140" t="str">
        <f t="shared" si="2"/>
        <v>2022 Q3</v>
      </c>
      <c r="AU58" s="140" t="str">
        <f t="shared" si="2"/>
        <v>2022 Q4</v>
      </c>
      <c r="AV58" s="140" t="str">
        <f t="shared" si="2"/>
        <v>2022 FY</v>
      </c>
      <c r="AW58" s="140" t="str">
        <f t="shared" si="2"/>
        <v>2023 Q1</v>
      </c>
      <c r="AX58" s="140" t="str">
        <f t="shared" si="2"/>
        <v>2023 Q2</v>
      </c>
      <c r="AY58" s="140" t="str">
        <f t="shared" si="2"/>
        <v>2023 Q3</v>
      </c>
      <c r="AZ58" s="140" t="str">
        <f t="shared" si="2"/>
        <v>2023 Q4</v>
      </c>
      <c r="BA58" s="140" t="str">
        <f t="shared" si="2"/>
        <v>2023 FY</v>
      </c>
      <c r="BB58" s="140" t="str">
        <f t="shared" si="2"/>
        <v>2024 Q1</v>
      </c>
      <c r="BC58" s="140" t="str">
        <f t="shared" si="2"/>
        <v>2024 Q2</v>
      </c>
      <c r="BD58" s="140" t="str">
        <f t="shared" si="2"/>
        <v>2024 Q3</v>
      </c>
      <c r="BE58" s="141" t="str">
        <f t="shared" si="2"/>
        <v>2024 Q4</v>
      </c>
      <c r="BF58" s="141" t="str">
        <f t="shared" si="2"/>
        <v>2024 FY</v>
      </c>
      <c r="BG58" s="141" t="str">
        <f t="shared" si="2"/>
        <v>2025 Q1</v>
      </c>
      <c r="BH58" s="141" t="str">
        <f t="shared" si="2"/>
        <v>2025 Q2</v>
      </c>
      <c r="BI58" s="141" t="str">
        <f t="shared" si="2"/>
        <v>2025 Q3</v>
      </c>
      <c r="BJ58" s="141" t="str">
        <f t="shared" si="2"/>
        <v>2025 Q4</v>
      </c>
      <c r="BK58" s="141" t="str">
        <f t="shared" si="2"/>
        <v>2025 FY</v>
      </c>
      <c r="BL58" s="141" t="str">
        <f t="shared" si="2"/>
        <v>2026 Q1</v>
      </c>
      <c r="BM58" s="141" t="str">
        <f t="shared" si="2"/>
        <v>2026 Q2</v>
      </c>
      <c r="BN58" s="141" t="str">
        <f t="shared" si="2"/>
        <v>2026 Q3</v>
      </c>
      <c r="BO58" s="141" t="str">
        <f t="shared" si="2"/>
        <v>2026 Q4</v>
      </c>
      <c r="BP58" s="141" t="str">
        <f t="shared" si="2"/>
        <v>2026 FY</v>
      </c>
      <c r="BQ58" s="141" t="str">
        <f t="shared" si="2"/>
        <v>2027 Q1</v>
      </c>
      <c r="BR58" s="141" t="str">
        <f t="shared" si="2"/>
        <v>2027 Q2</v>
      </c>
      <c r="BS58" s="141" t="str">
        <f t="shared" si="2"/>
        <v>2027 Q3</v>
      </c>
      <c r="BT58" s="141" t="str">
        <f t="shared" si="2"/>
        <v>2027 Q4</v>
      </c>
      <c r="BU58" s="141" t="str">
        <f t="shared" si="2"/>
        <v>2027 FY</v>
      </c>
      <c r="BV58" s="141" t="str">
        <f t="shared" si="2"/>
        <v>2028 Q1</v>
      </c>
      <c r="BW58" s="141" t="str">
        <f t="shared" si="2"/>
        <v>2028 Q2</v>
      </c>
      <c r="BX58" s="141" t="str">
        <f t="shared" si="2"/>
        <v>2028 Q3</v>
      </c>
      <c r="BY58" s="141" t="str">
        <f t="shared" si="2"/>
        <v>2028 Q4</v>
      </c>
      <c r="BZ58" s="142" t="str">
        <f t="shared" si="2"/>
        <v>2028 FY</v>
      </c>
    </row>
    <row r="59" spans="1:78" s="93" customFormat="1" ht="14.1" customHeight="1" x14ac:dyDescent="0.2">
      <c r="A59" s="150"/>
      <c r="B59" s="150"/>
      <c r="C59" s="757"/>
      <c r="D59" s="757"/>
      <c r="E59" s="757"/>
      <c r="F59" s="757"/>
      <c r="G59" s="757"/>
      <c r="H59" s="757"/>
      <c r="I59" s="757"/>
      <c r="J59" s="757"/>
      <c r="K59" s="757"/>
      <c r="L59" s="757"/>
      <c r="M59" s="757"/>
      <c r="N59" s="758"/>
      <c r="O59" s="758"/>
      <c r="P59" s="759"/>
      <c r="Q59" s="759"/>
      <c r="R59" s="759"/>
      <c r="S59" s="759"/>
      <c r="T59" s="759"/>
      <c r="U59" s="759"/>
      <c r="V59" s="759"/>
      <c r="W59" s="759"/>
      <c r="X59" s="759"/>
      <c r="Y59" s="759"/>
      <c r="Z59" s="759"/>
      <c r="AA59" s="759"/>
      <c r="AB59" s="759"/>
      <c r="AC59" s="759"/>
      <c r="AD59" s="759"/>
      <c r="AE59" s="759"/>
      <c r="AF59" s="759"/>
      <c r="AG59" s="759"/>
      <c r="AH59" s="759"/>
      <c r="AI59" s="759"/>
      <c r="AJ59" s="759"/>
      <c r="AK59" s="759"/>
      <c r="AL59" s="759"/>
      <c r="AM59" s="759"/>
      <c r="AN59" s="759"/>
      <c r="AO59" s="759"/>
      <c r="AP59" s="759"/>
      <c r="AQ59" s="759"/>
      <c r="AR59" s="759"/>
      <c r="AS59" s="759"/>
      <c r="AT59" s="759"/>
      <c r="AU59" s="759"/>
      <c r="AV59" s="759"/>
      <c r="AW59" s="759"/>
      <c r="AX59" s="759"/>
      <c r="AY59" s="759"/>
      <c r="AZ59" s="759"/>
      <c r="BA59" s="759"/>
      <c r="BB59" s="759"/>
      <c r="BC59" s="759"/>
      <c r="BD59" s="759"/>
      <c r="BE59" s="759"/>
      <c r="BF59" s="759"/>
      <c r="BG59" s="759"/>
      <c r="BH59" s="759"/>
      <c r="BI59" s="759"/>
      <c r="BJ59" s="759"/>
      <c r="BK59" s="759"/>
      <c r="BL59" s="759"/>
      <c r="BM59" s="759"/>
      <c r="BN59" s="759"/>
      <c r="BO59" s="759"/>
      <c r="BP59" s="759"/>
      <c r="BQ59" s="759"/>
      <c r="BR59" s="759"/>
      <c r="BS59" s="759"/>
      <c r="BT59" s="759"/>
      <c r="BU59" s="759"/>
      <c r="BV59" s="759"/>
      <c r="BW59" s="759"/>
      <c r="BX59" s="759"/>
      <c r="BY59" s="759"/>
      <c r="BZ59" s="759"/>
    </row>
    <row r="60" spans="1:78" s="93" customFormat="1" ht="14.1" customHeight="1" x14ac:dyDescent="0.2">
      <c r="A60"/>
      <c r="B60"/>
      <c r="C60" s="60"/>
      <c r="D60" s="759"/>
      <c r="E60" s="759"/>
      <c r="F60" s="759"/>
      <c r="G60" s="759"/>
      <c r="H60" s="759"/>
      <c r="I60" s="759"/>
      <c r="J60" s="759"/>
      <c r="K60" s="759"/>
      <c r="L60" s="759"/>
      <c r="M60" s="759"/>
      <c r="N60" s="759"/>
      <c r="O60" s="759"/>
      <c r="P60" s="759"/>
      <c r="Q60" s="759"/>
      <c r="R60" s="759"/>
      <c r="S60" s="759"/>
      <c r="T60" s="759"/>
      <c r="U60" s="759"/>
      <c r="V60" s="759"/>
      <c r="W60" s="759"/>
      <c r="X60" s="759"/>
      <c r="Y60" s="759"/>
      <c r="Z60" s="759"/>
      <c r="AA60" s="759"/>
      <c r="AB60" s="759"/>
      <c r="AC60" s="759"/>
      <c r="AD60" s="759"/>
      <c r="AE60" s="759"/>
      <c r="AF60" s="759"/>
      <c r="AG60" s="759"/>
      <c r="AH60" s="759"/>
      <c r="AI60" s="759"/>
      <c r="AJ60" s="759"/>
      <c r="AK60" s="759"/>
      <c r="AL60" s="759"/>
      <c r="AM60" s="759"/>
      <c r="AN60" s="759"/>
      <c r="AO60" s="759"/>
      <c r="AP60" s="759"/>
      <c r="AQ60" s="759"/>
      <c r="AR60" s="759"/>
      <c r="AS60" s="759"/>
      <c r="AT60" s="759"/>
      <c r="AU60" s="759"/>
      <c r="AV60" s="759"/>
      <c r="AW60" s="759"/>
      <c r="AX60" s="759"/>
      <c r="AY60" s="759"/>
      <c r="AZ60" s="759"/>
      <c r="BA60" s="759"/>
      <c r="BB60" s="759"/>
      <c r="BC60" s="759"/>
      <c r="BD60" s="759"/>
      <c r="BE60" s="759"/>
      <c r="BF60" s="759"/>
      <c r="BG60" s="759"/>
      <c r="BH60" s="759"/>
      <c r="BI60" s="759"/>
      <c r="BJ60" s="759"/>
      <c r="BK60" s="759"/>
      <c r="BL60" s="759"/>
      <c r="BM60" s="759"/>
      <c r="BN60" s="759"/>
      <c r="BO60" s="759"/>
      <c r="BP60" s="759"/>
      <c r="BQ60" s="759"/>
      <c r="BR60" s="759"/>
      <c r="BS60" s="759"/>
      <c r="BT60" s="759"/>
      <c r="BU60" s="759"/>
      <c r="BV60" s="759"/>
      <c r="BW60" s="759"/>
      <c r="BX60" s="759"/>
      <c r="BY60" s="759"/>
      <c r="BZ60" s="759"/>
    </row>
    <row r="61" spans="1:78" s="145" customFormat="1" ht="14.1" customHeight="1" x14ac:dyDescent="0.2">
      <c r="A61"/>
      <c r="B61"/>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row>
    <row r="62" spans="1:78" s="854" customFormat="1" ht="14.1" customHeight="1" x14ac:dyDescent="0.2">
      <c r="A62"/>
      <c r="B62"/>
      <c r="C62" s="103"/>
      <c r="D62" s="853"/>
      <c r="E62" s="853"/>
      <c r="F62" s="853"/>
      <c r="G62" s="853"/>
      <c r="H62" s="853"/>
      <c r="I62" s="853"/>
      <c r="J62" s="853"/>
      <c r="K62" s="853"/>
      <c r="L62" s="853"/>
      <c r="M62" s="853"/>
      <c r="N62" s="853"/>
      <c r="O62" s="853"/>
      <c r="P62" s="853"/>
      <c r="Q62" s="853"/>
      <c r="R62" s="853"/>
      <c r="S62" s="853"/>
      <c r="T62" s="853"/>
      <c r="U62" s="853"/>
      <c r="V62" s="853"/>
      <c r="W62" s="853"/>
      <c r="X62" s="853"/>
      <c r="Y62" s="853"/>
      <c r="Z62" s="853"/>
      <c r="AA62" s="853"/>
      <c r="AB62" s="853"/>
      <c r="AC62" s="853"/>
      <c r="AD62" s="853"/>
      <c r="AE62" s="853"/>
      <c r="AF62" s="853"/>
      <c r="AG62" s="853"/>
      <c r="AH62" s="853"/>
      <c r="AI62" s="853"/>
      <c r="AJ62" s="853"/>
      <c r="AK62" s="853"/>
      <c r="AL62" s="853"/>
      <c r="AM62" s="853"/>
      <c r="AN62" s="853"/>
      <c r="AO62" s="853"/>
      <c r="AP62" s="853"/>
      <c r="AQ62" s="853"/>
      <c r="AR62" s="853"/>
      <c r="AS62" s="853"/>
      <c r="AT62" s="853"/>
      <c r="AU62" s="853"/>
      <c r="AV62" s="853"/>
      <c r="AW62" s="853"/>
      <c r="AX62" s="853"/>
      <c r="AY62" s="853"/>
      <c r="AZ62" s="853"/>
      <c r="BA62" s="853"/>
      <c r="BB62" s="853"/>
      <c r="BC62" s="853"/>
      <c r="BD62" s="853"/>
      <c r="BE62" s="853"/>
      <c r="BF62" s="853"/>
      <c r="BG62" s="853"/>
      <c r="BH62" s="853"/>
      <c r="BI62" s="853"/>
      <c r="BJ62" s="853"/>
      <c r="BK62" s="853"/>
      <c r="BL62" s="853"/>
      <c r="BM62" s="853"/>
      <c r="BN62" s="853"/>
      <c r="BO62" s="853"/>
      <c r="BP62" s="853"/>
      <c r="BQ62" s="853"/>
      <c r="BR62" s="853"/>
      <c r="BS62" s="853"/>
      <c r="BT62" s="853"/>
      <c r="BU62" s="853"/>
      <c r="BV62" s="853"/>
      <c r="BW62" s="853"/>
      <c r="BX62" s="853"/>
      <c r="BY62" s="853"/>
      <c r="BZ62" s="853"/>
    </row>
    <row r="63" spans="1:78" s="758" customFormat="1" ht="14.1" customHeight="1" x14ac:dyDescent="0.2">
      <c r="A63"/>
      <c r="B63"/>
      <c r="C63" s="60"/>
      <c r="D63" s="759"/>
      <c r="E63" s="759"/>
      <c r="F63" s="759"/>
      <c r="G63" s="759"/>
      <c r="H63" s="759"/>
      <c r="I63" s="759"/>
      <c r="J63" s="759"/>
      <c r="K63" s="759"/>
      <c r="L63" s="759"/>
      <c r="M63" s="759"/>
      <c r="N63" s="759"/>
      <c r="O63" s="759"/>
      <c r="P63" s="759"/>
      <c r="Q63" s="759"/>
      <c r="R63" s="759"/>
      <c r="S63" s="759"/>
      <c r="T63" s="759"/>
      <c r="U63" s="759"/>
      <c r="V63" s="759"/>
      <c r="W63" s="759"/>
      <c r="X63" s="759"/>
      <c r="Y63" s="759"/>
      <c r="Z63" s="759"/>
      <c r="AA63" s="759"/>
      <c r="AB63" s="759"/>
      <c r="AC63" s="759"/>
      <c r="AD63" s="759"/>
      <c r="AE63" s="759"/>
      <c r="AF63" s="759"/>
      <c r="AG63" s="759"/>
      <c r="AH63" s="759"/>
      <c r="AI63" s="759"/>
      <c r="AJ63" s="759"/>
      <c r="AK63" s="759"/>
      <c r="AL63" s="759"/>
      <c r="AM63" s="759"/>
      <c r="AN63" s="759"/>
      <c r="AO63" s="759"/>
      <c r="AP63" s="759"/>
      <c r="AQ63" s="759"/>
      <c r="AR63" s="759"/>
      <c r="AS63" s="759"/>
      <c r="AT63" s="759"/>
      <c r="AU63" s="759"/>
      <c r="AV63" s="759"/>
      <c r="AW63" s="759"/>
      <c r="AX63" s="759"/>
      <c r="AY63" s="759"/>
      <c r="AZ63" s="759"/>
      <c r="BA63" s="759"/>
      <c r="BB63" s="759"/>
      <c r="BC63" s="759"/>
      <c r="BD63" s="759"/>
      <c r="BE63" s="759"/>
      <c r="BF63" s="759"/>
      <c r="BG63" s="759"/>
      <c r="BH63" s="759"/>
      <c r="BI63" s="759"/>
      <c r="BJ63" s="759"/>
      <c r="BK63" s="759"/>
      <c r="BL63" s="759"/>
      <c r="BM63" s="759"/>
      <c r="BN63" s="759"/>
      <c r="BO63" s="759"/>
      <c r="BP63" s="759"/>
      <c r="BQ63" s="759"/>
      <c r="BR63" s="759"/>
      <c r="BS63" s="759"/>
      <c r="BT63" s="759"/>
      <c r="BU63" s="759"/>
      <c r="BV63" s="759"/>
      <c r="BW63" s="759"/>
      <c r="BX63" s="759"/>
      <c r="BY63" s="759"/>
      <c r="BZ63" s="759"/>
    </row>
    <row r="64" spans="1:78" s="758" customFormat="1" ht="14.1" customHeight="1" x14ac:dyDescent="0.2">
      <c r="A64"/>
      <c r="B64"/>
      <c r="C64" s="60"/>
      <c r="D64" s="759"/>
      <c r="E64" s="759"/>
      <c r="F64" s="759"/>
      <c r="G64" s="759"/>
      <c r="H64" s="759"/>
      <c r="I64" s="759"/>
      <c r="J64" s="759"/>
      <c r="K64" s="759"/>
      <c r="L64" s="759"/>
      <c r="M64" s="759"/>
      <c r="N64" s="759"/>
      <c r="O64" s="759"/>
      <c r="P64" s="759"/>
      <c r="Q64" s="759"/>
      <c r="R64" s="759"/>
      <c r="S64" s="759"/>
      <c r="T64" s="759"/>
      <c r="U64" s="759"/>
      <c r="V64" s="759"/>
      <c r="W64" s="759"/>
      <c r="X64" s="759"/>
      <c r="Y64" s="759"/>
      <c r="Z64" s="759"/>
      <c r="AA64" s="759"/>
      <c r="AB64" s="759"/>
      <c r="AC64" s="759"/>
      <c r="AD64" s="759"/>
      <c r="AE64" s="759"/>
      <c r="AF64" s="759"/>
      <c r="AG64" s="759"/>
      <c r="AH64" s="759"/>
      <c r="AI64" s="759"/>
      <c r="AJ64" s="759"/>
      <c r="AK64" s="759"/>
      <c r="AL64" s="759"/>
      <c r="AM64" s="759"/>
      <c r="AN64" s="759"/>
      <c r="AO64" s="759"/>
      <c r="AP64" s="759"/>
      <c r="AQ64" s="759"/>
      <c r="AR64" s="759"/>
      <c r="AS64" s="759"/>
      <c r="AT64" s="759"/>
      <c r="AU64" s="759"/>
      <c r="AV64" s="759"/>
      <c r="AW64" s="759"/>
      <c r="AX64" s="759"/>
      <c r="AY64" s="759"/>
      <c r="AZ64" s="759"/>
      <c r="BA64" s="759"/>
      <c r="BB64" s="759"/>
      <c r="BC64" s="759"/>
      <c r="BD64" s="759"/>
      <c r="BE64" s="759"/>
      <c r="BF64" s="759"/>
      <c r="BG64" s="759"/>
      <c r="BH64" s="759"/>
      <c r="BI64" s="759"/>
      <c r="BJ64" s="759"/>
      <c r="BK64" s="759"/>
      <c r="BL64" s="759"/>
      <c r="BM64" s="759"/>
      <c r="BN64" s="759"/>
      <c r="BO64" s="759"/>
      <c r="BP64" s="759"/>
      <c r="BQ64" s="759"/>
      <c r="BR64" s="759"/>
      <c r="BS64" s="759"/>
      <c r="BT64" s="759"/>
      <c r="BU64" s="759"/>
      <c r="BV64" s="759"/>
      <c r="BW64" s="759"/>
      <c r="BX64" s="759"/>
      <c r="BY64" s="759"/>
      <c r="BZ64" s="759"/>
    </row>
    <row r="65" spans="1:79" s="758" customFormat="1" ht="14.1" customHeight="1" x14ac:dyDescent="0.2">
      <c r="A65"/>
      <c r="B65"/>
      <c r="C65" s="60"/>
      <c r="D65" s="759"/>
      <c r="E65" s="759"/>
      <c r="F65" s="759"/>
      <c r="G65" s="759"/>
      <c r="H65" s="759"/>
      <c r="I65" s="759"/>
      <c r="J65" s="759"/>
      <c r="K65" s="759"/>
      <c r="L65" s="759"/>
      <c r="M65" s="759"/>
      <c r="N65" s="759"/>
      <c r="O65" s="759"/>
      <c r="P65" s="759"/>
      <c r="Q65" s="759"/>
      <c r="R65" s="759"/>
      <c r="S65" s="855"/>
      <c r="T65" s="855"/>
      <c r="U65" s="855"/>
      <c r="V65" s="855"/>
      <c r="W65" s="855"/>
      <c r="X65" s="855"/>
      <c r="Y65" s="855"/>
      <c r="Z65" s="855"/>
      <c r="AA65" s="855"/>
      <c r="AB65" s="855"/>
      <c r="AC65" s="855"/>
      <c r="AD65" s="855"/>
      <c r="AE65" s="855"/>
      <c r="AF65" s="855"/>
      <c r="AG65" s="855"/>
      <c r="AH65" s="855"/>
      <c r="AI65" s="855"/>
      <c r="AJ65" s="855"/>
      <c r="AK65" s="855"/>
      <c r="AL65" s="855"/>
      <c r="AM65" s="855"/>
      <c r="AN65" s="855"/>
      <c r="AO65" s="855"/>
      <c r="AP65" s="855"/>
      <c r="AQ65" s="855"/>
      <c r="AR65" s="855"/>
      <c r="AS65" s="855"/>
      <c r="AT65" s="855"/>
      <c r="AU65" s="855"/>
      <c r="AV65" s="855"/>
      <c r="AW65" s="855"/>
      <c r="AX65" s="855"/>
      <c r="AY65" s="855"/>
      <c r="AZ65" s="855"/>
      <c r="BA65" s="855"/>
      <c r="BB65" s="855"/>
      <c r="BC65" s="855"/>
      <c r="BD65" s="855"/>
      <c r="BE65" s="855"/>
      <c r="BF65" s="855"/>
      <c r="BG65" s="855"/>
      <c r="BH65" s="855"/>
      <c r="BI65" s="855"/>
      <c r="BJ65" s="855"/>
      <c r="BK65" s="855"/>
      <c r="BL65" s="855"/>
      <c r="BM65" s="855"/>
      <c r="BN65" s="855"/>
      <c r="BO65" s="855"/>
      <c r="BP65" s="855"/>
      <c r="BQ65" s="855"/>
      <c r="BR65" s="855"/>
      <c r="BS65" s="855"/>
      <c r="BT65" s="855"/>
      <c r="BU65" s="855"/>
      <c r="BV65" s="855"/>
      <c r="BW65" s="855"/>
      <c r="BX65" s="855"/>
      <c r="BY65" s="855"/>
      <c r="BZ65" s="855"/>
      <c r="CA65" s="855"/>
    </row>
    <row r="66" spans="1:79" s="93" customFormat="1" ht="14.1" customHeight="1" x14ac:dyDescent="0.2">
      <c r="A66"/>
      <c r="B66"/>
      <c r="C66" s="760"/>
      <c r="D66" s="60"/>
      <c r="E66" s="60"/>
      <c r="F66" s="60"/>
      <c r="G66" s="60"/>
      <c r="H66" s="60"/>
      <c r="I66" s="60"/>
      <c r="J66" s="60"/>
      <c r="P66" s="60"/>
      <c r="Q66" s="60"/>
      <c r="R66" s="760"/>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06"/>
      <c r="AP66" s="106"/>
      <c r="AQ66" s="106"/>
      <c r="AR66" s="106"/>
      <c r="AS66" s="106"/>
      <c r="AT66" s="106"/>
      <c r="AU66" s="106"/>
      <c r="AV66" s="106"/>
      <c r="AW66" s="106"/>
      <c r="AX66" s="106"/>
      <c r="AY66" s="106"/>
      <c r="AZ66" s="106"/>
      <c r="BA66" s="106"/>
      <c r="BB66" s="106"/>
      <c r="BC66" s="106"/>
      <c r="BD66" s="106"/>
      <c r="BE66" s="106"/>
      <c r="BF66" s="106"/>
      <c r="BG66" s="106"/>
      <c r="BH66" s="106"/>
      <c r="BI66" s="106"/>
      <c r="BJ66" s="106"/>
      <c r="BK66" s="106"/>
      <c r="BL66" s="106"/>
      <c r="BM66" s="106"/>
      <c r="BN66" s="106"/>
      <c r="BO66" s="106"/>
      <c r="BP66" s="106"/>
      <c r="BQ66" s="106"/>
      <c r="BR66" s="106"/>
      <c r="BS66" s="106"/>
      <c r="BT66" s="106"/>
      <c r="BU66" s="106"/>
      <c r="BV66" s="106"/>
      <c r="BW66" s="106"/>
      <c r="BX66" s="106"/>
      <c r="BY66" s="106"/>
      <c r="BZ66" s="106"/>
      <c r="CA66" s="106"/>
    </row>
    <row r="67" spans="1:79" s="93" customFormat="1" ht="14.1" customHeight="1" x14ac:dyDescent="0.2">
      <c r="A67"/>
      <c r="B67"/>
      <c r="C67" s="760"/>
      <c r="D67" s="60"/>
      <c r="E67" s="60"/>
      <c r="F67" s="60"/>
      <c r="G67" s="60"/>
      <c r="H67" s="60"/>
      <c r="I67" s="60"/>
      <c r="J67" s="60"/>
      <c r="P67" s="60"/>
      <c r="Q67" s="60"/>
      <c r="R67" s="760"/>
      <c r="S67" s="106"/>
      <c r="T67" s="106"/>
      <c r="U67" s="106"/>
      <c r="V67" s="106"/>
      <c r="W67" s="106"/>
      <c r="X67" s="106"/>
      <c r="Y67" s="106"/>
      <c r="Z67" s="106"/>
      <c r="AA67" s="106"/>
      <c r="AB67" s="106"/>
      <c r="AC67" s="106"/>
      <c r="AD67" s="106"/>
      <c r="AE67" s="106"/>
      <c r="AF67" s="106"/>
      <c r="AG67" s="106"/>
      <c r="AH67" s="106"/>
      <c r="AI67" s="106"/>
      <c r="AJ67" s="106"/>
      <c r="AK67" s="106"/>
      <c r="AL67" s="106"/>
      <c r="AM67" s="106"/>
      <c r="AN67" s="106"/>
      <c r="AO67" s="106"/>
      <c r="AP67" s="106"/>
      <c r="AQ67" s="106"/>
      <c r="AR67" s="106"/>
      <c r="AS67" s="106"/>
      <c r="AT67" s="106"/>
      <c r="AU67" s="106"/>
      <c r="AV67" s="106"/>
      <c r="AW67" s="106"/>
      <c r="AX67" s="106"/>
      <c r="AY67" s="106"/>
      <c r="AZ67" s="106"/>
      <c r="BA67" s="106"/>
      <c r="BB67" s="106"/>
      <c r="BC67" s="106"/>
      <c r="BD67" s="106"/>
      <c r="BE67" s="106"/>
      <c r="BF67" s="106"/>
      <c r="BG67" s="106"/>
      <c r="BH67" s="106"/>
      <c r="BI67" s="106"/>
      <c r="BJ67" s="106"/>
      <c r="BK67" s="106"/>
      <c r="BL67" s="106"/>
      <c r="BM67" s="106"/>
      <c r="BN67" s="106"/>
      <c r="BO67" s="106"/>
      <c r="BP67" s="106"/>
      <c r="BQ67" s="106"/>
      <c r="BR67" s="106"/>
      <c r="BS67" s="106"/>
      <c r="BT67" s="106"/>
      <c r="BU67" s="106"/>
      <c r="BV67" s="106"/>
      <c r="BW67" s="106"/>
      <c r="BX67" s="106"/>
      <c r="BY67" s="106"/>
      <c r="BZ67" s="106"/>
      <c r="CA67" s="106"/>
    </row>
    <row r="68" spans="1:79" s="758" customFormat="1" ht="14.1" customHeight="1" x14ac:dyDescent="0.2">
      <c r="A68"/>
      <c r="B68"/>
      <c r="C68" s="60"/>
      <c r="D68" s="759"/>
      <c r="E68" s="759"/>
      <c r="F68" s="759"/>
      <c r="G68" s="759"/>
      <c r="H68" s="759"/>
      <c r="I68" s="759"/>
      <c r="J68" s="759"/>
      <c r="K68" s="759"/>
      <c r="L68" s="759"/>
      <c r="M68" s="759"/>
      <c r="N68" s="759"/>
      <c r="O68" s="759"/>
      <c r="P68" s="759"/>
      <c r="Q68" s="759"/>
      <c r="R68" s="759"/>
      <c r="S68" s="855"/>
      <c r="T68" s="855"/>
      <c r="U68" s="855"/>
      <c r="V68" s="855"/>
      <c r="W68" s="856"/>
      <c r="X68" s="855"/>
      <c r="Y68" s="855"/>
      <c r="Z68" s="855"/>
      <c r="AA68" s="855"/>
      <c r="AB68" s="856"/>
      <c r="AC68" s="855"/>
      <c r="AD68" s="855"/>
      <c r="AE68" s="855"/>
      <c r="AF68" s="855"/>
      <c r="AG68" s="856"/>
      <c r="AH68" s="855"/>
      <c r="AI68" s="855"/>
      <c r="AJ68" s="855"/>
      <c r="AK68" s="855"/>
      <c r="AL68" s="856"/>
      <c r="AM68" s="855"/>
      <c r="AN68" s="855"/>
      <c r="AO68" s="855"/>
      <c r="AP68" s="855"/>
      <c r="AQ68" s="856"/>
      <c r="AR68" s="855"/>
      <c r="AS68" s="855"/>
      <c r="AT68" s="855"/>
      <c r="AU68" s="855"/>
      <c r="AV68" s="856"/>
      <c r="AW68" s="855"/>
      <c r="AX68" s="855"/>
      <c r="AY68" s="855"/>
      <c r="AZ68" s="855"/>
      <c r="BA68" s="856"/>
      <c r="BB68" s="855"/>
      <c r="BC68" s="855"/>
      <c r="BD68" s="855"/>
      <c r="BE68" s="855"/>
      <c r="BF68" s="856"/>
      <c r="BG68" s="855"/>
      <c r="BH68" s="855"/>
      <c r="BI68" s="855"/>
      <c r="BJ68" s="855"/>
      <c r="BK68" s="856"/>
      <c r="BL68" s="855"/>
      <c r="BM68" s="855"/>
      <c r="BN68" s="855"/>
      <c r="BO68" s="855"/>
      <c r="BP68" s="856"/>
      <c r="BQ68" s="855"/>
      <c r="BR68" s="855"/>
      <c r="BS68" s="855"/>
      <c r="BT68" s="855"/>
      <c r="BU68" s="856"/>
      <c r="BV68" s="855"/>
      <c r="BW68" s="855"/>
      <c r="BX68" s="855"/>
      <c r="BY68" s="855"/>
      <c r="BZ68" s="856"/>
      <c r="CA68" s="855"/>
    </row>
    <row r="72" spans="1:79" ht="14.1" customHeight="1" x14ac:dyDescent="0.2">
      <c r="C72" s="99"/>
      <c r="R72" s="99"/>
    </row>
    <row r="74" spans="1:79" s="759" customFormat="1" ht="14.1" customHeight="1" x14ac:dyDescent="0.2">
      <c r="A74"/>
      <c r="B74"/>
      <c r="C74" s="60"/>
      <c r="K74" s="758"/>
      <c r="L74" s="758"/>
      <c r="M74" s="758"/>
      <c r="N74" s="758"/>
      <c r="O74" s="758"/>
      <c r="P74" s="758"/>
    </row>
    <row r="75" spans="1:79" ht="14.1" customHeight="1" x14ac:dyDescent="0.2">
      <c r="C75" s="760"/>
      <c r="K75" s="93"/>
      <c r="L75" s="93"/>
      <c r="M75" s="93"/>
      <c r="N75" s="93"/>
      <c r="O75" s="93"/>
      <c r="P75" s="93"/>
      <c r="R75" s="760"/>
    </row>
    <row r="76" spans="1:79" s="759" customFormat="1" ht="14.1" customHeight="1" x14ac:dyDescent="0.2">
      <c r="A76"/>
      <c r="B76"/>
      <c r="C76" s="60"/>
      <c r="K76" s="758"/>
      <c r="L76" s="758"/>
      <c r="M76" s="758"/>
      <c r="N76" s="758"/>
      <c r="O76" s="758"/>
      <c r="P76" s="758"/>
    </row>
    <row r="77" spans="1:79" ht="14.1" customHeight="1" x14ac:dyDescent="0.2">
      <c r="C77" s="760"/>
      <c r="K77" s="93"/>
      <c r="L77" s="93"/>
      <c r="M77" s="93"/>
      <c r="N77" s="93"/>
      <c r="O77" s="93"/>
      <c r="P77" s="93"/>
      <c r="R77" s="760"/>
    </row>
    <row r="78" spans="1:79" s="759" customFormat="1" ht="14.1" customHeight="1" x14ac:dyDescent="0.2">
      <c r="A78"/>
      <c r="B78"/>
      <c r="C78" s="60"/>
      <c r="K78" s="758"/>
      <c r="L78" s="758"/>
      <c r="M78" s="758"/>
      <c r="N78" s="758"/>
      <c r="O78" s="758"/>
      <c r="P78" s="758"/>
    </row>
    <row r="79" spans="1:79" ht="14.1" customHeight="1" x14ac:dyDescent="0.2">
      <c r="C79" s="760"/>
      <c r="K79" s="93"/>
      <c r="L79" s="93"/>
      <c r="M79" s="93"/>
      <c r="N79" s="93"/>
      <c r="O79" s="93"/>
      <c r="P79" s="93"/>
      <c r="R79" s="760"/>
    </row>
    <row r="80" spans="1:79" s="759" customFormat="1" ht="14.1" customHeight="1" x14ac:dyDescent="0.2">
      <c r="A80"/>
      <c r="B80"/>
      <c r="C80" s="60"/>
      <c r="K80" s="758"/>
      <c r="L80" s="758"/>
      <c r="M80" s="758"/>
      <c r="N80" s="758"/>
      <c r="O80" s="758"/>
      <c r="P80" s="758"/>
    </row>
    <row r="81" spans="1:18" ht="14.1" customHeight="1" x14ac:dyDescent="0.2">
      <c r="C81" s="760"/>
      <c r="K81" s="93"/>
      <c r="L81" s="93"/>
      <c r="M81" s="93"/>
      <c r="N81" s="93"/>
      <c r="O81" s="93"/>
      <c r="P81" s="93"/>
      <c r="R81" s="760"/>
    </row>
    <row r="82" spans="1:18" s="759" customFormat="1" ht="14.1" customHeight="1" x14ac:dyDescent="0.2">
      <c r="A82"/>
      <c r="B82"/>
      <c r="C82" s="60"/>
      <c r="K82" s="758"/>
      <c r="L82" s="758"/>
      <c r="M82" s="758"/>
      <c r="N82" s="758"/>
      <c r="O82" s="758"/>
      <c r="P82" s="758"/>
    </row>
    <row r="83" spans="1:18" ht="14.1" customHeight="1" x14ac:dyDescent="0.2">
      <c r="C83" s="760"/>
      <c r="K83" s="93"/>
      <c r="L83" s="93"/>
      <c r="M83" s="93"/>
      <c r="N83" s="93"/>
      <c r="O83" s="93"/>
      <c r="P83" s="93"/>
      <c r="R83" s="760"/>
    </row>
    <row r="84" spans="1:18" s="759" customFormat="1" ht="14.1" customHeight="1" x14ac:dyDescent="0.2">
      <c r="A84"/>
      <c r="B84"/>
      <c r="C84" s="60"/>
      <c r="K84" s="758"/>
      <c r="L84" s="758"/>
      <c r="M84" s="758"/>
      <c r="N84" s="758"/>
      <c r="O84" s="758"/>
      <c r="P84" s="758"/>
    </row>
    <row r="85" spans="1:18" ht="14.1" customHeight="1" x14ac:dyDescent="0.2">
      <c r="C85" s="760"/>
      <c r="K85" s="93"/>
      <c r="L85" s="93"/>
      <c r="M85" s="93"/>
      <c r="N85" s="93"/>
      <c r="O85" s="93"/>
      <c r="P85" s="93"/>
      <c r="R85" s="760"/>
    </row>
    <row r="86" spans="1:18" s="759" customFormat="1" ht="14.1" customHeight="1" x14ac:dyDescent="0.2">
      <c r="A86"/>
      <c r="B86"/>
      <c r="C86" s="60"/>
      <c r="K86" s="758"/>
      <c r="L86" s="758"/>
      <c r="M86" s="758"/>
      <c r="N86" s="758"/>
      <c r="O86" s="758"/>
      <c r="P86" s="758"/>
    </row>
    <row r="87" spans="1:18" s="759" customFormat="1" ht="14.1" customHeight="1" x14ac:dyDescent="0.2">
      <c r="A87"/>
      <c r="B87"/>
      <c r="C87" s="60"/>
      <c r="K87" s="758"/>
      <c r="L87" s="758"/>
      <c r="M87" s="758"/>
      <c r="N87" s="758"/>
      <c r="O87" s="758"/>
      <c r="P87" s="758"/>
    </row>
    <row r="88" spans="1:18" s="93" customFormat="1" ht="14.1" customHeight="1" x14ac:dyDescent="0.2">
      <c r="A88"/>
      <c r="B88"/>
      <c r="C88" s="760"/>
      <c r="D88" s="60"/>
      <c r="E88" s="60"/>
      <c r="F88" s="60"/>
      <c r="G88" s="60"/>
      <c r="H88" s="60"/>
      <c r="I88" s="60"/>
      <c r="J88" s="60"/>
      <c r="Q88" s="60"/>
      <c r="R88" s="760"/>
    </row>
    <row r="89" spans="1:18" s="758" customFormat="1" ht="14.1" customHeight="1" x14ac:dyDescent="0.2">
      <c r="A89"/>
      <c r="B89"/>
      <c r="C89" s="60"/>
      <c r="D89" s="759"/>
      <c r="E89" s="759"/>
      <c r="F89" s="759"/>
      <c r="G89" s="759"/>
      <c r="H89" s="759"/>
      <c r="I89" s="759"/>
      <c r="J89" s="759"/>
      <c r="Q89" s="759"/>
      <c r="R89" s="759"/>
    </row>
    <row r="90" spans="1:18" s="758" customFormat="1" ht="14.1" customHeight="1" x14ac:dyDescent="0.2">
      <c r="A90"/>
      <c r="B90"/>
      <c r="C90" s="60"/>
      <c r="D90" s="759"/>
      <c r="E90" s="759"/>
      <c r="F90" s="759"/>
      <c r="G90" s="759"/>
      <c r="H90" s="759"/>
      <c r="I90" s="759"/>
      <c r="J90" s="759"/>
      <c r="Q90" s="759"/>
      <c r="R90" s="759"/>
    </row>
    <row r="91" spans="1:18" s="758" customFormat="1" ht="14.1" customHeight="1" x14ac:dyDescent="0.2">
      <c r="A91"/>
      <c r="B91"/>
      <c r="C91" s="60"/>
      <c r="D91" s="759"/>
      <c r="E91" s="759"/>
      <c r="F91" s="759"/>
      <c r="G91" s="759"/>
      <c r="H91" s="759"/>
      <c r="I91" s="759"/>
      <c r="J91" s="759"/>
      <c r="Q91" s="759"/>
      <c r="R91" s="759"/>
    </row>
    <row r="92" spans="1:18" s="758" customFormat="1" ht="14.1" customHeight="1" x14ac:dyDescent="0.2">
      <c r="A92"/>
      <c r="B92"/>
      <c r="C92" s="60"/>
      <c r="D92" s="759"/>
      <c r="E92" s="759"/>
      <c r="F92" s="759"/>
      <c r="G92" s="759"/>
      <c r="H92" s="759"/>
      <c r="I92" s="759"/>
      <c r="J92" s="759"/>
      <c r="Q92" s="759"/>
      <c r="R92" s="759"/>
    </row>
    <row r="95" spans="1:18" ht="14.1" customHeight="1" x14ac:dyDescent="0.2">
      <c r="C95" s="99"/>
      <c r="R95" s="99"/>
    </row>
    <row r="96" spans="1:18" ht="14.1" customHeight="1" x14ac:dyDescent="0.2">
      <c r="C96" s="99"/>
      <c r="R96" s="99"/>
    </row>
    <row r="97" spans="1:78" ht="8.1" customHeight="1" x14ac:dyDescent="0.2">
      <c r="C97" s="99"/>
      <c r="R97" s="99"/>
    </row>
    <row r="98" spans="1:78" ht="18.75" x14ac:dyDescent="0.25">
      <c r="C98" s="136" t="str">
        <f>C3</f>
        <v>SAIA, Inc.</v>
      </c>
      <c r="D98" s="148"/>
      <c r="E98" s="148"/>
      <c r="F98" s="148"/>
      <c r="G98" s="148"/>
      <c r="H98" s="148"/>
      <c r="I98" s="148"/>
      <c r="J98" s="148"/>
      <c r="K98" s="148"/>
      <c r="L98" s="148"/>
      <c r="M98" s="148"/>
      <c r="N98" s="148"/>
      <c r="O98" s="148"/>
      <c r="R98" s="1376" t="str">
        <f>C98</f>
        <v>SAIA, Inc.</v>
      </c>
      <c r="S98" s="1374"/>
      <c r="T98" s="1374"/>
      <c r="U98" s="1374"/>
      <c r="V98" s="1374"/>
      <c r="W98" s="1374"/>
      <c r="X98" s="1374"/>
      <c r="Y98" s="1374"/>
      <c r="Z98" s="1374"/>
      <c r="AA98" s="1374"/>
      <c r="AB98" s="1374"/>
      <c r="AC98" s="1374"/>
      <c r="AD98" s="1374"/>
      <c r="AE98" s="1374"/>
      <c r="AF98" s="1374"/>
      <c r="AG98" s="1374"/>
      <c r="AH98" s="1374"/>
      <c r="AI98" s="1374"/>
      <c r="AJ98" s="1374"/>
      <c r="AK98" s="1374"/>
      <c r="AL98" s="1374"/>
      <c r="AM98" s="1374"/>
      <c r="AN98" s="1374"/>
      <c r="AO98" s="1374"/>
      <c r="AP98" s="1374"/>
      <c r="AQ98" s="1374"/>
      <c r="AR98" s="1374"/>
      <c r="AS98" s="1374"/>
      <c r="AT98" s="1374"/>
      <c r="AU98" s="1374"/>
      <c r="AV98" s="1374"/>
      <c r="AW98" s="1374"/>
      <c r="AX98" s="1374"/>
      <c r="AY98" s="1374"/>
      <c r="AZ98" s="1374"/>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row>
    <row r="99" spans="1:78" ht="14.1" customHeight="1" x14ac:dyDescent="0.2">
      <c r="C99" s="133" t="str">
        <f>C4&amp;" % Changes"</f>
        <v>Cash Flow Statement % Changes</v>
      </c>
      <c r="D99" s="148"/>
      <c r="E99" s="148"/>
      <c r="F99" s="148"/>
      <c r="G99" s="148"/>
      <c r="H99" s="148"/>
      <c r="I99" s="148"/>
      <c r="J99" s="148"/>
      <c r="K99" s="148"/>
      <c r="L99" s="148"/>
      <c r="M99" s="148"/>
      <c r="N99" s="134" t="str">
        <f>N4</f>
        <v>DCF Share Value as of 12/31/2024:</v>
      </c>
      <c r="O99" s="135">
        <f>O4</f>
        <v>0</v>
      </c>
      <c r="R99" s="1387" t="str">
        <f>C99</f>
        <v>Cash Flow Statement % Changes</v>
      </c>
      <c r="S99" s="1375"/>
      <c r="T99" s="1375"/>
      <c r="U99" s="1375"/>
      <c r="V99" s="1375"/>
      <c r="W99" s="1375"/>
      <c r="X99" s="1375"/>
      <c r="Y99" s="1375"/>
      <c r="Z99" s="1375"/>
      <c r="AA99" s="1375"/>
      <c r="AB99" s="1375"/>
      <c r="AC99" s="1375"/>
      <c r="AD99" s="1375"/>
      <c r="AE99" s="1375"/>
      <c r="AF99" s="1375"/>
      <c r="AG99" s="1375"/>
      <c r="AH99" s="1375"/>
      <c r="AI99" s="1375"/>
      <c r="AJ99" s="1375"/>
      <c r="AK99" s="1375"/>
      <c r="AL99" s="1375"/>
      <c r="AM99" s="1375"/>
      <c r="AN99" s="1375"/>
      <c r="AO99" s="1375"/>
      <c r="AP99" s="1375"/>
      <c r="AQ99" s="1375"/>
      <c r="AR99" s="1375"/>
      <c r="AS99" s="1375"/>
      <c r="AT99" s="1375"/>
      <c r="AU99" s="1375"/>
      <c r="AV99" s="1375"/>
      <c r="AW99" s="1375"/>
      <c r="AX99" s="1375"/>
      <c r="AY99" s="1375"/>
      <c r="AZ99" s="1375"/>
      <c r="BA99" s="1375"/>
      <c r="BB99" s="48"/>
      <c r="BC99" s="48"/>
      <c r="BD99" s="48"/>
      <c r="BE99" s="48"/>
      <c r="BF99" s="48"/>
      <c r="BG99" s="48"/>
      <c r="BH99" s="48"/>
      <c r="BI99" s="48"/>
      <c r="BJ99" s="48"/>
      <c r="BK99" s="48"/>
      <c r="BL99" s="48"/>
      <c r="BM99" s="48"/>
      <c r="BN99" s="48"/>
      <c r="BO99" s="48"/>
      <c r="BP99" s="48"/>
      <c r="BQ99" s="48"/>
      <c r="BR99" s="48"/>
      <c r="BS99" s="48"/>
      <c r="BT99" s="48"/>
      <c r="BU99" s="48"/>
      <c r="BV99" s="48"/>
      <c r="BW99" s="48"/>
      <c r="BX99" s="48"/>
      <c r="BY99" s="48"/>
      <c r="BZ99" s="48"/>
    </row>
    <row r="100" spans="1:78" ht="14.1" customHeight="1" x14ac:dyDescent="0.2">
      <c r="C100" s="147" t="str">
        <f>C5</f>
        <v>($ in millions, fiscal year ending December,31)</v>
      </c>
      <c r="D100" s="148"/>
      <c r="E100" s="148"/>
      <c r="F100" s="148"/>
      <c r="G100" s="148"/>
      <c r="H100" s="148"/>
      <c r="I100" s="148"/>
      <c r="J100" s="148"/>
      <c r="K100" s="148"/>
      <c r="L100" s="148"/>
      <c r="M100" s="148"/>
      <c r="N100" s="134" t="str">
        <f>N5</f>
        <v>Market Share Price as of 12/31/2024:</v>
      </c>
      <c r="O100" s="135">
        <f>O5</f>
        <v>455.73</v>
      </c>
      <c r="R100" s="154" t="str">
        <f>C103&amp;" (Quarter X to Quarter X+1)"</f>
        <v xml:space="preserve"> (Quarter X to Quarter X+1)</v>
      </c>
      <c r="S100" s="152"/>
      <c r="T100" s="152"/>
      <c r="U100" s="152"/>
      <c r="V100" s="152"/>
      <c r="W100" s="152"/>
      <c r="X100" s="152"/>
      <c r="Y100" s="152"/>
      <c r="Z100" s="152"/>
      <c r="AA100" s="152"/>
      <c r="AB100" s="152"/>
      <c r="AC100" s="152"/>
      <c r="AD100" s="152"/>
      <c r="AE100" s="152"/>
      <c r="AF100" s="152"/>
      <c r="AG100" s="152"/>
      <c r="AH100" s="152"/>
      <c r="AI100" s="152"/>
      <c r="AJ100" s="152"/>
      <c r="AK100" s="152"/>
      <c r="AL100" s="152"/>
      <c r="AM100" s="152"/>
      <c r="AN100" s="152"/>
      <c r="AO100" s="152"/>
      <c r="AP100" s="152"/>
      <c r="AQ100" s="152"/>
      <c r="AR100" s="152"/>
      <c r="AS100" s="152"/>
      <c r="AT100" s="152"/>
      <c r="AU100" s="152"/>
      <c r="AV100" s="152"/>
      <c r="AW100" s="152"/>
      <c r="AX100" s="152"/>
      <c r="AY100" s="152"/>
      <c r="AZ100" s="152"/>
      <c r="BA100" s="152"/>
      <c r="BB100" s="153"/>
      <c r="BC100" s="153"/>
      <c r="BD100" s="153"/>
      <c r="BE100" s="153"/>
      <c r="BF100" s="153"/>
      <c r="BG100" s="153"/>
      <c r="BH100" s="153"/>
      <c r="BI100" s="153"/>
      <c r="BJ100" s="153"/>
      <c r="BK100" s="153"/>
      <c r="BL100" s="153"/>
      <c r="BM100" s="153"/>
      <c r="BN100" s="153"/>
      <c r="BO100" s="153"/>
      <c r="BP100" s="153"/>
      <c r="BQ100" s="153"/>
      <c r="BR100" s="153"/>
      <c r="BS100" s="153"/>
      <c r="BT100" s="153"/>
      <c r="BU100" s="153"/>
      <c r="BV100" s="153"/>
      <c r="BW100" s="153"/>
      <c r="BX100" s="153"/>
      <c r="BY100" s="153"/>
      <c r="BZ100" s="153"/>
    </row>
    <row r="101" spans="1:78" ht="14.1" customHeight="1" x14ac:dyDescent="0.2">
      <c r="C101" s="170"/>
      <c r="D101" s="97">
        <f t="shared" ref="D101:O101" si="3">D7</f>
        <v>43100</v>
      </c>
      <c r="E101" s="98">
        <f t="shared" si="3"/>
        <v>43465</v>
      </c>
      <c r="F101" s="98">
        <f t="shared" si="3"/>
        <v>43830</v>
      </c>
      <c r="G101" s="98">
        <f t="shared" si="3"/>
        <v>44196</v>
      </c>
      <c r="H101" s="98">
        <f t="shared" si="3"/>
        <v>44561</v>
      </c>
      <c r="I101" s="98">
        <f t="shared" si="3"/>
        <v>44926</v>
      </c>
      <c r="J101" s="98">
        <f t="shared" si="3"/>
        <v>45291</v>
      </c>
      <c r="K101" s="137">
        <f t="shared" si="3"/>
        <v>45657</v>
      </c>
      <c r="L101" s="138">
        <f t="shared" si="3"/>
        <v>46022</v>
      </c>
      <c r="M101" s="138">
        <f t="shared" si="3"/>
        <v>46387</v>
      </c>
      <c r="N101" s="138">
        <f t="shared" si="3"/>
        <v>46752</v>
      </c>
      <c r="O101" s="139">
        <f t="shared" si="3"/>
        <v>47118</v>
      </c>
      <c r="R101" s="155"/>
      <c r="S101" s="1367">
        <f>S5</f>
        <v>43100</v>
      </c>
      <c r="T101" s="1368"/>
      <c r="U101" s="1368"/>
      <c r="V101" s="1368"/>
      <c r="W101" s="1368"/>
      <c r="X101" s="1368">
        <f>X5</f>
        <v>43465</v>
      </c>
      <c r="Y101" s="1368"/>
      <c r="Z101" s="1368"/>
      <c r="AA101" s="1368"/>
      <c r="AB101" s="1368"/>
      <c r="AC101" s="1368">
        <f>AC5</f>
        <v>43830</v>
      </c>
      <c r="AD101" s="1368"/>
      <c r="AE101" s="1368"/>
      <c r="AF101" s="1368"/>
      <c r="AG101" s="1368"/>
      <c r="AH101" s="1368">
        <f>AH5</f>
        <v>44196</v>
      </c>
      <c r="AI101" s="1368"/>
      <c r="AJ101" s="1368"/>
      <c r="AK101" s="1368"/>
      <c r="AL101" s="1368"/>
      <c r="AM101" s="1368">
        <f>AM5</f>
        <v>44561</v>
      </c>
      <c r="AN101" s="1368"/>
      <c r="AO101" s="1368"/>
      <c r="AP101" s="1368"/>
      <c r="AQ101" s="1368"/>
      <c r="AR101" s="1368">
        <f>AR5</f>
        <v>44926</v>
      </c>
      <c r="AS101" s="1368"/>
      <c r="AT101" s="1368"/>
      <c r="AU101" s="1368"/>
      <c r="AV101" s="1368"/>
      <c r="AW101" s="1368">
        <f>AW5</f>
        <v>45291</v>
      </c>
      <c r="AX101" s="1368"/>
      <c r="AY101" s="1368"/>
      <c r="AZ101" s="1368"/>
      <c r="BA101" s="1368"/>
      <c r="BB101" s="1369">
        <f>BB5</f>
        <v>45657</v>
      </c>
      <c r="BC101" s="1369"/>
      <c r="BD101" s="1369"/>
      <c r="BE101" s="1369"/>
      <c r="BF101" s="1369"/>
      <c r="BG101" s="1365">
        <f>BG5</f>
        <v>46022</v>
      </c>
      <c r="BH101" s="1365"/>
      <c r="BI101" s="1365"/>
      <c r="BJ101" s="1365"/>
      <c r="BK101" s="1365"/>
      <c r="BL101" s="1365">
        <f>BL5</f>
        <v>46387</v>
      </c>
      <c r="BM101" s="1365"/>
      <c r="BN101" s="1365"/>
      <c r="BO101" s="1365"/>
      <c r="BP101" s="1365"/>
      <c r="BQ101" s="1365">
        <f>BQ5</f>
        <v>46752</v>
      </c>
      <c r="BR101" s="1365"/>
      <c r="BS101" s="1365"/>
      <c r="BT101" s="1365"/>
      <c r="BU101" s="1365"/>
      <c r="BV101" s="1365">
        <f>BV5</f>
        <v>47118</v>
      </c>
      <c r="BW101" s="1365"/>
      <c r="BX101" s="1365"/>
      <c r="BY101" s="1365"/>
      <c r="BZ101" s="1366"/>
    </row>
    <row r="102" spans="1:78" ht="14.1" customHeight="1" x14ac:dyDescent="0.2">
      <c r="R102" s="236"/>
      <c r="S102" s="96" t="str">
        <f t="shared" ref="S102:BZ102" si="4">S58</f>
        <v>2017 Q1</v>
      </c>
      <c r="T102" s="140" t="str">
        <f t="shared" si="4"/>
        <v>2017 Q2</v>
      </c>
      <c r="U102" s="140" t="str">
        <f t="shared" si="4"/>
        <v>2017 Q3</v>
      </c>
      <c r="V102" s="140" t="str">
        <f t="shared" si="4"/>
        <v>2017 Q4</v>
      </c>
      <c r="W102" s="140" t="str">
        <f t="shared" si="4"/>
        <v>2017 FY</v>
      </c>
      <c r="X102" s="140" t="str">
        <f t="shared" si="4"/>
        <v>2018 Q1</v>
      </c>
      <c r="Y102" s="140" t="str">
        <f t="shared" si="4"/>
        <v>2018 Q2</v>
      </c>
      <c r="Z102" s="140" t="str">
        <f t="shared" si="4"/>
        <v>2018 Q3</v>
      </c>
      <c r="AA102" s="140" t="str">
        <f t="shared" si="4"/>
        <v>2018 Q4</v>
      </c>
      <c r="AB102" s="140" t="str">
        <f t="shared" si="4"/>
        <v>2018 FY</v>
      </c>
      <c r="AC102" s="140" t="str">
        <f t="shared" si="4"/>
        <v>2019 Q1</v>
      </c>
      <c r="AD102" s="140" t="str">
        <f t="shared" si="4"/>
        <v>2019 Q2</v>
      </c>
      <c r="AE102" s="140" t="str">
        <f t="shared" si="4"/>
        <v>2019 Q3</v>
      </c>
      <c r="AF102" s="140" t="str">
        <f t="shared" si="4"/>
        <v>2019 Q4</v>
      </c>
      <c r="AG102" s="140" t="str">
        <f t="shared" si="4"/>
        <v>2019 FY</v>
      </c>
      <c r="AH102" s="140" t="str">
        <f t="shared" si="4"/>
        <v>2020 Q1</v>
      </c>
      <c r="AI102" s="140" t="str">
        <f t="shared" si="4"/>
        <v>2020 Q2</v>
      </c>
      <c r="AJ102" s="140" t="str">
        <f t="shared" si="4"/>
        <v>2020 Q3</v>
      </c>
      <c r="AK102" s="140" t="str">
        <f t="shared" si="4"/>
        <v>2020 Q4</v>
      </c>
      <c r="AL102" s="140" t="str">
        <f t="shared" si="4"/>
        <v>2020 FY</v>
      </c>
      <c r="AM102" s="140" t="str">
        <f t="shared" si="4"/>
        <v>2021 Q1</v>
      </c>
      <c r="AN102" s="140" t="str">
        <f t="shared" si="4"/>
        <v>2021 Q2</v>
      </c>
      <c r="AO102" s="140" t="str">
        <f t="shared" si="4"/>
        <v>2021 Q3</v>
      </c>
      <c r="AP102" s="140" t="str">
        <f t="shared" si="4"/>
        <v>2021 Q4</v>
      </c>
      <c r="AQ102" s="140" t="str">
        <f t="shared" si="4"/>
        <v>2021 FY</v>
      </c>
      <c r="AR102" s="140" t="str">
        <f t="shared" si="4"/>
        <v>2022 Q1</v>
      </c>
      <c r="AS102" s="140" t="str">
        <f t="shared" si="4"/>
        <v>2022 Q2</v>
      </c>
      <c r="AT102" s="140" t="str">
        <f t="shared" si="4"/>
        <v>2022 Q3</v>
      </c>
      <c r="AU102" s="140" t="str">
        <f t="shared" si="4"/>
        <v>2022 Q4</v>
      </c>
      <c r="AV102" s="140" t="str">
        <f t="shared" si="4"/>
        <v>2022 FY</v>
      </c>
      <c r="AW102" s="140" t="str">
        <f t="shared" si="4"/>
        <v>2023 Q1</v>
      </c>
      <c r="AX102" s="140" t="str">
        <f t="shared" si="4"/>
        <v>2023 Q2</v>
      </c>
      <c r="AY102" s="140" t="str">
        <f t="shared" si="4"/>
        <v>2023 Q3</v>
      </c>
      <c r="AZ102" s="140" t="str">
        <f t="shared" si="4"/>
        <v>2023 Q4</v>
      </c>
      <c r="BA102" s="140" t="str">
        <f t="shared" si="4"/>
        <v>2023 FY</v>
      </c>
      <c r="BB102" s="140" t="str">
        <f t="shared" si="4"/>
        <v>2024 Q1</v>
      </c>
      <c r="BC102" s="140" t="str">
        <f t="shared" si="4"/>
        <v>2024 Q2</v>
      </c>
      <c r="BD102" s="140" t="str">
        <f t="shared" si="4"/>
        <v>2024 Q3</v>
      </c>
      <c r="BE102" s="141" t="str">
        <f t="shared" si="4"/>
        <v>2024 Q4</v>
      </c>
      <c r="BF102" s="141" t="str">
        <f t="shared" si="4"/>
        <v>2024 FY</v>
      </c>
      <c r="BG102" s="141" t="str">
        <f t="shared" si="4"/>
        <v>2025 Q1</v>
      </c>
      <c r="BH102" s="141" t="str">
        <f t="shared" si="4"/>
        <v>2025 Q2</v>
      </c>
      <c r="BI102" s="141" t="str">
        <f t="shared" si="4"/>
        <v>2025 Q3</v>
      </c>
      <c r="BJ102" s="141" t="str">
        <f t="shared" si="4"/>
        <v>2025 Q4</v>
      </c>
      <c r="BK102" s="141" t="str">
        <f t="shared" si="4"/>
        <v>2025 FY</v>
      </c>
      <c r="BL102" s="141" t="str">
        <f t="shared" si="4"/>
        <v>2026 Q1</v>
      </c>
      <c r="BM102" s="141" t="str">
        <f t="shared" si="4"/>
        <v>2026 Q2</v>
      </c>
      <c r="BN102" s="141" t="str">
        <f t="shared" si="4"/>
        <v>2026 Q3</v>
      </c>
      <c r="BO102" s="141" t="str">
        <f t="shared" si="4"/>
        <v>2026 Q4</v>
      </c>
      <c r="BP102" s="141" t="str">
        <f t="shared" si="4"/>
        <v>2026 FY</v>
      </c>
      <c r="BQ102" s="141" t="str">
        <f t="shared" si="4"/>
        <v>2027 Q1</v>
      </c>
      <c r="BR102" s="141" t="str">
        <f t="shared" si="4"/>
        <v>2027 Q2</v>
      </c>
      <c r="BS102" s="141" t="str">
        <f t="shared" si="4"/>
        <v>2027 Q3</v>
      </c>
      <c r="BT102" s="141" t="str">
        <f t="shared" si="4"/>
        <v>2027 Q4</v>
      </c>
      <c r="BU102" s="141" t="str">
        <f t="shared" si="4"/>
        <v>2027 FY</v>
      </c>
      <c r="BV102" s="141" t="str">
        <f t="shared" si="4"/>
        <v>2028 Q1</v>
      </c>
      <c r="BW102" s="141" t="str">
        <f t="shared" si="4"/>
        <v>2028 Q2</v>
      </c>
      <c r="BX102" s="141" t="str">
        <f t="shared" si="4"/>
        <v>2028 Q3</v>
      </c>
      <c r="BY102" s="141" t="str">
        <f t="shared" si="4"/>
        <v>2028 Q4</v>
      </c>
      <c r="BZ102" s="142" t="str">
        <f t="shared" si="4"/>
        <v>2028 FY</v>
      </c>
    </row>
    <row r="103" spans="1:78" ht="14.1" customHeight="1" x14ac:dyDescent="0.2">
      <c r="C103" s="99"/>
      <c r="R103" s="99"/>
    </row>
    <row r="104" spans="1:78" s="758" customFormat="1" ht="14.1" customHeight="1" x14ac:dyDescent="0.2">
      <c r="A104"/>
      <c r="B104"/>
      <c r="C104" s="60"/>
      <c r="R104" s="759"/>
    </row>
    <row r="105" spans="1:78" s="758" customFormat="1" ht="14.1" customHeight="1" x14ac:dyDescent="0.2">
      <c r="A105"/>
      <c r="B105"/>
      <c r="C105" s="60"/>
      <c r="R105" s="759"/>
    </row>
    <row r="106" spans="1:78" s="758" customFormat="1" ht="14.1" customHeight="1" x14ac:dyDescent="0.2">
      <c r="A106"/>
      <c r="B106"/>
      <c r="C106" s="60"/>
      <c r="R106" s="759"/>
    </row>
    <row r="107" spans="1:78" s="758" customFormat="1" ht="14.1" customHeight="1" x14ac:dyDescent="0.2">
      <c r="A107"/>
      <c r="B107"/>
      <c r="C107" s="60"/>
      <c r="R107" s="759"/>
    </row>
    <row r="108" spans="1:78" s="758" customFormat="1" ht="14.1" customHeight="1" x14ac:dyDescent="0.2">
      <c r="A108"/>
      <c r="B108"/>
      <c r="C108" s="60"/>
      <c r="R108" s="759"/>
    </row>
    <row r="109" spans="1:78" s="758" customFormat="1" ht="14.1" customHeight="1" x14ac:dyDescent="0.2">
      <c r="A109"/>
      <c r="B109"/>
      <c r="C109" s="60"/>
      <c r="R109" s="759"/>
    </row>
    <row r="110" spans="1:78" s="758" customFormat="1" ht="14.1" customHeight="1" x14ac:dyDescent="0.2">
      <c r="A110"/>
      <c r="B110"/>
      <c r="C110" s="60"/>
      <c r="R110" s="759"/>
    </row>
    <row r="111" spans="1:78" s="758" customFormat="1" ht="14.1" customHeight="1" x14ac:dyDescent="0.2">
      <c r="A111"/>
      <c r="B111"/>
      <c r="C111" s="60"/>
      <c r="R111" s="759"/>
    </row>
    <row r="112" spans="1:78" s="758" customFormat="1" ht="14.1" customHeight="1" x14ac:dyDescent="0.2">
      <c r="A112"/>
      <c r="B112"/>
      <c r="C112" s="60"/>
      <c r="R112" s="759"/>
    </row>
    <row r="113" spans="1:18" s="758" customFormat="1" ht="14.1" customHeight="1" x14ac:dyDescent="0.2">
      <c r="A113"/>
      <c r="B113"/>
      <c r="C113" s="60"/>
      <c r="R113" s="759"/>
    </row>
    <row r="114" spans="1:18" s="758" customFormat="1" ht="14.1" customHeight="1" x14ac:dyDescent="0.2">
      <c r="A114"/>
      <c r="B114"/>
      <c r="C114" s="60"/>
      <c r="R114" s="759"/>
    </row>
    <row r="115" spans="1:18" s="758" customFormat="1" ht="14.1" customHeight="1" x14ac:dyDescent="0.2">
      <c r="A115"/>
      <c r="B115"/>
      <c r="C115" s="60"/>
      <c r="R115" s="759"/>
    </row>
    <row r="116" spans="1:18" s="758" customFormat="1" ht="14.1" customHeight="1" x14ac:dyDescent="0.2">
      <c r="A116"/>
      <c r="B116"/>
      <c r="C116" s="60"/>
      <c r="R116" s="759"/>
    </row>
    <row r="117" spans="1:18" s="758" customFormat="1" ht="14.1" customHeight="1" x14ac:dyDescent="0.2">
      <c r="A117"/>
      <c r="B117"/>
      <c r="C117" s="60"/>
      <c r="R117" s="759"/>
    </row>
  </sheetData>
  <mergeCells count="44">
    <mergeCell ref="BB101:BF101"/>
    <mergeCell ref="BG101:BK101"/>
    <mergeCell ref="BL101:BP101"/>
    <mergeCell ref="BQ101:BU101"/>
    <mergeCell ref="BV101:BZ101"/>
    <mergeCell ref="R99:BA99"/>
    <mergeCell ref="S101:W101"/>
    <mergeCell ref="X101:AB101"/>
    <mergeCell ref="AC101:AG101"/>
    <mergeCell ref="AH101:AL101"/>
    <mergeCell ref="AM101:AQ101"/>
    <mergeCell ref="AR101:AV101"/>
    <mergeCell ref="AW101:BA101"/>
    <mergeCell ref="BB57:BF57"/>
    <mergeCell ref="BG57:BK57"/>
    <mergeCell ref="BL57:BP57"/>
    <mergeCell ref="BQ57:BU57"/>
    <mergeCell ref="BV57:BZ57"/>
    <mergeCell ref="R98:AZ98"/>
    <mergeCell ref="R54:AZ54"/>
    <mergeCell ref="R55:BA55"/>
    <mergeCell ref="S57:W57"/>
    <mergeCell ref="X57:AB57"/>
    <mergeCell ref="AC57:AG57"/>
    <mergeCell ref="AH57:AL57"/>
    <mergeCell ref="AM57:AQ57"/>
    <mergeCell ref="AR57:AV57"/>
    <mergeCell ref="AW57:BA57"/>
    <mergeCell ref="CA5:CE5"/>
    <mergeCell ref="P3:Q7"/>
    <mergeCell ref="R3:AZ3"/>
    <mergeCell ref="R4:BA4"/>
    <mergeCell ref="S5:W5"/>
    <mergeCell ref="X5:AB5"/>
    <mergeCell ref="AC5:AG5"/>
    <mergeCell ref="AH5:AL5"/>
    <mergeCell ref="AM5:AQ5"/>
    <mergeCell ref="AR5:AV5"/>
    <mergeCell ref="AW5:BA5"/>
    <mergeCell ref="BB5:BF5"/>
    <mergeCell ref="BG5:BK5"/>
    <mergeCell ref="BL5:BP5"/>
    <mergeCell ref="BQ5:BU5"/>
    <mergeCell ref="BV5:BZ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42BD3-9511-491E-A628-135C16C23A98}">
  <dimension ref="A1:CE196"/>
  <sheetViews>
    <sheetView showGridLines="0" topLeftCell="A32" workbookViewId="0">
      <pane xSplit="3" topLeftCell="G32" activePane="topRight" state="frozen"/>
      <selection activeCell="E57" sqref="E57"/>
      <selection pane="topRight" activeCell="O21" sqref="O21"/>
    </sheetView>
  </sheetViews>
  <sheetFormatPr defaultColWidth="9.01171875" defaultRowHeight="14.1" customHeight="1" outlineLevelCol="1" x14ac:dyDescent="0.2"/>
  <cols>
    <col min="1" max="1" width="0.671875" customWidth="1"/>
    <col min="2" max="2" width="0.8046875" customWidth="1"/>
    <col min="3" max="3" width="41.8359375" style="60" customWidth="1"/>
    <col min="4" max="6" width="10.22265625" style="60" hidden="1" customWidth="1" outlineLevel="1"/>
    <col min="7" max="7" width="10.22265625" style="60" customWidth="1" collapsed="1"/>
    <col min="8" max="9" width="10.22265625" style="60" bestFit="1" customWidth="1"/>
    <col min="10" max="10" width="10.22265625" style="60" customWidth="1"/>
    <col min="11" max="15" width="10.22265625" style="60" bestFit="1" customWidth="1"/>
    <col min="16" max="16" width="2.5546875" style="60" customWidth="1"/>
    <col min="17" max="17" width="5.6484375" style="60" customWidth="1"/>
    <col min="18" max="18" width="41.96875" style="60" customWidth="1"/>
    <col min="19" max="19" width="10.22265625" style="60" hidden="1" customWidth="1" outlineLevel="1"/>
    <col min="20" max="43" width="9.01171875" style="60" hidden="1" customWidth="1" outlineLevel="1"/>
    <col min="44" max="44" width="9.01171875" style="60" collapsed="1"/>
    <col min="45" max="47" width="9.01171875" style="60"/>
    <col min="48" max="48" width="9.01171875" style="60" customWidth="1" outlineLevel="1"/>
    <col min="49" max="52" width="9.01171875" style="60"/>
    <col min="53" max="53" width="9.01171875" style="60" customWidth="1" outlineLevel="1"/>
    <col min="54" max="57" width="9.01171875" style="60"/>
    <col min="58" max="58" width="9.01171875" style="60" customWidth="1" outlineLevel="1"/>
    <col min="59" max="62" width="9.01171875" style="60"/>
    <col min="63" max="63" width="9.01171875" style="60" customWidth="1" outlineLevel="1"/>
    <col min="64" max="67" width="9.01171875" style="60"/>
    <col min="68" max="68" width="9.01171875" style="60" customWidth="1" outlineLevel="1"/>
    <col min="69" max="72" width="9.01171875" style="60"/>
    <col min="73" max="73" width="9.01171875" style="60" customWidth="1" outlineLevel="1"/>
    <col min="74" max="76" width="9.01171875" style="60"/>
    <col min="77" max="77" width="10.76171875" style="60" bestFit="1" customWidth="1"/>
    <col min="78" max="78" width="9.01171875" style="60" customWidth="1" outlineLevel="1"/>
    <col min="79" max="16384" width="9.01171875" style="60"/>
  </cols>
  <sheetData>
    <row r="1" spans="1:83" customFormat="1" ht="3" customHeight="1" x14ac:dyDescent="0.2"/>
    <row r="2" spans="1:83" customFormat="1" ht="1.1499999999999999" customHeight="1" x14ac:dyDescent="0.2"/>
    <row r="3" spans="1:83" s="41" customFormat="1" ht="18.75" x14ac:dyDescent="0.25">
      <c r="A3"/>
      <c r="B3"/>
      <c r="C3" s="47" t="str">
        <f>Company_Name</f>
        <v>SAIA, Inc.</v>
      </c>
      <c r="D3" s="48"/>
      <c r="E3" s="48"/>
      <c r="F3" s="48"/>
      <c r="G3" s="48"/>
      <c r="H3" s="48"/>
      <c r="I3" s="48"/>
      <c r="J3" s="48"/>
      <c r="K3" s="48"/>
      <c r="L3" s="48"/>
      <c r="M3" s="48"/>
      <c r="N3" s="67" t="str">
        <f>'Balance Sheet'!BR3</f>
        <v>Model Case:</v>
      </c>
      <c r="O3" s="48" t="str">
        <f>'Revenue Build'!O3</f>
        <v>Base</v>
      </c>
      <c r="P3" s="1373" t="s">
        <v>172</v>
      </c>
      <c r="Q3" s="1373"/>
      <c r="R3" s="1374" t="str">
        <f>C3</f>
        <v>SAIA, Inc.</v>
      </c>
      <c r="S3" s="1374"/>
      <c r="T3" s="1374"/>
      <c r="U3" s="1374"/>
      <c r="V3" s="1374"/>
      <c r="W3" s="1374"/>
      <c r="X3" s="1374"/>
      <c r="Y3" s="1374"/>
      <c r="Z3" s="1374"/>
      <c r="AA3" s="1374"/>
      <c r="AB3" s="1374"/>
      <c r="AC3" s="1374"/>
      <c r="AD3" s="1374"/>
      <c r="AE3" s="1374"/>
      <c r="AF3" s="1374"/>
      <c r="AG3" s="1374"/>
      <c r="AH3" s="1374"/>
      <c r="AI3" s="1374"/>
      <c r="AJ3" s="1374"/>
      <c r="AK3" s="1374"/>
      <c r="AL3" s="1374"/>
      <c r="AM3" s="1374"/>
      <c r="AN3" s="1374"/>
      <c r="AO3" s="1374"/>
      <c r="AP3" s="1374"/>
      <c r="AQ3" s="1374"/>
      <c r="AR3" s="1374"/>
      <c r="AS3" s="1374"/>
      <c r="AT3" s="1374"/>
      <c r="AU3" s="1374"/>
      <c r="AV3" s="1374"/>
      <c r="AW3" s="1374"/>
      <c r="AX3" s="1374"/>
      <c r="AY3" s="1374"/>
      <c r="AZ3" s="1374"/>
      <c r="BA3" s="47"/>
      <c r="BB3" s="47"/>
      <c r="BC3" s="47"/>
      <c r="BD3" s="47"/>
      <c r="BE3" s="47"/>
      <c r="BF3" s="47"/>
      <c r="BG3" s="47"/>
      <c r="BH3" s="47"/>
      <c r="BI3" s="47"/>
      <c r="BJ3" s="47"/>
      <c r="BK3" s="47"/>
      <c r="BL3" s="47"/>
      <c r="BM3" s="47"/>
      <c r="BN3" s="47"/>
      <c r="BO3" s="47"/>
      <c r="BP3" s="47"/>
      <c r="BQ3" s="47"/>
      <c r="BR3" s="67" t="str">
        <f>N3</f>
        <v>Model Case:</v>
      </c>
      <c r="BS3" s="48" t="str">
        <f>O3</f>
        <v>Base</v>
      </c>
      <c r="BT3" s="47"/>
      <c r="BU3" s="95"/>
      <c r="BV3" s="95"/>
      <c r="BW3" s="95"/>
      <c r="BX3" s="67" t="str">
        <f>N4</f>
        <v>DCF Share Value as of 12/31/2024:</v>
      </c>
      <c r="BY3" s="65">
        <f>O4</f>
        <v>520.1066763818468</v>
      </c>
      <c r="BZ3" s="47"/>
    </row>
    <row r="4" spans="1:83" s="62" customFormat="1" ht="15" x14ac:dyDescent="0.2">
      <c r="A4"/>
      <c r="B4"/>
      <c r="C4" s="48" t="str">
        <f>"Invested Capital Statement"</f>
        <v>Invested Capital Statement</v>
      </c>
      <c r="D4" s="48"/>
      <c r="E4" s="48"/>
      <c r="F4" s="48"/>
      <c r="G4" s="48"/>
      <c r="H4" s="48"/>
      <c r="I4" s="48"/>
      <c r="J4" s="48"/>
      <c r="K4" s="48"/>
      <c r="L4" s="48"/>
      <c r="M4" s="48"/>
      <c r="N4" s="67" t="str" cm="1">
        <f t="array" ref="N4">"DCF Share Value as of "&amp;TEXT(DCF_ShareValue_Date,"MM/DD/YYYY")&amp;":"</f>
        <v>DCF Share Value as of 12/31/2024:</v>
      </c>
      <c r="O4" s="65">
        <f>DCF_Share_Value</f>
        <v>520.1066763818468</v>
      </c>
      <c r="P4" s="1373"/>
      <c r="Q4" s="1373"/>
      <c r="R4" s="1375" t="str">
        <f>C4&amp;" Quarterly and Year Basis"</f>
        <v>Invested Capital Statement Quarterly and Year Basis</v>
      </c>
      <c r="S4" s="1375"/>
      <c r="T4" s="1375"/>
      <c r="U4" s="1375"/>
      <c r="V4" s="1375"/>
      <c r="W4" s="1375"/>
      <c r="X4" s="1375"/>
      <c r="Y4" s="1375"/>
      <c r="Z4" s="1375"/>
      <c r="AA4" s="1375"/>
      <c r="AB4" s="1375"/>
      <c r="AC4" s="1375"/>
      <c r="AD4" s="1375"/>
      <c r="AE4" s="1375"/>
      <c r="AF4" s="1375"/>
      <c r="AG4" s="1375"/>
      <c r="AH4" s="1375"/>
      <c r="AI4" s="1375"/>
      <c r="AJ4" s="1375"/>
      <c r="AK4" s="1375"/>
      <c r="AL4" s="1375"/>
      <c r="AM4" s="1375"/>
      <c r="AN4" s="1375"/>
      <c r="AO4" s="1375"/>
      <c r="AP4" s="1375"/>
      <c r="AQ4" s="1375"/>
      <c r="AR4" s="1375"/>
      <c r="AS4" s="1375"/>
      <c r="AT4" s="1375"/>
      <c r="AU4" s="1375"/>
      <c r="AV4" s="1375"/>
      <c r="AW4" s="1375"/>
      <c r="AX4" s="1375"/>
      <c r="AY4" s="1375"/>
      <c r="AZ4" s="1375"/>
      <c r="BA4" s="1375"/>
      <c r="BB4" s="63"/>
      <c r="BC4" s="63"/>
      <c r="BD4" s="63"/>
      <c r="BE4" s="63"/>
      <c r="BF4" s="63"/>
      <c r="BG4" s="63"/>
      <c r="BH4" s="63"/>
      <c r="BI4" s="63"/>
      <c r="BJ4" s="63"/>
      <c r="BK4" s="63"/>
      <c r="BL4" s="63"/>
      <c r="BM4" s="63"/>
      <c r="BN4" s="63"/>
      <c r="BO4" s="63"/>
      <c r="BP4" s="63"/>
      <c r="BQ4" s="63"/>
      <c r="BR4" s="63"/>
      <c r="BS4" s="63"/>
      <c r="BT4" s="63"/>
      <c r="BU4" s="1156"/>
      <c r="BV4" s="1156"/>
      <c r="BW4" s="1156"/>
      <c r="BX4" s="1145" t="str">
        <f>N5</f>
        <v>Market Share Price as of 12/31/2024:</v>
      </c>
      <c r="BY4" s="322">
        <f>O5</f>
        <v>455.73</v>
      </c>
      <c r="BZ4" s="63"/>
    </row>
    <row r="5" spans="1:83" s="61" customFormat="1" ht="15" x14ac:dyDescent="0.2">
      <c r="A5"/>
      <c r="B5"/>
      <c r="C5" s="46" t="str">
        <f>"($ in millions, fiscal year ending "&amp;TEXT(FY_Year_End,"MMMM,DD")&amp;")"</f>
        <v>($ in millions, fiscal year ending December,31)</v>
      </c>
      <c r="D5" s="49"/>
      <c r="E5" s="49"/>
      <c r="F5" s="49"/>
      <c r="G5" s="49"/>
      <c r="H5" s="49" t="str">
        <f>"Ticker: "&amp;Company_Ticker</f>
        <v>Ticker: SAIA</v>
      </c>
      <c r="I5" s="49"/>
      <c r="J5" s="49"/>
      <c r="K5" s="49"/>
      <c r="L5" s="49"/>
      <c r="M5" s="49"/>
      <c r="N5" s="66" t="str" cm="1">
        <f t="array" ref="N5">"Market Share Price as of "&amp;TEXT(Market_Share_Price_Date,"MM/DD/YYYY")&amp;":"</f>
        <v>Market Share Price as of 12/31/2024:</v>
      </c>
      <c r="O5" s="65">
        <f>Market_Share_Price</f>
        <v>455.73</v>
      </c>
      <c r="P5" s="1373"/>
      <c r="Q5" s="1373"/>
      <c r="R5" s="96"/>
      <c r="S5" s="1367">
        <f>D7</f>
        <v>43100</v>
      </c>
      <c r="T5" s="1368"/>
      <c r="U5" s="1368"/>
      <c r="V5" s="1368"/>
      <c r="W5" s="1368"/>
      <c r="X5" s="1368">
        <f>DATE(YEAR(S5)+1,MONTH(S5),DAY(S5))</f>
        <v>43465</v>
      </c>
      <c r="Y5" s="1368"/>
      <c r="Z5" s="1368"/>
      <c r="AA5" s="1368"/>
      <c r="AB5" s="1368"/>
      <c r="AC5" s="1368">
        <f>DATE(YEAR(X5)+1,MONTH(X5),DAY(X5))</f>
        <v>43830</v>
      </c>
      <c r="AD5" s="1368"/>
      <c r="AE5" s="1368"/>
      <c r="AF5" s="1368"/>
      <c r="AG5" s="1368"/>
      <c r="AH5" s="1368">
        <f>DATE(YEAR(AC5)+1,MONTH(AC5),DAY(AC5))</f>
        <v>44196</v>
      </c>
      <c r="AI5" s="1368"/>
      <c r="AJ5" s="1368"/>
      <c r="AK5" s="1368"/>
      <c r="AL5" s="1368"/>
      <c r="AM5" s="1368">
        <f>DATE(YEAR(AH5)+1,MONTH(AH5),DAY(AH5))</f>
        <v>44561</v>
      </c>
      <c r="AN5" s="1368"/>
      <c r="AO5" s="1368"/>
      <c r="AP5" s="1368"/>
      <c r="AQ5" s="1368"/>
      <c r="AR5" s="1368">
        <f>DATE(YEAR(AM5)+1,MONTH(AM5),DAY(AM5))</f>
        <v>44926</v>
      </c>
      <c r="AS5" s="1368"/>
      <c r="AT5" s="1368"/>
      <c r="AU5" s="1368"/>
      <c r="AV5" s="1368"/>
      <c r="AW5" s="1368">
        <f>DATE(YEAR(AR5)+1,MONTH(AR5),DAY(AR5))</f>
        <v>45291</v>
      </c>
      <c r="AX5" s="1368"/>
      <c r="AY5" s="1368"/>
      <c r="AZ5" s="1368"/>
      <c r="BA5" s="1368"/>
      <c r="BB5" s="1369">
        <f>DATE(YEAR(AW5)+1,MONTH(AW5),DAY(AW5))</f>
        <v>45657</v>
      </c>
      <c r="BC5" s="1369"/>
      <c r="BD5" s="1369"/>
      <c r="BE5" s="1369"/>
      <c r="BF5" s="1369"/>
      <c r="BG5" s="1365">
        <f>DATE(YEAR(BB5)+1,MONTH(BB5),DAY(BB5))</f>
        <v>46022</v>
      </c>
      <c r="BH5" s="1365"/>
      <c r="BI5" s="1365"/>
      <c r="BJ5" s="1365"/>
      <c r="BK5" s="1365"/>
      <c r="BL5" s="1365">
        <f>DATE(YEAR(BG5)+1,MONTH(BG5),DAY(BG5))</f>
        <v>46387</v>
      </c>
      <c r="BM5" s="1365"/>
      <c r="BN5" s="1365"/>
      <c r="BO5" s="1365"/>
      <c r="BP5" s="1365"/>
      <c r="BQ5" s="1365">
        <f>DATE(YEAR(BL5)+1,MONTH(BL5),DAY(BL5))</f>
        <v>46752</v>
      </c>
      <c r="BR5" s="1365"/>
      <c r="BS5" s="1365"/>
      <c r="BT5" s="1365"/>
      <c r="BU5" s="1365"/>
      <c r="BV5" s="1365">
        <f>DATE(YEAR(BQ5)+1,MONTH(BQ5),DAY(BQ5))</f>
        <v>47118</v>
      </c>
      <c r="BW5" s="1365"/>
      <c r="BX5" s="1365"/>
      <c r="BY5" s="1365"/>
      <c r="BZ5" s="1366"/>
      <c r="CA5" s="1388"/>
      <c r="CB5" s="1388"/>
      <c r="CC5" s="1388"/>
      <c r="CD5" s="1388"/>
      <c r="CE5" s="1388"/>
    </row>
    <row r="6" spans="1:83" s="45" customFormat="1" ht="1.5" customHeight="1" x14ac:dyDescent="0.2">
      <c r="A6"/>
      <c r="B6"/>
      <c r="C6" s="42" t="s">
        <v>49</v>
      </c>
      <c r="D6" s="42">
        <v>6</v>
      </c>
      <c r="E6" s="42">
        <v>5</v>
      </c>
      <c r="F6" s="42">
        <v>4</v>
      </c>
      <c r="G6" s="42">
        <v>3</v>
      </c>
      <c r="H6" s="42">
        <v>2</v>
      </c>
      <c r="I6" s="42">
        <v>1</v>
      </c>
      <c r="J6" s="42"/>
      <c r="K6" s="42">
        <v>1</v>
      </c>
      <c r="L6" s="42">
        <v>2</v>
      </c>
      <c r="M6" s="42">
        <v>3</v>
      </c>
      <c r="N6" s="42">
        <v>4</v>
      </c>
      <c r="O6" s="42">
        <v>5</v>
      </c>
      <c r="P6" s="1373"/>
      <c r="Q6" s="1373"/>
      <c r="R6" s="42"/>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4"/>
      <c r="CB6" s="44"/>
      <c r="CC6" s="44"/>
      <c r="CD6" s="44"/>
      <c r="CE6" s="44"/>
    </row>
    <row r="7" spans="1:83" s="50" customFormat="1" ht="15" x14ac:dyDescent="0.2">
      <c r="A7"/>
      <c r="B7"/>
      <c r="C7" s="638"/>
      <c r="D7" s="51">
        <f t="shared" ref="D7:I7" si="0">DATE(Base_Year-D6,MONTH(FY_Year_End),DAY(FY_Year_End))</f>
        <v>43100</v>
      </c>
      <c r="E7" s="52">
        <f t="shared" si="0"/>
        <v>43465</v>
      </c>
      <c r="F7" s="52">
        <f t="shared" si="0"/>
        <v>43830</v>
      </c>
      <c r="G7" s="52">
        <f t="shared" si="0"/>
        <v>44196</v>
      </c>
      <c r="H7" s="52">
        <f t="shared" si="0"/>
        <v>44561</v>
      </c>
      <c r="I7" s="52">
        <f t="shared" si="0"/>
        <v>44926</v>
      </c>
      <c r="J7" s="52">
        <f>DATE(Base_Year,MONTH(FY_Year_End),DAY(FY_Year_End))</f>
        <v>45291</v>
      </c>
      <c r="K7" s="53">
        <f>DATE(Base_Year+K6,MONTH(FY_Year_End),DAY(FY_Year_End))</f>
        <v>45657</v>
      </c>
      <c r="L7" s="54">
        <f>DATE(Base_Year+L6,MONTH(FY_Year_End),DAY(FY_Year_End))</f>
        <v>46022</v>
      </c>
      <c r="M7" s="54">
        <f>DATE(Base_Year+M6,MONTH(FY_Year_End),DAY(FY_Year_End))</f>
        <v>46387</v>
      </c>
      <c r="N7" s="54">
        <f>DATE(Base_Year+N6,MONTH(FY_Year_End),DAY(FY_Year_End))</f>
        <v>46752</v>
      </c>
      <c r="O7" s="639">
        <f>DATE(Base_Year+O6,MONTH(FY_Year_End),DAY(FY_Year_End))</f>
        <v>47118</v>
      </c>
      <c r="P7" s="1373"/>
      <c r="Q7" s="1373"/>
      <c r="R7" s="56"/>
      <c r="S7" s="56" t="str">
        <f>TEXT(S5,"YYYY")&amp; " Q"&amp;$K$6</f>
        <v>2017 Q1</v>
      </c>
      <c r="T7" s="57" t="str">
        <f>TEXT(S5,"YYYY")&amp; " Q"&amp;$L$6</f>
        <v>2017 Q2</v>
      </c>
      <c r="U7" s="57" t="str">
        <f>TEXT(S5,"YYYY")&amp; " Q"&amp;$M$6</f>
        <v>2017 Q3</v>
      </c>
      <c r="V7" s="57" t="str">
        <f>TEXT(S5,"YYYY")&amp; " Q"&amp;$N$6</f>
        <v>2017 Q4</v>
      </c>
      <c r="W7" s="57" t="str">
        <f>TEXT(S5,"YYYY")&amp; " FY"</f>
        <v>2017 FY</v>
      </c>
      <c r="X7" s="57" t="str">
        <f>TEXT(X5,"YYYY")&amp; " Q"&amp;$K$6</f>
        <v>2018 Q1</v>
      </c>
      <c r="Y7" s="57" t="str">
        <f>TEXT(X5,"YYYY")&amp; " Q"&amp;$L$6</f>
        <v>2018 Q2</v>
      </c>
      <c r="Z7" s="57" t="str">
        <f>TEXT(X5,"YYYY")&amp; " Q"&amp;$M$6</f>
        <v>2018 Q3</v>
      </c>
      <c r="AA7" s="57" t="str">
        <f>TEXT(X5,"YYYY")&amp; " Q"&amp;$N$6</f>
        <v>2018 Q4</v>
      </c>
      <c r="AB7" s="57" t="str">
        <f>TEXT(X5,"YYYY")&amp; " FY"</f>
        <v>2018 FY</v>
      </c>
      <c r="AC7" s="57" t="str">
        <f>TEXT(AC5,"YYYY")&amp; " Q"&amp;$K$6</f>
        <v>2019 Q1</v>
      </c>
      <c r="AD7" s="57" t="str">
        <f>TEXT(AC5,"YYYY")&amp; " Q"&amp;$L$6</f>
        <v>2019 Q2</v>
      </c>
      <c r="AE7" s="57" t="str">
        <f>TEXT(AC5,"YYYY")&amp; " Q"&amp;$M$6</f>
        <v>2019 Q3</v>
      </c>
      <c r="AF7" s="57" t="str">
        <f>TEXT(AC5,"YYYY")&amp; " Q"&amp;$N$6</f>
        <v>2019 Q4</v>
      </c>
      <c r="AG7" s="57" t="str">
        <f>TEXT(AC5,"YYYY")&amp; " FY"</f>
        <v>2019 FY</v>
      </c>
      <c r="AH7" s="57" t="str">
        <f>TEXT(AH5,"YYYY")&amp; " Q"&amp;$K$6</f>
        <v>2020 Q1</v>
      </c>
      <c r="AI7" s="57" t="str">
        <f>TEXT(AH5,"YYYY")&amp; " Q"&amp;$L$6</f>
        <v>2020 Q2</v>
      </c>
      <c r="AJ7" s="57" t="str">
        <f>TEXT(AH5,"YYYY")&amp; " Q"&amp;$M$6</f>
        <v>2020 Q3</v>
      </c>
      <c r="AK7" s="57" t="str">
        <f>TEXT(AH5,"YYYY")&amp; " Q"&amp;$N$6</f>
        <v>2020 Q4</v>
      </c>
      <c r="AL7" s="57" t="str">
        <f>TEXT(AH5,"YYYY")&amp; " FY"</f>
        <v>2020 FY</v>
      </c>
      <c r="AM7" s="57" t="str">
        <f>TEXT(AM5,"YYYY")&amp; " Q"&amp;$K$6</f>
        <v>2021 Q1</v>
      </c>
      <c r="AN7" s="57" t="str">
        <f>TEXT(AM5,"YYYY")&amp; " Q"&amp;$L$6</f>
        <v>2021 Q2</v>
      </c>
      <c r="AO7" s="57" t="str">
        <f>TEXT(AM5,"YYYY")&amp; " Q"&amp;$M$6</f>
        <v>2021 Q3</v>
      </c>
      <c r="AP7" s="57" t="str">
        <f>TEXT(AM5,"YYYY")&amp; " Q"&amp;$N$6</f>
        <v>2021 Q4</v>
      </c>
      <c r="AQ7" s="57" t="str">
        <f>TEXT(AM5,"YYYY")&amp; " FY"</f>
        <v>2021 FY</v>
      </c>
      <c r="AR7" s="57" t="str">
        <f>TEXT(AR5,"YYYY")&amp; " Q"&amp;$K$6</f>
        <v>2022 Q1</v>
      </c>
      <c r="AS7" s="57" t="str">
        <f>TEXT(AR5,"YYYY")&amp; " Q"&amp;$L$6</f>
        <v>2022 Q2</v>
      </c>
      <c r="AT7" s="57" t="str">
        <f>TEXT(AR5,"YYYY")&amp; " Q"&amp;$M$6</f>
        <v>2022 Q3</v>
      </c>
      <c r="AU7" s="57" t="str">
        <f>TEXT(AR5,"YYYY")&amp; " Q"&amp;$N$6</f>
        <v>2022 Q4</v>
      </c>
      <c r="AV7" s="57" t="str">
        <f>TEXT(AR5,"YYYY")&amp; " FY"</f>
        <v>2022 FY</v>
      </c>
      <c r="AW7" s="57" t="str">
        <f>TEXT(AW5,"YYYY")&amp; " Q"&amp;$K$6</f>
        <v>2023 Q1</v>
      </c>
      <c r="AX7" s="57" t="str">
        <f>TEXT(AW5,"YYYY")&amp; " Q"&amp;$L$6</f>
        <v>2023 Q2</v>
      </c>
      <c r="AY7" s="57" t="str">
        <f>TEXT(AW5,"YYYY")&amp; " Q"&amp;$M$6</f>
        <v>2023 Q3</v>
      </c>
      <c r="AZ7" s="57" t="str">
        <f>TEXT(AW5,"YYYY")&amp; " Q"&amp;$N$6</f>
        <v>2023 Q4</v>
      </c>
      <c r="BA7" s="57" t="str">
        <f>TEXT(AW5,"YYYY")&amp; " FY"</f>
        <v>2023 FY</v>
      </c>
      <c r="BB7" s="57" t="str">
        <f>TEXT(BB5,"YYYY")&amp; " Q"&amp;$K$6</f>
        <v>2024 Q1</v>
      </c>
      <c r="BC7" s="57" t="str">
        <f>TEXT(BB5,"YYYY")&amp; " Q"&amp;$L$6</f>
        <v>2024 Q2</v>
      </c>
      <c r="BD7" s="57" t="str">
        <f>TEXT(BB5,"YYYY")&amp; " Q"&amp;$M$6</f>
        <v>2024 Q3</v>
      </c>
      <c r="BE7" s="58" t="str">
        <f>TEXT(BB5,"YYYY")&amp; " Q"&amp;$N$6</f>
        <v>2024 Q4</v>
      </c>
      <c r="BF7" s="58" t="str">
        <f>TEXT(BB5,"YYYY")&amp; " FY"</f>
        <v>2024 FY</v>
      </c>
      <c r="BG7" s="58" t="str">
        <f>TEXT(BG5,"YYYY")&amp; " Q"&amp;$K$6</f>
        <v>2025 Q1</v>
      </c>
      <c r="BH7" s="58" t="str">
        <f>TEXT(BG5,"YYYY")&amp; " Q"&amp;$L$6</f>
        <v>2025 Q2</v>
      </c>
      <c r="BI7" s="58" t="str">
        <f>TEXT(BG5,"YYYY")&amp; " Q"&amp;$M$6</f>
        <v>2025 Q3</v>
      </c>
      <c r="BJ7" s="58" t="str">
        <f>TEXT(BG5,"YYYY")&amp; " Q"&amp;$N$6</f>
        <v>2025 Q4</v>
      </c>
      <c r="BK7" s="58" t="str">
        <f>TEXT(BG5,"YYYY")&amp; " FY"</f>
        <v>2025 FY</v>
      </c>
      <c r="BL7" s="58" t="str">
        <f>TEXT(BL5,"YYYY")&amp; " Q"&amp;$K$6</f>
        <v>2026 Q1</v>
      </c>
      <c r="BM7" s="58" t="str">
        <f>TEXT(BL5,"YYYY")&amp; " Q"&amp;$L$6</f>
        <v>2026 Q2</v>
      </c>
      <c r="BN7" s="58" t="str">
        <f>TEXT(BL5,"YYYY")&amp; " Q"&amp;$M$6</f>
        <v>2026 Q3</v>
      </c>
      <c r="BO7" s="58" t="str">
        <f>TEXT(BL5,"YYYY")&amp; " Q"&amp;$N$6</f>
        <v>2026 Q4</v>
      </c>
      <c r="BP7" s="58" t="str">
        <f>TEXT(BL5,"YYYY")&amp; " FY"</f>
        <v>2026 FY</v>
      </c>
      <c r="BQ7" s="58" t="str">
        <f>TEXT(BQ5,"YYYY")&amp; " Q"&amp;$K$6</f>
        <v>2027 Q1</v>
      </c>
      <c r="BR7" s="58" t="str">
        <f>TEXT(BQ5,"YYYY")&amp; " Q"&amp;$L$6</f>
        <v>2027 Q2</v>
      </c>
      <c r="BS7" s="58" t="str">
        <f>TEXT(BQ5,"YYYY")&amp; " Q"&amp;$M$6</f>
        <v>2027 Q3</v>
      </c>
      <c r="BT7" s="58" t="str">
        <f>TEXT(BQ5,"YYYY")&amp; " Q"&amp;$N$6</f>
        <v>2027 Q4</v>
      </c>
      <c r="BU7" s="58" t="str">
        <f>TEXT(BQ5,"YYYY")&amp; " FY"</f>
        <v>2027 FY</v>
      </c>
      <c r="BV7" s="58" t="str">
        <f>TEXT(BV5,"YYYY")&amp; " Q"&amp;$K$6</f>
        <v>2028 Q1</v>
      </c>
      <c r="BW7" s="58" t="str">
        <f>TEXT(BV5,"YYYY")&amp; " Q"&amp;$L$6</f>
        <v>2028 Q2</v>
      </c>
      <c r="BX7" s="58" t="str">
        <f>TEXT(BV5,"YYYY")&amp; " Q"&amp;$M$6</f>
        <v>2028 Q3</v>
      </c>
      <c r="BY7" s="58" t="str">
        <f>TEXT(BV5,"YYYY")&amp; " Q"&amp;$N$6</f>
        <v>2028 Q4</v>
      </c>
      <c r="BZ7" s="59" t="str">
        <f>TEXT(BV5,"YYYY")&amp; " FY"</f>
        <v>2028 FY</v>
      </c>
    </row>
    <row r="8" spans="1:83" s="114" customFormat="1" ht="14.1" customHeight="1" x14ac:dyDescent="0.2">
      <c r="A8"/>
      <c r="B8"/>
      <c r="C8" s="640" t="s">
        <v>174</v>
      </c>
      <c r="J8" s="653"/>
      <c r="O8" s="200"/>
      <c r="R8" s="640" t="s">
        <v>174</v>
      </c>
      <c r="X8" s="210"/>
      <c r="AB8" s="200"/>
      <c r="AC8" s="210"/>
      <c r="AG8" s="200"/>
      <c r="AH8" s="210"/>
      <c r="AL8" s="200"/>
      <c r="AM8" s="210"/>
      <c r="AQ8" s="200"/>
      <c r="AR8" s="210"/>
      <c r="AV8" s="200"/>
      <c r="AW8" s="210"/>
      <c r="BA8" s="200"/>
      <c r="BB8" s="210"/>
      <c r="BF8" s="200"/>
      <c r="BG8" s="210"/>
      <c r="BK8" s="200"/>
      <c r="BL8" s="210"/>
      <c r="BP8" s="200"/>
      <c r="BQ8" s="210"/>
      <c r="BU8" s="200"/>
      <c r="BV8" s="210"/>
      <c r="BZ8" s="200"/>
    </row>
    <row r="9" spans="1:83" s="161" customFormat="1" ht="14.1" customHeight="1" x14ac:dyDescent="0.2">
      <c r="A9"/>
      <c r="B9"/>
      <c r="C9" s="640" t="s">
        <v>175</v>
      </c>
      <c r="J9" s="654"/>
      <c r="O9" s="218"/>
      <c r="R9" s="640" t="s">
        <v>175</v>
      </c>
      <c r="X9" s="672"/>
      <c r="AB9" s="218"/>
      <c r="AC9" s="672"/>
      <c r="AG9" s="218"/>
      <c r="AH9" s="672"/>
      <c r="AL9" s="218"/>
      <c r="AM9" s="672"/>
      <c r="AQ9" s="218"/>
      <c r="AR9" s="672"/>
      <c r="AV9" s="218"/>
      <c r="AW9" s="672"/>
      <c r="BA9" s="218"/>
      <c r="BB9" s="672"/>
      <c r="BF9" s="218"/>
      <c r="BG9" s="672"/>
      <c r="BK9" s="218"/>
      <c r="BL9" s="672"/>
      <c r="BP9" s="218"/>
      <c r="BQ9" s="672"/>
      <c r="BU9" s="218"/>
      <c r="BV9" s="672"/>
      <c r="BZ9" s="218"/>
    </row>
    <row r="10" spans="1:83" s="114" customFormat="1" ht="14.1" customHeight="1" x14ac:dyDescent="0.2">
      <c r="A10"/>
      <c r="B10"/>
      <c r="C10" s="641" t="str">
        <f>'Balance Sheet'!C10</f>
        <v>Cash and cash equivalents</v>
      </c>
      <c r="D10" s="114">
        <f>'Balance Sheet'!D10</f>
        <v>0</v>
      </c>
      <c r="E10" s="114">
        <f>'Balance Sheet'!E10</f>
        <v>0</v>
      </c>
      <c r="F10" s="114">
        <f>'Balance Sheet'!F10</f>
        <v>0</v>
      </c>
      <c r="G10" s="114">
        <f>'Balance Sheet'!G10</f>
        <v>0</v>
      </c>
      <c r="H10" s="114">
        <f>'Balance Sheet'!H10</f>
        <v>0</v>
      </c>
      <c r="I10" s="114">
        <f>'Balance Sheet'!I10</f>
        <v>0</v>
      </c>
      <c r="J10" s="653">
        <f>'Balance Sheet'!J10</f>
        <v>0</v>
      </c>
      <c r="K10" s="114">
        <f>'Balance Sheet'!K10</f>
        <v>0</v>
      </c>
      <c r="L10" s="114">
        <f>'Balance Sheet'!L10</f>
        <v>0</v>
      </c>
      <c r="M10" s="114">
        <f>'Balance Sheet'!M10</f>
        <v>0</v>
      </c>
      <c r="N10" s="114">
        <f>'Balance Sheet'!N10</f>
        <v>0</v>
      </c>
      <c r="O10" s="200">
        <f>'Balance Sheet'!O10</f>
        <v>0</v>
      </c>
      <c r="R10" s="641" t="str">
        <f>'Balance Sheet'!R10</f>
        <v>Cash and cash equivalents</v>
      </c>
      <c r="S10" s="114">
        <f>'Balance Sheet'!S10</f>
        <v>0</v>
      </c>
      <c r="T10" s="114">
        <f>'Balance Sheet'!T10</f>
        <v>0</v>
      </c>
      <c r="U10" s="114">
        <f>'Balance Sheet'!U10</f>
        <v>0</v>
      </c>
      <c r="V10" s="114">
        <f>'Balance Sheet'!V10</f>
        <v>0</v>
      </c>
      <c r="W10" s="114">
        <f>'Balance Sheet'!W10</f>
        <v>0</v>
      </c>
      <c r="X10" s="210">
        <f>'Balance Sheet'!X10</f>
        <v>0</v>
      </c>
      <c r="Y10" s="114">
        <f>'Balance Sheet'!Y10</f>
        <v>0</v>
      </c>
      <c r="Z10" s="114">
        <f>'Balance Sheet'!Z10</f>
        <v>0</v>
      </c>
      <c r="AA10" s="114">
        <f>'Balance Sheet'!AA10</f>
        <v>0</v>
      </c>
      <c r="AB10" s="200">
        <f>'Balance Sheet'!AB10</f>
        <v>0</v>
      </c>
      <c r="AC10" s="210">
        <f>'Balance Sheet'!AC10</f>
        <v>0</v>
      </c>
      <c r="AD10" s="114">
        <f>'Balance Sheet'!AD10</f>
        <v>0</v>
      </c>
      <c r="AE10" s="114">
        <f>'Balance Sheet'!AE10</f>
        <v>0</v>
      </c>
      <c r="AF10" s="114">
        <f>'Balance Sheet'!AF10</f>
        <v>0</v>
      </c>
      <c r="AG10" s="200">
        <f>'Balance Sheet'!AG10</f>
        <v>0</v>
      </c>
      <c r="AH10" s="210">
        <f>'Balance Sheet'!AH10</f>
        <v>0</v>
      </c>
      <c r="AI10" s="114">
        <f>'Balance Sheet'!AI10</f>
        <v>0</v>
      </c>
      <c r="AJ10" s="114">
        <f>'Balance Sheet'!AJ10</f>
        <v>0</v>
      </c>
      <c r="AK10" s="114">
        <f>'Balance Sheet'!AK10</f>
        <v>0</v>
      </c>
      <c r="AL10" s="200">
        <f>'Balance Sheet'!AL10</f>
        <v>0</v>
      </c>
      <c r="AM10" s="210">
        <f>'Balance Sheet'!AM10</f>
        <v>0</v>
      </c>
      <c r="AN10" s="114">
        <f>'Balance Sheet'!AN10</f>
        <v>0</v>
      </c>
      <c r="AO10" s="114">
        <f>'Balance Sheet'!AO10</f>
        <v>0</v>
      </c>
      <c r="AP10" s="114">
        <f>'Balance Sheet'!AP10</f>
        <v>0</v>
      </c>
      <c r="AQ10" s="200">
        <f>'Balance Sheet'!AQ10</f>
        <v>0</v>
      </c>
      <c r="AR10" s="210">
        <f>'Balance Sheet'!AR10</f>
        <v>0</v>
      </c>
      <c r="AS10" s="114">
        <f>'Balance Sheet'!AS10</f>
        <v>0</v>
      </c>
      <c r="AT10" s="114">
        <f>'Balance Sheet'!AT10</f>
        <v>0</v>
      </c>
      <c r="AU10" s="114">
        <f>'Balance Sheet'!AU10</f>
        <v>0</v>
      </c>
      <c r="AV10" s="200">
        <f>'Balance Sheet'!AV10</f>
        <v>0</v>
      </c>
      <c r="AW10" s="210">
        <f>'Balance Sheet'!AW10</f>
        <v>0</v>
      </c>
      <c r="AX10" s="114">
        <f>'Balance Sheet'!AX10</f>
        <v>0</v>
      </c>
      <c r="AY10" s="114">
        <f>'Balance Sheet'!AY10</f>
        <v>0</v>
      </c>
      <c r="AZ10" s="114">
        <f>'Balance Sheet'!AZ10</f>
        <v>0</v>
      </c>
      <c r="BA10" s="200">
        <f>'Balance Sheet'!BA10</f>
        <v>0</v>
      </c>
      <c r="BB10" s="210">
        <f>'Balance Sheet'!BB10</f>
        <v>0</v>
      </c>
      <c r="BC10" s="114">
        <f>'Balance Sheet'!BC10</f>
        <v>0</v>
      </c>
      <c r="BD10" s="114">
        <f>'Balance Sheet'!BD10</f>
        <v>0</v>
      </c>
      <c r="BE10" s="114">
        <f>'Balance Sheet'!BE10</f>
        <v>0</v>
      </c>
      <c r="BF10" s="200">
        <f>'Balance Sheet'!BF10</f>
        <v>0</v>
      </c>
      <c r="BG10" s="210">
        <f>'Balance Sheet'!BG10</f>
        <v>0</v>
      </c>
      <c r="BH10" s="114">
        <f>'Balance Sheet'!BH10</f>
        <v>0</v>
      </c>
      <c r="BI10" s="114">
        <f>'Balance Sheet'!BI10</f>
        <v>0</v>
      </c>
      <c r="BJ10" s="114">
        <f>'Balance Sheet'!BJ10</f>
        <v>0</v>
      </c>
      <c r="BK10" s="200">
        <f>'Balance Sheet'!BK10</f>
        <v>0</v>
      </c>
      <c r="BL10" s="210">
        <f>'Balance Sheet'!BL10</f>
        <v>0</v>
      </c>
      <c r="BM10" s="114">
        <f>'Balance Sheet'!BM10</f>
        <v>0</v>
      </c>
      <c r="BN10" s="114">
        <f>'Balance Sheet'!BN10</f>
        <v>0</v>
      </c>
      <c r="BO10" s="114">
        <f>'Balance Sheet'!BO10</f>
        <v>0</v>
      </c>
      <c r="BP10" s="200">
        <f>'Balance Sheet'!BP10</f>
        <v>0</v>
      </c>
      <c r="BQ10" s="210">
        <f>'Balance Sheet'!BQ10</f>
        <v>0</v>
      </c>
      <c r="BR10" s="114">
        <f>'Balance Sheet'!BR10</f>
        <v>0</v>
      </c>
      <c r="BS10" s="114">
        <f>'Balance Sheet'!BS10</f>
        <v>0</v>
      </c>
      <c r="BT10" s="114">
        <f>'Balance Sheet'!BT10</f>
        <v>0</v>
      </c>
      <c r="BU10" s="200">
        <f>'Balance Sheet'!BU10</f>
        <v>0</v>
      </c>
      <c r="BV10" s="210">
        <f>'Balance Sheet'!BV10</f>
        <v>0</v>
      </c>
      <c r="BW10" s="114">
        <f>'Balance Sheet'!BW10</f>
        <v>0</v>
      </c>
      <c r="BX10" s="114">
        <f>'Balance Sheet'!BX10</f>
        <v>0</v>
      </c>
      <c r="BY10" s="114">
        <f>'Balance Sheet'!BY10</f>
        <v>0</v>
      </c>
      <c r="BZ10" s="200">
        <f>'Balance Sheet'!BZ10</f>
        <v>0</v>
      </c>
    </row>
    <row r="11" spans="1:83" s="114" customFormat="1" ht="14.1" customHeight="1" x14ac:dyDescent="0.2">
      <c r="A11"/>
      <c r="B11"/>
      <c r="C11" s="641" t="str">
        <f>'Balance Sheet'!C11</f>
        <v>Accounts receivable, net</v>
      </c>
      <c r="D11" s="114">
        <f>'Balance Sheet'!D11</f>
        <v>170.27799999999999</v>
      </c>
      <c r="E11" s="114">
        <f>'Balance Sheet'!E11</f>
        <v>181.61199999999999</v>
      </c>
      <c r="F11" s="114">
        <f>'Balance Sheet'!F11</f>
        <v>196.119</v>
      </c>
      <c r="G11" s="114">
        <f>'Balance Sheet'!G11</f>
        <v>216.899</v>
      </c>
      <c r="H11" s="114">
        <f>'Balance Sheet'!H11</f>
        <v>276.755</v>
      </c>
      <c r="I11" s="114">
        <f>'Balance Sheet'!I11</f>
        <v>290.30599999999998</v>
      </c>
      <c r="J11" s="653">
        <f>'Balance Sheet'!J11</f>
        <v>311.74200000000002</v>
      </c>
      <c r="K11" s="114">
        <f>'Balance Sheet'!K11</f>
        <v>351.99738056844791</v>
      </c>
      <c r="L11" s="114">
        <f>'Balance Sheet'!L11</f>
        <v>393.43964367226334</v>
      </c>
      <c r="M11" s="114">
        <f>'Balance Sheet'!M11</f>
        <v>465.75628968485722</v>
      </c>
      <c r="N11" s="114">
        <f>'Balance Sheet'!N11</f>
        <v>539.79310502439887</v>
      </c>
      <c r="O11" s="200">
        <f>'Balance Sheet'!O11</f>
        <v>614.64955985704762</v>
      </c>
      <c r="R11" s="641" t="str">
        <f>'Balance Sheet'!R11</f>
        <v>Accounts receivable, net</v>
      </c>
      <c r="S11" s="114">
        <f>'Balance Sheet'!S11</f>
        <v>148.96799999999999</v>
      </c>
      <c r="T11" s="114">
        <f>'Balance Sheet'!T11</f>
        <v>167.012</v>
      </c>
      <c r="U11" s="114">
        <f>'Balance Sheet'!U11</f>
        <v>172.119</v>
      </c>
      <c r="V11" s="114">
        <f>'Balance Sheet'!V11</f>
        <v>170.27799999999999</v>
      </c>
      <c r="W11" s="114">
        <f>'Balance Sheet'!W11</f>
        <v>170.27799999999999</v>
      </c>
      <c r="X11" s="210">
        <f>'Balance Sheet'!X11</f>
        <v>191.43700000000001</v>
      </c>
      <c r="Y11" s="114">
        <f>'Balance Sheet'!Y11</f>
        <v>200.64400000000001</v>
      </c>
      <c r="Z11" s="114">
        <f>'Balance Sheet'!Z11</f>
        <v>197.97300000000001</v>
      </c>
      <c r="AA11" s="114">
        <f>'Balance Sheet'!AA11</f>
        <v>181.61199999999999</v>
      </c>
      <c r="AB11" s="200">
        <f>'Balance Sheet'!AB11</f>
        <v>181.61199999999999</v>
      </c>
      <c r="AC11" s="210">
        <f>'Balance Sheet'!AC11</f>
        <v>202.13300000000001</v>
      </c>
      <c r="AD11" s="114">
        <f>'Balance Sheet'!AD11</f>
        <v>227.04599999999999</v>
      </c>
      <c r="AE11" s="114">
        <f>'Balance Sheet'!AE11</f>
        <v>218</v>
      </c>
      <c r="AF11" s="114">
        <f>'Balance Sheet'!AF11</f>
        <v>196.119</v>
      </c>
      <c r="AG11" s="200">
        <f>'Balance Sheet'!AG11</f>
        <v>196.119</v>
      </c>
      <c r="AH11" s="210">
        <f>'Balance Sheet'!AH11</f>
        <v>210.89400000000001</v>
      </c>
      <c r="AI11" s="114">
        <f>'Balance Sheet'!AI11</f>
        <v>205.131</v>
      </c>
      <c r="AJ11" s="114">
        <f>'Balance Sheet'!AJ11</f>
        <v>226.67699999999999</v>
      </c>
      <c r="AK11" s="114">
        <f>'Balance Sheet'!AK11</f>
        <v>216.899</v>
      </c>
      <c r="AL11" s="200">
        <f>'Balance Sheet'!AL11</f>
        <v>216.899</v>
      </c>
      <c r="AM11" s="210">
        <f>'Balance Sheet'!AM11</f>
        <v>242.89500000000001</v>
      </c>
      <c r="AN11" s="114">
        <f>'Balance Sheet'!AN11</f>
        <v>261.113</v>
      </c>
      <c r="AO11" s="114">
        <f>'Balance Sheet'!AO11</f>
        <v>295.86200000000002</v>
      </c>
      <c r="AP11" s="114">
        <f>'Balance Sheet'!AP11</f>
        <v>276.755</v>
      </c>
      <c r="AQ11" s="200">
        <f>'Balance Sheet'!AQ11</f>
        <v>276.755</v>
      </c>
      <c r="AR11" s="210">
        <f>'Balance Sheet'!AR11</f>
        <v>322.34300000000002</v>
      </c>
      <c r="AS11" s="114">
        <f>'Balance Sheet'!AS11</f>
        <v>357.05200000000002</v>
      </c>
      <c r="AT11" s="114">
        <f>'Balance Sheet'!AT11</f>
        <v>335.59500000000003</v>
      </c>
      <c r="AU11" s="114">
        <f>'Balance Sheet'!AU11</f>
        <v>290.30599999999998</v>
      </c>
      <c r="AV11" s="200">
        <f>'Balance Sheet'!AV11</f>
        <v>290.30599999999998</v>
      </c>
      <c r="AW11" s="210">
        <f>'Balance Sheet'!AW11</f>
        <v>294.91699999999997</v>
      </c>
      <c r="AX11" s="114">
        <f>'Balance Sheet'!AX11</f>
        <v>299.55099999999999</v>
      </c>
      <c r="AY11" s="114">
        <f>'Balance Sheet'!AY11</f>
        <v>345.94</v>
      </c>
      <c r="AZ11" s="114">
        <f>'Balance Sheet'!AZ11</f>
        <v>311.74200000000002</v>
      </c>
      <c r="BA11" s="200">
        <f>'Balance Sheet'!BA11</f>
        <v>311.74200000000002</v>
      </c>
      <c r="BB11" s="210">
        <f>'Balance Sheet'!BB11</f>
        <v>345.80799999999999</v>
      </c>
      <c r="BC11" s="114">
        <f>'Balance Sheet'!BC11</f>
        <v>375.86799999999999</v>
      </c>
      <c r="BD11" s="114">
        <f>'Balance Sheet'!BD11</f>
        <v>372.39600000000002</v>
      </c>
      <c r="BE11" s="114">
        <f>'Balance Sheet'!BE11</f>
        <v>351.99738056844791</v>
      </c>
      <c r="BF11" s="200">
        <f>'Balance Sheet'!BF11</f>
        <v>351.99738056844791</v>
      </c>
      <c r="BG11" s="210">
        <f>'Balance Sheet'!BG11</f>
        <v>371.42871066947561</v>
      </c>
      <c r="BH11" s="114">
        <f>'Balance Sheet'!BH11</f>
        <v>412.8011904892507</v>
      </c>
      <c r="BI11" s="114">
        <f>'Balance Sheet'!BI11</f>
        <v>366.00034916739804</v>
      </c>
      <c r="BJ11" s="114">
        <f>'Balance Sheet'!BJ11</f>
        <v>393.43964367226334</v>
      </c>
      <c r="BK11" s="200">
        <f>'Balance Sheet'!BK11</f>
        <v>393.43964367226334</v>
      </c>
      <c r="BL11" s="210">
        <f>'Balance Sheet'!BL11</f>
        <v>426.52680579857355</v>
      </c>
      <c r="BM11" s="114">
        <f>'Balance Sheet'!BM11</f>
        <v>466.49712938877775</v>
      </c>
      <c r="BN11" s="114">
        <f>'Balance Sheet'!BN11</f>
        <v>426.22027221055765</v>
      </c>
      <c r="BO11" s="114">
        <f>'Balance Sheet'!BO11</f>
        <v>465.75628968485722</v>
      </c>
      <c r="BP11" s="200">
        <f>'Balance Sheet'!BP11</f>
        <v>465.75628968485722</v>
      </c>
      <c r="BQ11" s="210">
        <f>'Balance Sheet'!BQ11</f>
        <v>423.97989142110788</v>
      </c>
      <c r="BR11" s="114">
        <f>'Balance Sheet'!BR11</f>
        <v>548.72037154328586</v>
      </c>
      <c r="BS11" s="114">
        <f>'Balance Sheet'!BS11</f>
        <v>428.42526053621395</v>
      </c>
      <c r="BT11" s="114">
        <f>'Balance Sheet'!BT11</f>
        <v>539.79310502439887</v>
      </c>
      <c r="BU11" s="200">
        <f>'Balance Sheet'!BU11</f>
        <v>539.79310502439887</v>
      </c>
      <c r="BV11" s="210">
        <f>'Balance Sheet'!BV11</f>
        <v>419.77188488883314</v>
      </c>
      <c r="BW11" s="114">
        <f>'Balance Sheet'!BW11</f>
        <v>636.33781470486235</v>
      </c>
      <c r="BX11" s="114">
        <f>'Balance Sheet'!BX11</f>
        <v>421.97246501205689</v>
      </c>
      <c r="BY11" s="114">
        <f>'Balance Sheet'!BY11</f>
        <v>614.64955985704762</v>
      </c>
      <c r="BZ11" s="200">
        <f>'Balance Sheet'!BZ11</f>
        <v>614.64955985704762</v>
      </c>
    </row>
    <row r="12" spans="1:83" s="114" customFormat="1" ht="14.1" customHeight="1" x14ac:dyDescent="0.2">
      <c r="A12"/>
      <c r="B12"/>
      <c r="C12" s="641" t="str">
        <f>'Balance Sheet'!C12</f>
        <v>Prepaid expenses</v>
      </c>
      <c r="D12" s="114">
        <f>'Balance Sheet'!D12</f>
        <v>28.251000000000001</v>
      </c>
      <c r="E12" s="114">
        <f>'Balance Sheet'!E12</f>
        <v>29.567</v>
      </c>
      <c r="F12" s="114">
        <f>'Balance Sheet'!F12</f>
        <v>27.724</v>
      </c>
      <c r="G12" s="114">
        <f>'Balance Sheet'!G12</f>
        <v>29.393000000000001</v>
      </c>
      <c r="H12" s="114">
        <f>'Balance Sheet'!H12</f>
        <v>32.911999999999999</v>
      </c>
      <c r="I12" s="114">
        <f>'Balance Sheet'!I12</f>
        <v>22.524999999999999</v>
      </c>
      <c r="J12" s="653">
        <f>'Balance Sheet'!J12</f>
        <v>32.648000000000003</v>
      </c>
      <c r="K12" s="114">
        <f>'Balance Sheet'!K12</f>
        <v>32.348254178225183</v>
      </c>
      <c r="L12" s="114">
        <f>'Balance Sheet'!L12</f>
        <v>42.755104995343409</v>
      </c>
      <c r="M12" s="114">
        <f>'Balance Sheet'!M12</f>
        <v>49.170494599343968</v>
      </c>
      <c r="N12" s="114">
        <f>'Balance Sheet'!N12</f>
        <v>53.373348525682246</v>
      </c>
      <c r="O12" s="200">
        <f>'Balance Sheet'!O12</f>
        <v>57.144122225673172</v>
      </c>
      <c r="R12" s="641" t="str">
        <f>'Balance Sheet'!R12</f>
        <v>Prepaid expenses</v>
      </c>
      <c r="S12" s="114">
        <f>'Balance Sheet'!S12</f>
        <v>34.969000000000001</v>
      </c>
      <c r="T12" s="114">
        <f>'Balance Sheet'!T12</f>
        <v>30.219000000000001</v>
      </c>
      <c r="U12" s="114">
        <f>'Balance Sheet'!U12</f>
        <v>28.399000000000001</v>
      </c>
      <c r="V12" s="114">
        <f>'Balance Sheet'!V12</f>
        <v>28.251000000000001</v>
      </c>
      <c r="W12" s="114">
        <f>'Balance Sheet'!W12</f>
        <v>28.251000000000001</v>
      </c>
      <c r="X12" s="210">
        <f>'Balance Sheet'!X12</f>
        <v>34.066000000000003</v>
      </c>
      <c r="Y12" s="114">
        <f>'Balance Sheet'!Y12</f>
        <v>30.853999999999999</v>
      </c>
      <c r="Z12" s="114">
        <f>'Balance Sheet'!Z12</f>
        <v>26.155000000000001</v>
      </c>
      <c r="AA12" s="114">
        <f>'Balance Sheet'!AA12</f>
        <v>29.567</v>
      </c>
      <c r="AB12" s="200">
        <f>'Balance Sheet'!AB12</f>
        <v>29.567</v>
      </c>
      <c r="AC12" s="210">
        <f>'Balance Sheet'!AC12</f>
        <v>38.923000000000002</v>
      </c>
      <c r="AD12" s="114">
        <f>'Balance Sheet'!AD12</f>
        <v>33.840000000000003</v>
      </c>
      <c r="AE12" s="114">
        <f>'Balance Sheet'!AE12</f>
        <v>31.693999999999999</v>
      </c>
      <c r="AF12" s="114">
        <f>'Balance Sheet'!AF12</f>
        <v>27.724</v>
      </c>
      <c r="AG12" s="200">
        <f>'Balance Sheet'!AG12</f>
        <v>27.724</v>
      </c>
      <c r="AH12" s="210">
        <f>'Balance Sheet'!AH12</f>
        <v>41.563000000000002</v>
      </c>
      <c r="AI12" s="114">
        <f>'Balance Sheet'!AI12</f>
        <v>34.082000000000001</v>
      </c>
      <c r="AJ12" s="114">
        <f>'Balance Sheet'!AJ12</f>
        <v>27.971</v>
      </c>
      <c r="AK12" s="114">
        <f>'Balance Sheet'!AK12</f>
        <v>29.393000000000001</v>
      </c>
      <c r="AL12" s="200">
        <f>'Balance Sheet'!AL12</f>
        <v>29.393000000000001</v>
      </c>
      <c r="AM12" s="210">
        <f>'Balance Sheet'!AM12</f>
        <v>52.16</v>
      </c>
      <c r="AN12" s="114">
        <f>'Balance Sheet'!AN12</f>
        <v>38.31</v>
      </c>
      <c r="AO12" s="114">
        <f>'Balance Sheet'!AO12</f>
        <v>33.045000000000002</v>
      </c>
      <c r="AP12" s="114">
        <f>'Balance Sheet'!AP12</f>
        <v>32.911999999999999</v>
      </c>
      <c r="AQ12" s="200">
        <f>'Balance Sheet'!AQ12</f>
        <v>32.911999999999999</v>
      </c>
      <c r="AR12" s="210">
        <f>'Balance Sheet'!AR12</f>
        <v>46.997999999999998</v>
      </c>
      <c r="AS12" s="114">
        <f>'Balance Sheet'!AS12</f>
        <v>32.040999999999997</v>
      </c>
      <c r="AT12" s="114">
        <f>'Balance Sheet'!AT12</f>
        <v>54.122999999999998</v>
      </c>
      <c r="AU12" s="114">
        <f>'Balance Sheet'!AU12</f>
        <v>22.524999999999999</v>
      </c>
      <c r="AV12" s="200">
        <f>'Balance Sheet'!AV12</f>
        <v>22.524999999999999</v>
      </c>
      <c r="AW12" s="210">
        <f>'Balance Sheet'!AW12</f>
        <v>38.634999999999998</v>
      </c>
      <c r="AX12" s="114">
        <f>'Balance Sheet'!AX12</f>
        <v>36.515000000000001</v>
      </c>
      <c r="AY12" s="114">
        <f>'Balance Sheet'!AY12</f>
        <v>28.484999999999999</v>
      </c>
      <c r="AZ12" s="114">
        <f>'Balance Sheet'!AZ12</f>
        <v>32.648000000000003</v>
      </c>
      <c r="BA12" s="200">
        <f>'Balance Sheet'!BA12</f>
        <v>32.648000000000003</v>
      </c>
      <c r="BB12" s="210">
        <f>'Balance Sheet'!BB12</f>
        <v>51.231000000000002</v>
      </c>
      <c r="BC12" s="114">
        <f>'Balance Sheet'!BC12</f>
        <v>42.762</v>
      </c>
      <c r="BD12" s="114">
        <f>'Balance Sheet'!BD12</f>
        <v>35.746000000000002</v>
      </c>
      <c r="BE12" s="114">
        <f>'Balance Sheet'!BE12</f>
        <v>32.348254178225183</v>
      </c>
      <c r="BF12" s="200">
        <f>'Balance Sheet'!BF12</f>
        <v>32.348254178225183</v>
      </c>
      <c r="BG12" s="210">
        <f>'Balance Sheet'!BG12</f>
        <v>64.017286820660715</v>
      </c>
      <c r="BH12" s="114">
        <f>'Balance Sheet'!BH12</f>
        <v>59.603488503233265</v>
      </c>
      <c r="BI12" s="114">
        <f>'Balance Sheet'!BI12</f>
        <v>42.344811693118949</v>
      </c>
      <c r="BJ12" s="114">
        <f>'Balance Sheet'!BJ12</f>
        <v>42.755104995343409</v>
      </c>
      <c r="BK12" s="200">
        <f>'Balance Sheet'!BK12</f>
        <v>42.755104995343409</v>
      </c>
      <c r="BL12" s="210">
        <f>'Balance Sheet'!BL12</f>
        <v>50.886456924024536</v>
      </c>
      <c r="BM12" s="114">
        <f>'Balance Sheet'!BM12</f>
        <v>58.654913994953283</v>
      </c>
      <c r="BN12" s="114">
        <f>'Balance Sheet'!BN12</f>
        <v>46.428243101312582</v>
      </c>
      <c r="BO12" s="114">
        <f>'Balance Sheet'!BO12</f>
        <v>49.170494599343968</v>
      </c>
      <c r="BP12" s="200">
        <f>'Balance Sheet'!BP12</f>
        <v>49.170494599343968</v>
      </c>
      <c r="BQ12" s="210">
        <f>'Balance Sheet'!BQ12</f>
        <v>55.216310231733537</v>
      </c>
      <c r="BR12" s="114">
        <f>'Balance Sheet'!BR12</f>
        <v>63.888153518612498</v>
      </c>
      <c r="BS12" s="114">
        <f>'Balance Sheet'!BS12</f>
        <v>50.819167264238224</v>
      </c>
      <c r="BT12" s="114">
        <f>'Balance Sheet'!BT12</f>
        <v>53.373348525682246</v>
      </c>
      <c r="BU12" s="200">
        <f>'Balance Sheet'!BU12</f>
        <v>53.373348525682246</v>
      </c>
      <c r="BV12" s="210">
        <f>'Balance Sheet'!BV12</f>
        <v>59.549829821126579</v>
      </c>
      <c r="BW12" s="114">
        <f>'Balance Sheet'!BW12</f>
        <v>69.36658823809492</v>
      </c>
      <c r="BX12" s="114">
        <f>'Balance Sheet'!BX12</f>
        <v>55.040359754707644</v>
      </c>
      <c r="BY12" s="114">
        <f>'Balance Sheet'!BY12</f>
        <v>57.144122225673172</v>
      </c>
      <c r="BZ12" s="200">
        <f>'Balance Sheet'!BZ12</f>
        <v>57.144122225673172</v>
      </c>
    </row>
    <row r="13" spans="1:83" s="114" customFormat="1" ht="14.1" customHeight="1" x14ac:dyDescent="0.2">
      <c r="A13"/>
      <c r="B13"/>
      <c r="C13" s="641" t="str">
        <f>'Balance Sheet'!C13</f>
        <v>Income tax receivable</v>
      </c>
      <c r="D13" s="114">
        <f>'Balance Sheet'!D13</f>
        <v>0</v>
      </c>
      <c r="E13" s="114">
        <f>'Balance Sheet'!E13</f>
        <v>0</v>
      </c>
      <c r="F13" s="114">
        <f>'Balance Sheet'!F13</f>
        <v>8.2880000000000003</v>
      </c>
      <c r="G13" s="114">
        <f>'Balance Sheet'!G13</f>
        <v>9.6000000000000002E-2</v>
      </c>
      <c r="H13" s="114">
        <f>'Balance Sheet'!H13</f>
        <v>0</v>
      </c>
      <c r="I13" s="114">
        <f>'Balance Sheet'!I13</f>
        <v>23.437999999999999</v>
      </c>
      <c r="J13" s="653">
        <f>'Balance Sheet'!J13</f>
        <v>0</v>
      </c>
      <c r="K13" s="114">
        <f>'Balance Sheet'!K13</f>
        <v>7.8898180922500449</v>
      </c>
      <c r="L13" s="114">
        <f>'Balance Sheet'!L13</f>
        <v>8.0165821866268878</v>
      </c>
      <c r="M13" s="114">
        <f>'Balance Sheet'!M13</f>
        <v>9.4156266254062917</v>
      </c>
      <c r="N13" s="114">
        <f>'Balance Sheet'!N13</f>
        <v>10.220428441088089</v>
      </c>
      <c r="O13" s="200">
        <f>'Balance Sheet'!O13</f>
        <v>10.942491490022521</v>
      </c>
      <c r="R13" s="641" t="str">
        <f>'Balance Sheet'!R13</f>
        <v>Income tax receivable</v>
      </c>
      <c r="S13" s="114">
        <f>'Balance Sheet'!S13</f>
        <v>0</v>
      </c>
      <c r="T13" s="114">
        <f>'Balance Sheet'!T13</f>
        <v>0</v>
      </c>
      <c r="U13" s="114">
        <f>'Balance Sheet'!U13</f>
        <v>0</v>
      </c>
      <c r="V13" s="114">
        <f>'Balance Sheet'!V13</f>
        <v>0</v>
      </c>
      <c r="W13" s="114">
        <f>'Balance Sheet'!W13</f>
        <v>0</v>
      </c>
      <c r="X13" s="210">
        <f>'Balance Sheet'!X13</f>
        <v>0</v>
      </c>
      <c r="Y13" s="114">
        <f>'Balance Sheet'!Y13</f>
        <v>0</v>
      </c>
      <c r="Z13" s="114">
        <f>'Balance Sheet'!Z13</f>
        <v>0</v>
      </c>
      <c r="AA13" s="114">
        <f>'Balance Sheet'!AA13</f>
        <v>0</v>
      </c>
      <c r="AB13" s="200">
        <f>'Balance Sheet'!AB13</f>
        <v>0</v>
      </c>
      <c r="AC13" s="210">
        <f>'Balance Sheet'!AC13</f>
        <v>0</v>
      </c>
      <c r="AD13" s="114">
        <f>'Balance Sheet'!AD13</f>
        <v>0</v>
      </c>
      <c r="AE13" s="114">
        <f>'Balance Sheet'!AE13</f>
        <v>0</v>
      </c>
      <c r="AF13" s="114">
        <f>'Balance Sheet'!AF13</f>
        <v>8.2880000000000003</v>
      </c>
      <c r="AG13" s="200">
        <f>'Balance Sheet'!AG13</f>
        <v>8.2880000000000003</v>
      </c>
      <c r="AH13" s="210">
        <f>'Balance Sheet'!AH13</f>
        <v>6.5419999999999998</v>
      </c>
      <c r="AI13" s="114">
        <f>'Balance Sheet'!AI13</f>
        <v>1.1499999999999999</v>
      </c>
      <c r="AJ13" s="114">
        <f>'Balance Sheet'!AJ13</f>
        <v>0</v>
      </c>
      <c r="AK13" s="114">
        <f>'Balance Sheet'!AK13</f>
        <v>9.6000000000000002E-2</v>
      </c>
      <c r="AL13" s="200">
        <f>'Balance Sheet'!AL13</f>
        <v>9.6000000000000002E-2</v>
      </c>
      <c r="AM13" s="210">
        <f>'Balance Sheet'!AM13</f>
        <v>0</v>
      </c>
      <c r="AN13" s="114">
        <f>'Balance Sheet'!AN13</f>
        <v>1.5980000000000001</v>
      </c>
      <c r="AO13" s="114">
        <f>'Balance Sheet'!AO13</f>
        <v>0</v>
      </c>
      <c r="AP13" s="114">
        <f>'Balance Sheet'!AP13</f>
        <v>0</v>
      </c>
      <c r="AQ13" s="200">
        <f>'Balance Sheet'!AQ13</f>
        <v>0</v>
      </c>
      <c r="AR13" s="210">
        <f>'Balance Sheet'!AR13</f>
        <v>0</v>
      </c>
      <c r="AS13" s="114">
        <f>'Balance Sheet'!AS13</f>
        <v>9.4120000000000008</v>
      </c>
      <c r="AT13" s="114">
        <f>'Balance Sheet'!AT13</f>
        <v>11.859</v>
      </c>
      <c r="AU13" s="114">
        <f>'Balance Sheet'!AU13</f>
        <v>23.437999999999999</v>
      </c>
      <c r="AV13" s="200">
        <f>'Balance Sheet'!AV13</f>
        <v>23.437999999999999</v>
      </c>
      <c r="AW13" s="210">
        <f>'Balance Sheet'!AW13</f>
        <v>6.391</v>
      </c>
      <c r="AX13" s="114">
        <f>'Balance Sheet'!AX13</f>
        <v>1.4419999999999999</v>
      </c>
      <c r="AY13" s="114">
        <f>'Balance Sheet'!AY13</f>
        <v>14.433999999999999</v>
      </c>
      <c r="AZ13" s="114">
        <f>'Balance Sheet'!AZ13</f>
        <v>0</v>
      </c>
      <c r="BA13" s="200">
        <f>'Balance Sheet'!BA13</f>
        <v>0</v>
      </c>
      <c r="BB13" s="210">
        <f>'Balance Sheet'!BB13</f>
        <v>0</v>
      </c>
      <c r="BC13" s="114">
        <f>'Balance Sheet'!BC13</f>
        <v>7.165</v>
      </c>
      <c r="BD13" s="114">
        <f>'Balance Sheet'!BD13</f>
        <v>8.3290000000000006</v>
      </c>
      <c r="BE13" s="114">
        <f>'Balance Sheet'!BE13</f>
        <v>7.8898180922500449</v>
      </c>
      <c r="BF13" s="200">
        <f>'Balance Sheet'!BF13</f>
        <v>7.8898180922500449</v>
      </c>
      <c r="BG13" s="210">
        <f>'Balance Sheet'!BG13</f>
        <v>0.83139333533325599</v>
      </c>
      <c r="BH13" s="114">
        <f>'Balance Sheet'!BH13</f>
        <v>3.6792276853847699</v>
      </c>
      <c r="BI13" s="114">
        <f>'Balance Sheet'!BI13</f>
        <v>7.3643150770641652</v>
      </c>
      <c r="BJ13" s="114">
        <f>'Balance Sheet'!BJ13</f>
        <v>8.0165821866268878</v>
      </c>
      <c r="BK13" s="200">
        <f>'Balance Sheet'!BK13</f>
        <v>8.0165821866268878</v>
      </c>
      <c r="BL13" s="210">
        <f>'Balance Sheet'!BL13</f>
        <v>0.94234179488934333</v>
      </c>
      <c r="BM13" s="114">
        <f>'Balance Sheet'!BM13</f>
        <v>4.1896367139252346</v>
      </c>
      <c r="BN13" s="114">
        <f>'Balance Sheet'!BN13</f>
        <v>12.662248118539797</v>
      </c>
      <c r="BO13" s="114">
        <f>'Balance Sheet'!BO13</f>
        <v>9.4156266254062917</v>
      </c>
      <c r="BP13" s="200">
        <f>'Balance Sheet'!BP13</f>
        <v>9.4156266254062917</v>
      </c>
      <c r="BQ13" s="210">
        <f>'Balance Sheet'!BQ13</f>
        <v>1.0225242635506211</v>
      </c>
      <c r="BR13" s="114">
        <f>'Balance Sheet'!BR13</f>
        <v>4.5634395370437497</v>
      </c>
      <c r="BS13" s="114">
        <f>'Balance Sheet'!BS13</f>
        <v>13.85977289024679</v>
      </c>
      <c r="BT13" s="114">
        <f>'Balance Sheet'!BT13</f>
        <v>10.220428441088089</v>
      </c>
      <c r="BU13" s="200">
        <f>'Balance Sheet'!BU13</f>
        <v>10.220428441088089</v>
      </c>
      <c r="BV13" s="210">
        <f>'Balance Sheet'!BV13</f>
        <v>1.1027746263171589</v>
      </c>
      <c r="BW13" s="114">
        <f>'Balance Sheet'!BW13</f>
        <v>4.9547563027210657</v>
      </c>
      <c r="BX13" s="114">
        <f>'Balance Sheet'!BX13</f>
        <v>15.01100720582936</v>
      </c>
      <c r="BY13" s="114">
        <f>'Balance Sheet'!BY13</f>
        <v>10.942491490022521</v>
      </c>
      <c r="BZ13" s="200">
        <f>'Balance Sheet'!BZ13</f>
        <v>10.942491490022521</v>
      </c>
    </row>
    <row r="14" spans="1:83" s="114" customFormat="1" ht="14.1" customHeight="1" x14ac:dyDescent="0.2">
      <c r="A14"/>
      <c r="B14"/>
      <c r="C14" s="641" t="str">
        <f>'Balance Sheet'!C14</f>
        <v>Other current assets</v>
      </c>
      <c r="D14" s="114">
        <f>'Balance Sheet'!D14</f>
        <v>0</v>
      </c>
      <c r="E14" s="114">
        <f>'Balance Sheet'!E14</f>
        <v>0</v>
      </c>
      <c r="F14" s="114">
        <f>'Balance Sheet'!F14</f>
        <v>0</v>
      </c>
      <c r="G14" s="114">
        <f>'Balance Sheet'!G14</f>
        <v>0</v>
      </c>
      <c r="H14" s="114">
        <f>'Balance Sheet'!H14</f>
        <v>0</v>
      </c>
      <c r="I14" s="114">
        <f>'Balance Sheet'!I14</f>
        <v>7.2270000000000003</v>
      </c>
      <c r="J14" s="653">
        <f>'Balance Sheet'!J14</f>
        <v>8.0890000000000004</v>
      </c>
      <c r="K14" s="114">
        <f>'Balance Sheet'!K14</f>
        <v>5.9173635691875335</v>
      </c>
      <c r="L14" s="114">
        <f>'Balance Sheet'!L14</f>
        <v>6.2351194784875803</v>
      </c>
      <c r="M14" s="114">
        <f>'Balance Sheet'!M14</f>
        <v>3.1385422084687638</v>
      </c>
      <c r="N14" s="114">
        <f>'Balance Sheet'!N14</f>
        <v>3.4068094803626963</v>
      </c>
      <c r="O14" s="200">
        <f>'Balance Sheet'!O14</f>
        <v>3.6474971633408408</v>
      </c>
      <c r="R14" s="641" t="str">
        <f>'Balance Sheet'!R14</f>
        <v>Other current assets</v>
      </c>
      <c r="S14" s="114">
        <f>'Balance Sheet'!S14</f>
        <v>0</v>
      </c>
      <c r="T14" s="114">
        <f>'Balance Sheet'!T14</f>
        <v>0</v>
      </c>
      <c r="U14" s="114">
        <f>'Balance Sheet'!U14</f>
        <v>0</v>
      </c>
      <c r="V14" s="114">
        <f>'Balance Sheet'!V14</f>
        <v>0</v>
      </c>
      <c r="W14" s="114">
        <f>'Balance Sheet'!W14</f>
        <v>0</v>
      </c>
      <c r="X14" s="210">
        <f>'Balance Sheet'!X14</f>
        <v>0</v>
      </c>
      <c r="Y14" s="114">
        <f>'Balance Sheet'!Y14</f>
        <v>0</v>
      </c>
      <c r="Z14" s="114">
        <f>'Balance Sheet'!Z14</f>
        <v>0</v>
      </c>
      <c r="AA14" s="114">
        <f>'Balance Sheet'!AA14</f>
        <v>0</v>
      </c>
      <c r="AB14" s="200">
        <f>'Balance Sheet'!AB14</f>
        <v>0</v>
      </c>
      <c r="AC14" s="210">
        <f>'Balance Sheet'!AC14</f>
        <v>0</v>
      </c>
      <c r="AD14" s="114">
        <f>'Balance Sheet'!AD14</f>
        <v>0</v>
      </c>
      <c r="AE14" s="114">
        <f>'Balance Sheet'!AE14</f>
        <v>0</v>
      </c>
      <c r="AF14" s="114">
        <f>'Balance Sheet'!AF14</f>
        <v>0</v>
      </c>
      <c r="AG14" s="200">
        <f>'Balance Sheet'!AG14</f>
        <v>0</v>
      </c>
      <c r="AH14" s="210">
        <f>'Balance Sheet'!AH14</f>
        <v>0</v>
      </c>
      <c r="AI14" s="114">
        <f>'Balance Sheet'!AI14</f>
        <v>0</v>
      </c>
      <c r="AJ14" s="114">
        <f>'Balance Sheet'!AJ14</f>
        <v>0</v>
      </c>
      <c r="AK14" s="114">
        <f>'Balance Sheet'!AK14</f>
        <v>0</v>
      </c>
      <c r="AL14" s="200">
        <f>'Balance Sheet'!AL14</f>
        <v>0</v>
      </c>
      <c r="AM14" s="210">
        <f>'Balance Sheet'!AM14</f>
        <v>0</v>
      </c>
      <c r="AN14" s="114">
        <f>'Balance Sheet'!AN14</f>
        <v>0</v>
      </c>
      <c r="AO14" s="114">
        <f>'Balance Sheet'!AO14</f>
        <v>0</v>
      </c>
      <c r="AP14" s="114">
        <f>'Balance Sheet'!AP14</f>
        <v>0</v>
      </c>
      <c r="AQ14" s="200">
        <f>'Balance Sheet'!AQ14</f>
        <v>0</v>
      </c>
      <c r="AR14" s="210">
        <f>'Balance Sheet'!AR14</f>
        <v>0</v>
      </c>
      <c r="AS14" s="114">
        <f>'Balance Sheet'!AS14</f>
        <v>0</v>
      </c>
      <c r="AT14" s="114">
        <f>'Balance Sheet'!AT14</f>
        <v>0</v>
      </c>
      <c r="AU14" s="114">
        <f>'Balance Sheet'!AU14</f>
        <v>7.2270000000000003</v>
      </c>
      <c r="AV14" s="200">
        <f>'Balance Sheet'!AV14</f>
        <v>7.2270000000000003</v>
      </c>
      <c r="AW14" s="210">
        <f>'Balance Sheet'!AW14</f>
        <v>7.1459999999999999</v>
      </c>
      <c r="AX14" s="114">
        <f>'Balance Sheet'!AX14</f>
        <v>6.3639999999999999</v>
      </c>
      <c r="AY14" s="114">
        <f>'Balance Sheet'!AY14</f>
        <v>7.4720000000000004</v>
      </c>
      <c r="AZ14" s="114">
        <f>'Balance Sheet'!AZ14</f>
        <v>8.0890000000000004</v>
      </c>
      <c r="BA14" s="200">
        <f>'Balance Sheet'!BA14</f>
        <v>8.0890000000000004</v>
      </c>
      <c r="BB14" s="210">
        <f>'Balance Sheet'!BB14</f>
        <v>6.9130000000000003</v>
      </c>
      <c r="BC14" s="114">
        <f>'Balance Sheet'!BC14</f>
        <v>9.0969999999999995</v>
      </c>
      <c r="BD14" s="114">
        <f>'Balance Sheet'!BD14</f>
        <v>6.4710000000000001</v>
      </c>
      <c r="BE14" s="114">
        <f>'Balance Sheet'!BE14</f>
        <v>5.9173635691875335</v>
      </c>
      <c r="BF14" s="200">
        <f>'Balance Sheet'!BF14</f>
        <v>5.9173635691875335</v>
      </c>
      <c r="BG14" s="210">
        <f>'Balance Sheet'!BG14</f>
        <v>7.4825400179993036</v>
      </c>
      <c r="BH14" s="114">
        <f>'Balance Sheet'!BH14</f>
        <v>10.117876134808116</v>
      </c>
      <c r="BI14" s="114">
        <f>'Balance Sheet'!BI14</f>
        <v>7.3643150770641652</v>
      </c>
      <c r="BJ14" s="114">
        <f>'Balance Sheet'!BJ14</f>
        <v>6.2351194784875803</v>
      </c>
      <c r="BK14" s="200">
        <f>'Balance Sheet'!BK14</f>
        <v>6.2351194784875803</v>
      </c>
      <c r="BL14" s="210">
        <f>'Balance Sheet'!BL14</f>
        <v>8.4810761540040893</v>
      </c>
      <c r="BM14" s="114">
        <f>'Balance Sheet'!BM14</f>
        <v>11.521500963294393</v>
      </c>
      <c r="BN14" s="114">
        <f>'Balance Sheet'!BN14</f>
        <v>8.4414987456931971</v>
      </c>
      <c r="BO14" s="114">
        <f>'Balance Sheet'!BO14</f>
        <v>3.1385422084687638</v>
      </c>
      <c r="BP14" s="200">
        <f>'Balance Sheet'!BP14</f>
        <v>3.1385422084687638</v>
      </c>
      <c r="BQ14" s="210">
        <f>'Balance Sheet'!BQ14</f>
        <v>9.2027183719555889</v>
      </c>
      <c r="BR14" s="114">
        <f>'Balance Sheet'!BR14</f>
        <v>12.549458726870311</v>
      </c>
      <c r="BS14" s="114">
        <f>'Balance Sheet'!BS14</f>
        <v>9.2398485934978609</v>
      </c>
      <c r="BT14" s="114">
        <f>'Balance Sheet'!BT14</f>
        <v>3.4068094803626963</v>
      </c>
      <c r="BU14" s="200">
        <f>'Balance Sheet'!BU14</f>
        <v>3.4068094803626963</v>
      </c>
      <c r="BV14" s="210">
        <f>'Balance Sheet'!BV14</f>
        <v>9.9249716368544298</v>
      </c>
      <c r="BW14" s="114">
        <f>'Balance Sheet'!BW14</f>
        <v>13.625579832482929</v>
      </c>
      <c r="BX14" s="114">
        <f>'Balance Sheet'!BX14</f>
        <v>10.007338137219573</v>
      </c>
      <c r="BY14" s="114">
        <f>'Balance Sheet'!BY14</f>
        <v>3.6474971633408408</v>
      </c>
      <c r="BZ14" s="200">
        <f>'Balance Sheet'!BZ14</f>
        <v>3.6474971633408408</v>
      </c>
    </row>
    <row r="15" spans="1:83" s="114" customFormat="1" ht="14.1" customHeight="1" x14ac:dyDescent="0.2">
      <c r="A15"/>
      <c r="B15"/>
      <c r="C15" s="642" t="str">
        <f>'Balance Sheet'!C15</f>
        <v>Total Current Assets</v>
      </c>
      <c r="D15" s="181">
        <f>SUM(D10:D14)</f>
        <v>198.529</v>
      </c>
      <c r="E15" s="181">
        <f t="shared" ref="E15:O15" si="1">SUM(E10:E14)</f>
        <v>211.179</v>
      </c>
      <c r="F15" s="181">
        <f t="shared" si="1"/>
        <v>232.131</v>
      </c>
      <c r="G15" s="181">
        <f t="shared" si="1"/>
        <v>246.38800000000001</v>
      </c>
      <c r="H15" s="181">
        <f t="shared" si="1"/>
        <v>309.66699999999997</v>
      </c>
      <c r="I15" s="181">
        <f t="shared" si="1"/>
        <v>343.49599999999992</v>
      </c>
      <c r="J15" s="655">
        <f t="shared" si="1"/>
        <v>352.47900000000004</v>
      </c>
      <c r="K15" s="181">
        <f t="shared" si="1"/>
        <v>398.15281640811071</v>
      </c>
      <c r="L15" s="181">
        <f t="shared" si="1"/>
        <v>450.44645033272121</v>
      </c>
      <c r="M15" s="181">
        <f t="shared" si="1"/>
        <v>527.48095311807617</v>
      </c>
      <c r="N15" s="181">
        <f t="shared" si="1"/>
        <v>606.79369147153182</v>
      </c>
      <c r="O15" s="643">
        <f t="shared" si="1"/>
        <v>686.38367073608424</v>
      </c>
      <c r="P15" s="594"/>
      <c r="Q15" s="647"/>
      <c r="R15" s="642" t="str">
        <f>'Balance Sheet'!R15</f>
        <v>Total Current Assets</v>
      </c>
      <c r="S15" s="181">
        <f>SUM(S10:S14)</f>
        <v>183.93699999999998</v>
      </c>
      <c r="T15" s="181">
        <f t="shared" ref="T15:BZ15" si="2">SUM(T10:T14)</f>
        <v>197.23099999999999</v>
      </c>
      <c r="U15" s="181">
        <f t="shared" si="2"/>
        <v>200.518</v>
      </c>
      <c r="V15" s="181">
        <f t="shared" si="2"/>
        <v>198.529</v>
      </c>
      <c r="W15" s="181">
        <f t="shared" si="2"/>
        <v>198.529</v>
      </c>
      <c r="X15" s="659">
        <f t="shared" si="2"/>
        <v>225.50300000000001</v>
      </c>
      <c r="Y15" s="181">
        <f t="shared" si="2"/>
        <v>231.49799999999999</v>
      </c>
      <c r="Z15" s="181">
        <f t="shared" si="2"/>
        <v>224.12800000000001</v>
      </c>
      <c r="AA15" s="181">
        <f t="shared" si="2"/>
        <v>211.179</v>
      </c>
      <c r="AB15" s="643">
        <f t="shared" si="2"/>
        <v>211.179</v>
      </c>
      <c r="AC15" s="659">
        <f t="shared" si="2"/>
        <v>241.05600000000001</v>
      </c>
      <c r="AD15" s="181">
        <f t="shared" si="2"/>
        <v>260.88599999999997</v>
      </c>
      <c r="AE15" s="181">
        <f t="shared" si="2"/>
        <v>249.69399999999999</v>
      </c>
      <c r="AF15" s="181">
        <f t="shared" si="2"/>
        <v>232.131</v>
      </c>
      <c r="AG15" s="643">
        <f t="shared" si="2"/>
        <v>232.131</v>
      </c>
      <c r="AH15" s="659">
        <f t="shared" si="2"/>
        <v>258.99899999999997</v>
      </c>
      <c r="AI15" s="181">
        <f t="shared" si="2"/>
        <v>240.363</v>
      </c>
      <c r="AJ15" s="181">
        <f t="shared" si="2"/>
        <v>254.648</v>
      </c>
      <c r="AK15" s="181">
        <f t="shared" si="2"/>
        <v>246.38800000000001</v>
      </c>
      <c r="AL15" s="643">
        <f t="shared" si="2"/>
        <v>246.38800000000001</v>
      </c>
      <c r="AM15" s="659">
        <f t="shared" si="2"/>
        <v>295.05500000000001</v>
      </c>
      <c r="AN15" s="181">
        <f t="shared" si="2"/>
        <v>301.02100000000002</v>
      </c>
      <c r="AO15" s="181">
        <f t="shared" si="2"/>
        <v>328.90700000000004</v>
      </c>
      <c r="AP15" s="181">
        <f t="shared" si="2"/>
        <v>309.66699999999997</v>
      </c>
      <c r="AQ15" s="643">
        <f t="shared" si="2"/>
        <v>309.66699999999997</v>
      </c>
      <c r="AR15" s="659">
        <f t="shared" si="2"/>
        <v>369.34100000000001</v>
      </c>
      <c r="AS15" s="181">
        <f t="shared" si="2"/>
        <v>398.505</v>
      </c>
      <c r="AT15" s="181">
        <f t="shared" si="2"/>
        <v>401.577</v>
      </c>
      <c r="AU15" s="181">
        <f t="shared" si="2"/>
        <v>343.49599999999992</v>
      </c>
      <c r="AV15" s="643">
        <f t="shared" si="2"/>
        <v>343.49599999999992</v>
      </c>
      <c r="AW15" s="659">
        <f t="shared" si="2"/>
        <v>347.089</v>
      </c>
      <c r="AX15" s="181">
        <f t="shared" si="2"/>
        <v>343.87199999999996</v>
      </c>
      <c r="AY15" s="181">
        <f t="shared" si="2"/>
        <v>396.33100000000002</v>
      </c>
      <c r="AZ15" s="181">
        <f t="shared" si="2"/>
        <v>352.47900000000004</v>
      </c>
      <c r="BA15" s="643">
        <f t="shared" si="2"/>
        <v>352.47900000000004</v>
      </c>
      <c r="BB15" s="659">
        <f t="shared" si="2"/>
        <v>403.952</v>
      </c>
      <c r="BC15" s="181">
        <f t="shared" si="2"/>
        <v>434.892</v>
      </c>
      <c r="BD15" s="181">
        <f t="shared" si="2"/>
        <v>422.94200000000001</v>
      </c>
      <c r="BE15" s="181">
        <f t="shared" si="2"/>
        <v>398.15281640811071</v>
      </c>
      <c r="BF15" s="643">
        <f t="shared" si="2"/>
        <v>398.15281640811071</v>
      </c>
      <c r="BG15" s="659">
        <f t="shared" si="2"/>
        <v>443.75993084346891</v>
      </c>
      <c r="BH15" s="181">
        <f t="shared" si="2"/>
        <v>486.20178281267687</v>
      </c>
      <c r="BI15" s="181">
        <f t="shared" si="2"/>
        <v>423.07379101464539</v>
      </c>
      <c r="BJ15" s="181">
        <f t="shared" si="2"/>
        <v>450.44645033272121</v>
      </c>
      <c r="BK15" s="643">
        <f t="shared" si="2"/>
        <v>450.44645033272121</v>
      </c>
      <c r="BL15" s="659">
        <f t="shared" si="2"/>
        <v>486.83668067149148</v>
      </c>
      <c r="BM15" s="181">
        <f t="shared" si="2"/>
        <v>540.86318106095064</v>
      </c>
      <c r="BN15" s="181">
        <f t="shared" si="2"/>
        <v>493.75226217610327</v>
      </c>
      <c r="BO15" s="181">
        <f t="shared" si="2"/>
        <v>527.48095311807617</v>
      </c>
      <c r="BP15" s="643">
        <f t="shared" si="2"/>
        <v>527.48095311807617</v>
      </c>
      <c r="BQ15" s="659">
        <f t="shared" si="2"/>
        <v>489.42144428834763</v>
      </c>
      <c r="BR15" s="181">
        <f t="shared" si="2"/>
        <v>629.72142332581245</v>
      </c>
      <c r="BS15" s="181">
        <f t="shared" si="2"/>
        <v>502.34404928419684</v>
      </c>
      <c r="BT15" s="181">
        <f t="shared" si="2"/>
        <v>606.79369147153182</v>
      </c>
      <c r="BU15" s="643">
        <f t="shared" si="2"/>
        <v>606.79369147153182</v>
      </c>
      <c r="BV15" s="659">
        <f t="shared" si="2"/>
        <v>490.34946097313133</v>
      </c>
      <c r="BW15" s="181">
        <f t="shared" si="2"/>
        <v>724.28473907816124</v>
      </c>
      <c r="BX15" s="181">
        <f t="shared" si="2"/>
        <v>502.03117010981344</v>
      </c>
      <c r="BY15" s="181">
        <f t="shared" si="2"/>
        <v>686.38367073608424</v>
      </c>
      <c r="BZ15" s="643">
        <f t="shared" si="2"/>
        <v>686.38367073608424</v>
      </c>
    </row>
    <row r="16" spans="1:83" s="114" customFormat="1" ht="14.1" customHeight="1" x14ac:dyDescent="0.2">
      <c r="A16"/>
      <c r="B16"/>
      <c r="C16" s="644" t="s">
        <v>176</v>
      </c>
      <c r="J16" s="653"/>
      <c r="O16" s="200"/>
      <c r="P16" s="210"/>
      <c r="Q16" s="200"/>
      <c r="R16" s="644" t="s">
        <v>176</v>
      </c>
      <c r="X16" s="210"/>
      <c r="AB16" s="200"/>
      <c r="AC16" s="210"/>
      <c r="AG16" s="200"/>
      <c r="AH16" s="210"/>
      <c r="AL16" s="200"/>
      <c r="AM16" s="210"/>
      <c r="AQ16" s="200"/>
      <c r="AR16" s="210"/>
      <c r="AV16" s="200"/>
      <c r="AW16" s="210"/>
      <c r="BA16" s="200"/>
      <c r="BB16" s="210"/>
      <c r="BF16" s="200"/>
      <c r="BG16" s="210"/>
      <c r="BK16" s="200"/>
      <c r="BL16" s="210"/>
      <c r="BP16" s="200"/>
      <c r="BQ16" s="210"/>
      <c r="BU16" s="200"/>
      <c r="BV16" s="210"/>
      <c r="BZ16" s="200"/>
    </row>
    <row r="17" spans="1:78" s="114" customFormat="1" ht="14.1" customHeight="1" x14ac:dyDescent="0.2">
      <c r="A17"/>
      <c r="B17"/>
      <c r="C17" s="641" t="str">
        <f>'Balance Sheet'!C31</f>
        <v>Accounts payable</v>
      </c>
      <c r="D17" s="114">
        <f>'Balance Sheet'!D31</f>
        <v>57.438000000000002</v>
      </c>
      <c r="E17" s="114">
        <f>'Balance Sheet'!E31</f>
        <v>78.994</v>
      </c>
      <c r="F17" s="114">
        <f>'Balance Sheet'!F31</f>
        <v>83.620999999999995</v>
      </c>
      <c r="G17" s="114">
        <f>'Balance Sheet'!G31</f>
        <v>89.381</v>
      </c>
      <c r="H17" s="114">
        <f>'Balance Sheet'!H31</f>
        <v>114.01</v>
      </c>
      <c r="I17" s="114">
        <f>'Balance Sheet'!I31</f>
        <v>99.792000000000002</v>
      </c>
      <c r="J17" s="653">
        <f>'Balance Sheet'!J31</f>
        <v>141.87700000000001</v>
      </c>
      <c r="K17" s="114">
        <f>'Balance Sheet'!K31</f>
        <v>152.30910382576818</v>
      </c>
      <c r="L17" s="114">
        <f>'Balance Sheet'!L31</f>
        <v>168.35788189843444</v>
      </c>
      <c r="M17" s="114">
        <f>'Balance Sheet'!M31</f>
        <v>209.07970984921835</v>
      </c>
      <c r="N17" s="114">
        <f>'Balance Sheet'!N31</f>
        <v>249.91901685738659</v>
      </c>
      <c r="O17" s="200">
        <f>'Balance Sheet'!O31</f>
        <v>282.7169873031346</v>
      </c>
      <c r="P17" s="210"/>
      <c r="Q17" s="200"/>
      <c r="R17" s="641" t="str">
        <f>'Balance Sheet'!R31</f>
        <v>Accounts payable</v>
      </c>
      <c r="S17" s="114">
        <f>'Balance Sheet'!S31</f>
        <v>70.971000000000004</v>
      </c>
      <c r="T17" s="114">
        <f>'Balance Sheet'!T31</f>
        <v>55.746000000000002</v>
      </c>
      <c r="U17" s="114">
        <f>'Balance Sheet'!U31</f>
        <v>63.741999999999997</v>
      </c>
      <c r="V17" s="114">
        <f>'Balance Sheet'!V31</f>
        <v>57.438000000000002</v>
      </c>
      <c r="W17" s="114">
        <f>'Balance Sheet'!W31</f>
        <v>57.438000000000002</v>
      </c>
      <c r="X17" s="210">
        <f>'Balance Sheet'!X31</f>
        <v>65.866</v>
      </c>
      <c r="Y17" s="114">
        <f>'Balance Sheet'!Y31</f>
        <v>71.045000000000002</v>
      </c>
      <c r="Z17" s="114">
        <f>'Balance Sheet'!Z31</f>
        <v>62.024999999999999</v>
      </c>
      <c r="AA17" s="114">
        <f>'Balance Sheet'!AA31</f>
        <v>78.994</v>
      </c>
      <c r="AB17" s="200">
        <f>'Balance Sheet'!AB31</f>
        <v>78.994</v>
      </c>
      <c r="AC17" s="210">
        <f>'Balance Sheet'!AC31</f>
        <v>71.983000000000004</v>
      </c>
      <c r="AD17" s="114">
        <f>'Balance Sheet'!AD31</f>
        <v>77.521000000000001</v>
      </c>
      <c r="AE17" s="114">
        <f>'Balance Sheet'!AE31</f>
        <v>84.856999999999999</v>
      </c>
      <c r="AF17" s="114">
        <f>'Balance Sheet'!AF31</f>
        <v>83.620999999999995</v>
      </c>
      <c r="AG17" s="200">
        <f>'Balance Sheet'!AG31</f>
        <v>83.620999999999995</v>
      </c>
      <c r="AH17" s="210">
        <f>'Balance Sheet'!AH31</f>
        <v>91.394999999999996</v>
      </c>
      <c r="AI17" s="114">
        <f>'Balance Sheet'!AI31</f>
        <v>81.516000000000005</v>
      </c>
      <c r="AJ17" s="114">
        <f>'Balance Sheet'!AJ31</f>
        <v>97.06</v>
      </c>
      <c r="AK17" s="114">
        <f>'Balance Sheet'!AK31</f>
        <v>89.381</v>
      </c>
      <c r="AL17" s="200">
        <f>'Balance Sheet'!AL31</f>
        <v>89.381</v>
      </c>
      <c r="AM17" s="210">
        <f>'Balance Sheet'!AM31</f>
        <v>121.613</v>
      </c>
      <c r="AN17" s="114">
        <f>'Balance Sheet'!AN31</f>
        <v>100.499</v>
      </c>
      <c r="AO17" s="114">
        <f>'Balance Sheet'!AO31</f>
        <v>140.774</v>
      </c>
      <c r="AP17" s="114">
        <f>'Balance Sheet'!AP31</f>
        <v>114.01</v>
      </c>
      <c r="AQ17" s="200">
        <f>'Balance Sheet'!AQ31</f>
        <v>114.01</v>
      </c>
      <c r="AR17" s="210">
        <f>'Balance Sheet'!AR31</f>
        <v>130.16300000000001</v>
      </c>
      <c r="AS17" s="114">
        <f>'Balance Sheet'!AS31</f>
        <v>145.298</v>
      </c>
      <c r="AT17" s="114">
        <f>'Balance Sheet'!AT31</f>
        <v>114.697</v>
      </c>
      <c r="AU17" s="114">
        <f>'Balance Sheet'!AU31</f>
        <v>99.792000000000002</v>
      </c>
      <c r="AV17" s="200">
        <f>'Balance Sheet'!AV31</f>
        <v>99.792000000000002</v>
      </c>
      <c r="AW17" s="210">
        <f>'Balance Sheet'!AW31</f>
        <v>108.36199999999999</v>
      </c>
      <c r="AX17" s="114">
        <f>'Balance Sheet'!AX31</f>
        <v>98.248999999999995</v>
      </c>
      <c r="AY17" s="114">
        <f>'Balance Sheet'!AY31</f>
        <v>112.59399999999999</v>
      </c>
      <c r="AZ17" s="114">
        <f>'Balance Sheet'!AZ31</f>
        <v>141.87700000000001</v>
      </c>
      <c r="BA17" s="200">
        <f>'Balance Sheet'!BA31</f>
        <v>141.87700000000001</v>
      </c>
      <c r="BB17" s="210">
        <f>'Balance Sheet'!BB31</f>
        <v>153.48699999999999</v>
      </c>
      <c r="BC17" s="114">
        <f>'Balance Sheet'!BC31</f>
        <v>155.59</v>
      </c>
      <c r="BD17" s="114">
        <f>'Balance Sheet'!BD31</f>
        <v>161.24100000000001</v>
      </c>
      <c r="BE17" s="114">
        <f>'Balance Sheet'!BE31</f>
        <v>152.30910382576818</v>
      </c>
      <c r="BF17" s="200">
        <f>'Balance Sheet'!BF31</f>
        <v>152.30910382576818</v>
      </c>
      <c r="BG17" s="210">
        <f>'Balance Sheet'!BG31</f>
        <v>164.11746848169972</v>
      </c>
      <c r="BH17" s="114">
        <f>'Balance Sheet'!BH31</f>
        <v>173.16630470502898</v>
      </c>
      <c r="BI17" s="114">
        <f>'Balance Sheet'!BI31</f>
        <v>182.0305506642712</v>
      </c>
      <c r="BJ17" s="114">
        <f>'Balance Sheet'!BJ31</f>
        <v>168.35788189843444</v>
      </c>
      <c r="BK17" s="200">
        <f>'Balance Sheet'!BK31</f>
        <v>168.35788189843444</v>
      </c>
      <c r="BL17" s="210">
        <f>'Balance Sheet'!BL31</f>
        <v>202.72506046261722</v>
      </c>
      <c r="BM17" s="114">
        <f>'Balance Sheet'!BM31</f>
        <v>196.15636213753626</v>
      </c>
      <c r="BN17" s="114">
        <f>'Balance Sheet'!BN31</f>
        <v>202.80158865052718</v>
      </c>
      <c r="BO17" s="114">
        <f>'Balance Sheet'!BO31</f>
        <v>209.07970984921835</v>
      </c>
      <c r="BP17" s="200">
        <f>'Balance Sheet'!BP31</f>
        <v>209.07970984921835</v>
      </c>
      <c r="BQ17" s="210">
        <f>'Balance Sheet'!BQ31</f>
        <v>185.59022735644979</v>
      </c>
      <c r="BR17" s="114">
        <f>'Balance Sheet'!BR31</f>
        <v>240.53650511973254</v>
      </c>
      <c r="BS17" s="114">
        <f>'Balance Sheet'!BS31</f>
        <v>189.57844690759279</v>
      </c>
      <c r="BT17" s="114">
        <f>'Balance Sheet'!BT31</f>
        <v>249.91901685738659</v>
      </c>
      <c r="BU17" s="200">
        <f>'Balance Sheet'!BU31</f>
        <v>249.91901685738659</v>
      </c>
      <c r="BV17" s="210">
        <f>'Balance Sheet'!BV31</f>
        <v>171.84290966127188</v>
      </c>
      <c r="BW17" s="114">
        <f>'Balance Sheet'!BW31</f>
        <v>282.37412551120622</v>
      </c>
      <c r="BX17" s="114">
        <f>'Balance Sheet'!BX31</f>
        <v>176.48152023564273</v>
      </c>
      <c r="BY17" s="114">
        <f>'Balance Sheet'!BY31</f>
        <v>282.7169873031346</v>
      </c>
      <c r="BZ17" s="200">
        <f>'Balance Sheet'!BZ31</f>
        <v>282.7169873031346</v>
      </c>
    </row>
    <row r="18" spans="1:78" s="114" customFormat="1" ht="14.1" customHeight="1" x14ac:dyDescent="0.2">
      <c r="A18"/>
      <c r="B18"/>
      <c r="C18" s="641" t="str">
        <f>'Balance Sheet'!C32</f>
        <v>Wages, vacation and employees’ benefits</v>
      </c>
      <c r="D18" s="114">
        <f>'Balance Sheet'!D32</f>
        <v>39.747999999999998</v>
      </c>
      <c r="E18" s="114">
        <f>'Balance Sheet'!E32</f>
        <v>48.116</v>
      </c>
      <c r="F18" s="114">
        <f>'Balance Sheet'!F32</f>
        <v>49.667999999999999</v>
      </c>
      <c r="G18" s="114">
        <f>'Balance Sheet'!G32</f>
        <v>55.392000000000003</v>
      </c>
      <c r="H18" s="114">
        <f>'Balance Sheet'!H32</f>
        <v>73.108999999999995</v>
      </c>
      <c r="I18" s="114">
        <f>'Balance Sheet'!I32</f>
        <v>66.683999999999997</v>
      </c>
      <c r="J18" s="653">
        <f>'Balance Sheet'!J32</f>
        <v>75.513999999999996</v>
      </c>
      <c r="K18" s="114">
        <f>'Balance Sheet'!K32</f>
        <v>68.641417402575385</v>
      </c>
      <c r="L18" s="114">
        <f>'Balance Sheet'!L32</f>
        <v>87.291672698826133</v>
      </c>
      <c r="M18" s="114">
        <f>'Balance Sheet'!M32</f>
        <v>102.52571214331296</v>
      </c>
      <c r="N18" s="114">
        <f>'Balance Sheet'!N32</f>
        <v>111.28910969184808</v>
      </c>
      <c r="O18" s="200">
        <f>'Balance Sheet'!O32</f>
        <v>119.15157400246747</v>
      </c>
      <c r="P18" s="210"/>
      <c r="Q18" s="200"/>
      <c r="R18" s="641" t="str">
        <f>'Balance Sheet'!R32</f>
        <v>Wages, vacation and employees’ benefits</v>
      </c>
      <c r="S18" s="114">
        <f>'Balance Sheet'!S32</f>
        <v>33.097999999999999</v>
      </c>
      <c r="T18" s="114">
        <f>'Balance Sheet'!T32</f>
        <v>40.872</v>
      </c>
      <c r="U18" s="114">
        <f>'Balance Sheet'!U32</f>
        <v>44.14</v>
      </c>
      <c r="V18" s="114">
        <f>'Balance Sheet'!V32</f>
        <v>39.747999999999998</v>
      </c>
      <c r="W18" s="114">
        <f>'Balance Sheet'!W32</f>
        <v>39.747999999999998</v>
      </c>
      <c r="X18" s="210">
        <f>'Balance Sheet'!X32</f>
        <v>38.939</v>
      </c>
      <c r="Y18" s="114">
        <f>'Balance Sheet'!Y32</f>
        <v>46.738999999999997</v>
      </c>
      <c r="Z18" s="114">
        <f>'Balance Sheet'!Z32</f>
        <v>53.174999999999997</v>
      </c>
      <c r="AA18" s="114">
        <f>'Balance Sheet'!AA32</f>
        <v>48.116</v>
      </c>
      <c r="AB18" s="200">
        <f>'Balance Sheet'!AB32</f>
        <v>48.116</v>
      </c>
      <c r="AC18" s="210">
        <f>'Balance Sheet'!AC32</f>
        <v>38.834000000000003</v>
      </c>
      <c r="AD18" s="114">
        <f>'Balance Sheet'!AD32</f>
        <v>47.094999999999999</v>
      </c>
      <c r="AE18" s="114">
        <f>'Balance Sheet'!AE32</f>
        <v>53.067999999999998</v>
      </c>
      <c r="AF18" s="114">
        <f>'Balance Sheet'!AF32</f>
        <v>49.667999999999999</v>
      </c>
      <c r="AG18" s="200">
        <f>'Balance Sheet'!AG32</f>
        <v>49.667999999999999</v>
      </c>
      <c r="AH18" s="210">
        <f>'Balance Sheet'!AH32</f>
        <v>46.677999999999997</v>
      </c>
      <c r="AI18" s="114">
        <f>'Balance Sheet'!AI32</f>
        <v>55.354999999999997</v>
      </c>
      <c r="AJ18" s="114">
        <f>'Balance Sheet'!AJ32</f>
        <v>54.947000000000003</v>
      </c>
      <c r="AK18" s="114">
        <f>'Balance Sheet'!AK32</f>
        <v>55.392000000000003</v>
      </c>
      <c r="AL18" s="200">
        <f>'Balance Sheet'!AL32</f>
        <v>55.392000000000003</v>
      </c>
      <c r="AM18" s="210">
        <f>'Balance Sheet'!AM32</f>
        <v>49.006999999999998</v>
      </c>
      <c r="AN18" s="114">
        <f>'Balance Sheet'!AN32</f>
        <v>65.186999999999998</v>
      </c>
      <c r="AO18" s="114">
        <f>'Balance Sheet'!AO32</f>
        <v>77.537999999999997</v>
      </c>
      <c r="AP18" s="114">
        <f>'Balance Sheet'!AP32</f>
        <v>73.108999999999995</v>
      </c>
      <c r="AQ18" s="200">
        <f>'Balance Sheet'!AQ32</f>
        <v>73.108999999999995</v>
      </c>
      <c r="AR18" s="210">
        <f>'Balance Sheet'!AR32</f>
        <v>62.125</v>
      </c>
      <c r="AS18" s="114">
        <f>'Balance Sheet'!AS32</f>
        <v>78.944999999999993</v>
      </c>
      <c r="AT18" s="114">
        <f>'Balance Sheet'!AT32</f>
        <v>79.192999999999998</v>
      </c>
      <c r="AU18" s="114">
        <f>'Balance Sheet'!AU32</f>
        <v>66.683999999999997</v>
      </c>
      <c r="AV18" s="200">
        <f>'Balance Sheet'!AV32</f>
        <v>66.683999999999997</v>
      </c>
      <c r="AW18" s="210">
        <f>'Balance Sheet'!AW32</f>
        <v>54.706000000000003</v>
      </c>
      <c r="AX18" s="114">
        <f>'Balance Sheet'!AX32</f>
        <v>63.152999999999999</v>
      </c>
      <c r="AY18" s="114">
        <f>'Balance Sheet'!AY32</f>
        <v>77.721000000000004</v>
      </c>
      <c r="AZ18" s="114">
        <f>'Balance Sheet'!AZ32</f>
        <v>75.513999999999996</v>
      </c>
      <c r="BA18" s="200">
        <f>'Balance Sheet'!BA32</f>
        <v>75.513999999999996</v>
      </c>
      <c r="BB18" s="210">
        <f>'Balance Sheet'!BB32</f>
        <v>55.317999999999998</v>
      </c>
      <c r="BC18" s="114">
        <f>'Balance Sheet'!BC32</f>
        <v>62.613999999999997</v>
      </c>
      <c r="BD18" s="114">
        <f>'Balance Sheet'!BD32</f>
        <v>70.613</v>
      </c>
      <c r="BE18" s="114">
        <f>'Balance Sheet'!BE32</f>
        <v>68.641417402575385</v>
      </c>
      <c r="BF18" s="200">
        <f>'Balance Sheet'!BF32</f>
        <v>68.641417402575385</v>
      </c>
      <c r="BG18" s="210">
        <f>'Balance Sheet'!BG32</f>
        <v>79.813760191992571</v>
      </c>
      <c r="BH18" s="114">
        <f>'Balance Sheet'!BH32</f>
        <v>92.90049905596544</v>
      </c>
      <c r="BI18" s="114">
        <f>'Balance Sheet'!BI32</f>
        <v>95.736096001834142</v>
      </c>
      <c r="BJ18" s="114">
        <f>'Balance Sheet'!BJ32</f>
        <v>87.291672698826133</v>
      </c>
      <c r="BK18" s="200">
        <f>'Balance Sheet'!BK32</f>
        <v>87.291672698826133</v>
      </c>
      <c r="BL18" s="210">
        <f>'Balance Sheet'!BL32</f>
        <v>90.464812309376953</v>
      </c>
      <c r="BM18" s="114">
        <f>'Balance Sheet'!BM32</f>
        <v>105.78832702661217</v>
      </c>
      <c r="BN18" s="114">
        <f>'Balance Sheet'!BN32</f>
        <v>109.73948369401157</v>
      </c>
      <c r="BO18" s="114">
        <f>'Balance Sheet'!BO32</f>
        <v>102.52571214331296</v>
      </c>
      <c r="BP18" s="200">
        <f>'Balance Sheet'!BP32</f>
        <v>102.52571214331296</v>
      </c>
      <c r="BQ18" s="210">
        <f>'Balance Sheet'!BQ32</f>
        <v>98.162329300859625</v>
      </c>
      <c r="BR18" s="114">
        <f>'Balance Sheet'!BR32</f>
        <v>115.22684831035468</v>
      </c>
      <c r="BS18" s="114">
        <f>'Balance Sheet'!BS32</f>
        <v>120.11803171547217</v>
      </c>
      <c r="BT18" s="114">
        <f>'Balance Sheet'!BT32</f>
        <v>111.28910969184808</v>
      </c>
      <c r="BU18" s="200">
        <f>'Balance Sheet'!BU32</f>
        <v>111.28910969184808</v>
      </c>
      <c r="BV18" s="210">
        <f>'Balance Sheet'!BV32</f>
        <v>105.86636412644725</v>
      </c>
      <c r="BW18" s="114">
        <f>'Balance Sheet'!BW32</f>
        <v>125.10759664370691</v>
      </c>
      <c r="BX18" s="114">
        <f>'Balance Sheet'!BX32</f>
        <v>130.09539578385443</v>
      </c>
      <c r="BY18" s="114">
        <f>'Balance Sheet'!BY32</f>
        <v>119.15157400246747</v>
      </c>
      <c r="BZ18" s="200">
        <f>'Balance Sheet'!BZ32</f>
        <v>119.15157400246747</v>
      </c>
    </row>
    <row r="19" spans="1:78" s="114" customFormat="1" ht="14.1" customHeight="1" x14ac:dyDescent="0.2">
      <c r="A19"/>
      <c r="B19"/>
      <c r="C19" s="641" t="str">
        <f>'Balance Sheet'!C33</f>
        <v>Claims and insurance accruals</v>
      </c>
      <c r="D19" s="114">
        <f>'Balance Sheet'!D33</f>
        <v>35.85</v>
      </c>
      <c r="E19" s="114">
        <f>'Balance Sheet'!E33</f>
        <v>40.98</v>
      </c>
      <c r="F19" s="114">
        <f>'Balance Sheet'!F33</f>
        <v>36.887999999999998</v>
      </c>
      <c r="G19" s="114">
        <f>'Balance Sheet'!G33</f>
        <v>49.613</v>
      </c>
      <c r="H19" s="114">
        <f>'Balance Sheet'!H33</f>
        <v>54.716999999999999</v>
      </c>
      <c r="I19" s="114">
        <f>'Balance Sheet'!I33</f>
        <v>45.481000000000002</v>
      </c>
      <c r="J19" s="653">
        <f>'Balance Sheet'!J33</f>
        <v>41.640999999999998</v>
      </c>
      <c r="K19" s="114">
        <f>'Balance Sheet'!K33</f>
        <v>39.449090461250222</v>
      </c>
      <c r="L19" s="114">
        <f>'Balance Sheet'!L33</f>
        <v>45.427299057552368</v>
      </c>
      <c r="M19" s="114">
        <f>'Balance Sheet'!M33</f>
        <v>53.355217543968983</v>
      </c>
      <c r="N19" s="114">
        <f>'Balance Sheet'!N33</f>
        <v>57.915761166165836</v>
      </c>
      <c r="O19" s="200">
        <f>'Balance Sheet'!O33</f>
        <v>62.007451776794284</v>
      </c>
      <c r="P19" s="210"/>
      <c r="Q19" s="200"/>
      <c r="R19" s="641" t="str">
        <f>'Balance Sheet'!R33</f>
        <v>Claims and insurance accruals</v>
      </c>
      <c r="S19" s="114">
        <f>'Balance Sheet'!S33</f>
        <v>51.103000000000002</v>
      </c>
      <c r="T19" s="114">
        <f>'Balance Sheet'!T33</f>
        <v>36.131</v>
      </c>
      <c r="U19" s="114">
        <f>'Balance Sheet'!U33</f>
        <v>37.704000000000001</v>
      </c>
      <c r="V19" s="114">
        <f>'Balance Sheet'!V33</f>
        <v>35.85</v>
      </c>
      <c r="W19" s="114">
        <f>'Balance Sheet'!W33</f>
        <v>35.85</v>
      </c>
      <c r="X19" s="210">
        <f>'Balance Sheet'!X33</f>
        <v>39.048999999999999</v>
      </c>
      <c r="Y19" s="114">
        <f>'Balance Sheet'!Y33</f>
        <v>41.326000000000001</v>
      </c>
      <c r="Z19" s="114">
        <f>'Balance Sheet'!Z33</f>
        <v>39.845999999999997</v>
      </c>
      <c r="AA19" s="114">
        <f>'Balance Sheet'!AA33</f>
        <v>40.98</v>
      </c>
      <c r="AB19" s="200">
        <f>'Balance Sheet'!AB33</f>
        <v>40.98</v>
      </c>
      <c r="AC19" s="210">
        <f>'Balance Sheet'!AC33</f>
        <v>40.137999999999998</v>
      </c>
      <c r="AD19" s="114">
        <f>'Balance Sheet'!AD33</f>
        <v>47.255000000000003</v>
      </c>
      <c r="AE19" s="114">
        <f>'Balance Sheet'!AE33</f>
        <v>35.770000000000003</v>
      </c>
      <c r="AF19" s="114">
        <f>'Balance Sheet'!AF33</f>
        <v>36.887999999999998</v>
      </c>
      <c r="AG19" s="200">
        <f>'Balance Sheet'!AG33</f>
        <v>36.887999999999998</v>
      </c>
      <c r="AH19" s="210">
        <f>'Balance Sheet'!AH33</f>
        <v>37.695999999999998</v>
      </c>
      <c r="AI19" s="114">
        <f>'Balance Sheet'!AI33</f>
        <v>39.627000000000002</v>
      </c>
      <c r="AJ19" s="114">
        <f>'Balance Sheet'!AJ33</f>
        <v>43.517000000000003</v>
      </c>
      <c r="AK19" s="114">
        <f>'Balance Sheet'!AK33</f>
        <v>49.613</v>
      </c>
      <c r="AL19" s="200">
        <f>'Balance Sheet'!AL33</f>
        <v>49.613</v>
      </c>
      <c r="AM19" s="210">
        <f>'Balance Sheet'!AM33</f>
        <v>46.962000000000003</v>
      </c>
      <c r="AN19" s="114">
        <f>'Balance Sheet'!AN33</f>
        <v>48.533000000000001</v>
      </c>
      <c r="AO19" s="114">
        <f>'Balance Sheet'!AO33</f>
        <v>42.622</v>
      </c>
      <c r="AP19" s="114">
        <f>'Balance Sheet'!AP33</f>
        <v>54.716999999999999</v>
      </c>
      <c r="AQ19" s="200">
        <f>'Balance Sheet'!AQ33</f>
        <v>54.716999999999999</v>
      </c>
      <c r="AR19" s="210">
        <f>'Balance Sheet'!AR33</f>
        <v>44.853000000000002</v>
      </c>
      <c r="AS19" s="114">
        <f>'Balance Sheet'!AS33</f>
        <v>49.222000000000001</v>
      </c>
      <c r="AT19" s="114">
        <f>'Balance Sheet'!AT33</f>
        <v>74.799000000000007</v>
      </c>
      <c r="AU19" s="114">
        <f>'Balance Sheet'!AU33</f>
        <v>45.481000000000002</v>
      </c>
      <c r="AV19" s="200">
        <f>'Balance Sheet'!AV33</f>
        <v>45.481000000000002</v>
      </c>
      <c r="AW19" s="210">
        <f>'Balance Sheet'!AW33</f>
        <v>43.276000000000003</v>
      </c>
      <c r="AX19" s="114">
        <f>'Balance Sheet'!AX33</f>
        <v>42.018000000000001</v>
      </c>
      <c r="AY19" s="114">
        <f>'Balance Sheet'!AY33</f>
        <v>46.046999999999997</v>
      </c>
      <c r="AZ19" s="114">
        <f>'Balance Sheet'!AZ33</f>
        <v>41.640999999999998</v>
      </c>
      <c r="BA19" s="200">
        <f>'Balance Sheet'!BA33</f>
        <v>41.640999999999998</v>
      </c>
      <c r="BB19" s="210">
        <f>'Balance Sheet'!BB33</f>
        <v>36.612000000000002</v>
      </c>
      <c r="BC19" s="114">
        <f>'Balance Sheet'!BC33</f>
        <v>39.682000000000002</v>
      </c>
      <c r="BD19" s="114">
        <f>'Balance Sheet'!BD33</f>
        <v>40.798999999999999</v>
      </c>
      <c r="BE19" s="114">
        <f>'Balance Sheet'!BE33</f>
        <v>39.449090461250222</v>
      </c>
      <c r="BF19" s="200">
        <f>'Balance Sheet'!BF33</f>
        <v>39.449090461250222</v>
      </c>
      <c r="BG19" s="210">
        <f>'Balance Sheet'!BG33</f>
        <v>40.738273431329546</v>
      </c>
      <c r="BH19" s="114">
        <f>'Balance Sheet'!BH33</f>
        <v>44.150732224617236</v>
      </c>
      <c r="BI19" s="114">
        <f>'Balance Sheet'!BI33</f>
        <v>45.106429847018013</v>
      </c>
      <c r="BJ19" s="114">
        <f>'Balance Sheet'!BJ33</f>
        <v>45.427299057552368</v>
      </c>
      <c r="BK19" s="200">
        <f>'Balance Sheet'!BK33</f>
        <v>45.427299057552368</v>
      </c>
      <c r="BL19" s="210">
        <f>'Balance Sheet'!BL33</f>
        <v>46.174747949577821</v>
      </c>
      <c r="BM19" s="114">
        <f>'Balance Sheet'!BM33</f>
        <v>50.275640567102812</v>
      </c>
      <c r="BN19" s="114">
        <f>'Balance Sheet'!BN33</f>
        <v>51.704179817370836</v>
      </c>
      <c r="BO19" s="114">
        <f>'Balance Sheet'!BO33</f>
        <v>53.355217543968983</v>
      </c>
      <c r="BP19" s="200">
        <f>'Balance Sheet'!BP33</f>
        <v>53.355217543968983</v>
      </c>
      <c r="BQ19" s="210">
        <f>'Balance Sheet'!BQ33</f>
        <v>50.103688913980434</v>
      </c>
      <c r="BR19" s="114">
        <f>'Balance Sheet'!BR33</f>
        <v>54.761274444525</v>
      </c>
      <c r="BS19" s="114">
        <f>'Balance Sheet'!BS33</f>
        <v>56.594072635174392</v>
      </c>
      <c r="BT19" s="114">
        <f>'Balance Sheet'!BT33</f>
        <v>57.915761166165836</v>
      </c>
      <c r="BU19" s="200">
        <f>'Balance Sheet'!BU33</f>
        <v>57.915761166165836</v>
      </c>
      <c r="BV19" s="210">
        <f>'Balance Sheet'!BV33</f>
        <v>54.035956689540789</v>
      </c>
      <c r="BW19" s="114">
        <f>'Balance Sheet'!BW33</f>
        <v>59.457075632652788</v>
      </c>
      <c r="BX19" s="114">
        <f>'Balance Sheet'!BX33</f>
        <v>61.294946090469885</v>
      </c>
      <c r="BY19" s="114">
        <f>'Balance Sheet'!BY33</f>
        <v>62.007451776794284</v>
      </c>
      <c r="BZ19" s="200">
        <f>'Balance Sheet'!BZ33</f>
        <v>62.007451776794284</v>
      </c>
    </row>
    <row r="20" spans="1:78" s="114" customFormat="1" ht="14.1" customHeight="1" x14ac:dyDescent="0.2">
      <c r="A20"/>
      <c r="B20"/>
      <c r="C20" s="641" t="str">
        <f>'Balance Sheet'!C34</f>
        <v>Other current liabilities</v>
      </c>
      <c r="D20" s="114">
        <f>'Balance Sheet'!D34</f>
        <v>19.806999999999999</v>
      </c>
      <c r="E20" s="114">
        <f>'Balance Sheet'!E34</f>
        <v>23.138000000000002</v>
      </c>
      <c r="F20" s="114">
        <f>'Balance Sheet'!F34</f>
        <v>32.643999999999998</v>
      </c>
      <c r="G20" s="114">
        <f>'Balance Sheet'!G34</f>
        <v>40.570999999999998</v>
      </c>
      <c r="H20" s="114">
        <f>'Balance Sheet'!H34</f>
        <v>38.551000000000002</v>
      </c>
      <c r="I20" s="114">
        <f>'Balance Sheet'!I34</f>
        <v>22.684000000000001</v>
      </c>
      <c r="J20" s="653">
        <f>'Balance Sheet'!J34</f>
        <v>27.094000000000001</v>
      </c>
      <c r="K20" s="114">
        <f>'Balance Sheet'!K34</f>
        <v>38.660108652025222</v>
      </c>
      <c r="L20" s="114">
        <f>'Balance Sheet'!L34</f>
        <v>52.553149890109601</v>
      </c>
      <c r="M20" s="114">
        <f>'Balance Sheet'!M34</f>
        <v>61.724663433219021</v>
      </c>
      <c r="N20" s="114">
        <f>'Balance Sheet'!N34</f>
        <v>67.000586447133031</v>
      </c>
      <c r="O20" s="200">
        <f>'Balance Sheet'!O34</f>
        <v>71.734110879036535</v>
      </c>
      <c r="P20" s="558"/>
      <c r="Q20" s="480"/>
      <c r="R20" s="641" t="str">
        <f>'Balance Sheet'!R34</f>
        <v>Other current liabilities</v>
      </c>
      <c r="S20" s="114">
        <f>'Balance Sheet'!S34</f>
        <v>19.183</v>
      </c>
      <c r="T20" s="114">
        <f>'Balance Sheet'!T34</f>
        <v>18.283000000000001</v>
      </c>
      <c r="U20" s="114">
        <f>'Balance Sheet'!U34</f>
        <v>20.841000000000001</v>
      </c>
      <c r="V20" s="114">
        <f>'Balance Sheet'!V34</f>
        <v>19.806999999999999</v>
      </c>
      <c r="W20" s="114">
        <f>'Balance Sheet'!W34</f>
        <v>19.806999999999999</v>
      </c>
      <c r="X20" s="210">
        <f>'Balance Sheet'!X34</f>
        <v>20.032</v>
      </c>
      <c r="Y20" s="114">
        <f>'Balance Sheet'!Y34</f>
        <v>29.628</v>
      </c>
      <c r="Z20" s="114">
        <f>'Balance Sheet'!Z34</f>
        <v>37.082999999999998</v>
      </c>
      <c r="AA20" s="114">
        <f>'Balance Sheet'!AA34</f>
        <v>23.138000000000002</v>
      </c>
      <c r="AB20" s="200">
        <f>'Balance Sheet'!AB34</f>
        <v>23.138000000000002</v>
      </c>
      <c r="AC20" s="210">
        <f>'Balance Sheet'!AC34</f>
        <v>25.207000000000001</v>
      </c>
      <c r="AD20" s="114">
        <f>'Balance Sheet'!AD34</f>
        <v>29.439</v>
      </c>
      <c r="AE20" s="114">
        <f>'Balance Sheet'!AE34</f>
        <v>32.837000000000003</v>
      </c>
      <c r="AF20" s="114">
        <f>'Balance Sheet'!AF34</f>
        <v>32.643999999999998</v>
      </c>
      <c r="AG20" s="200">
        <f>'Balance Sheet'!AG34</f>
        <v>32.643999999999998</v>
      </c>
      <c r="AH20" s="210">
        <f>'Balance Sheet'!AH34</f>
        <v>35.024000000000001</v>
      </c>
      <c r="AI20" s="114">
        <f>'Balance Sheet'!AI34</f>
        <v>32.953000000000003</v>
      </c>
      <c r="AJ20" s="114">
        <f>'Balance Sheet'!AJ34</f>
        <v>39.731000000000002</v>
      </c>
      <c r="AK20" s="114">
        <f>'Balance Sheet'!AK34</f>
        <v>40.570999999999998</v>
      </c>
      <c r="AL20" s="200">
        <f>'Balance Sheet'!AL34</f>
        <v>40.570999999999998</v>
      </c>
      <c r="AM20" s="210">
        <f>'Balance Sheet'!AM34</f>
        <v>48.284999999999997</v>
      </c>
      <c r="AN20" s="114">
        <f>'Balance Sheet'!AN34</f>
        <v>29.263999999999999</v>
      </c>
      <c r="AO20" s="114">
        <f>'Balance Sheet'!AO34</f>
        <v>37.344999999999999</v>
      </c>
      <c r="AP20" s="114">
        <f>'Balance Sheet'!AP34</f>
        <v>38.551000000000002</v>
      </c>
      <c r="AQ20" s="200">
        <f>'Balance Sheet'!AQ34</f>
        <v>38.551000000000002</v>
      </c>
      <c r="AR20" s="210">
        <f>'Balance Sheet'!AR34</f>
        <v>61.618000000000002</v>
      </c>
      <c r="AS20" s="114">
        <f>'Balance Sheet'!AS34</f>
        <v>25.594000000000001</v>
      </c>
      <c r="AT20" s="114">
        <f>'Balance Sheet'!AT34</f>
        <v>31.116</v>
      </c>
      <c r="AU20" s="114">
        <f>'Balance Sheet'!AU34</f>
        <v>22.684000000000001</v>
      </c>
      <c r="AV20" s="200">
        <f>'Balance Sheet'!AV34</f>
        <v>22.684000000000001</v>
      </c>
      <c r="AW20" s="210">
        <f>'Balance Sheet'!AW34</f>
        <v>24.478999999999999</v>
      </c>
      <c r="AX20" s="114">
        <f>'Balance Sheet'!AX34</f>
        <v>26.8</v>
      </c>
      <c r="AY20" s="114">
        <f>'Balance Sheet'!AY34</f>
        <v>25.09</v>
      </c>
      <c r="AZ20" s="114">
        <f>'Balance Sheet'!AZ34</f>
        <v>27.094000000000001</v>
      </c>
      <c r="BA20" s="200">
        <f>'Balance Sheet'!BA34</f>
        <v>27.094000000000001</v>
      </c>
      <c r="BB20" s="210">
        <f>'Balance Sheet'!BB34</f>
        <v>58.331000000000003</v>
      </c>
      <c r="BC20" s="114">
        <f>'Balance Sheet'!BC34</f>
        <v>36.302999999999997</v>
      </c>
      <c r="BD20" s="114">
        <f>'Balance Sheet'!BD34</f>
        <v>41.58</v>
      </c>
      <c r="BE20" s="114">
        <f>'Balance Sheet'!BE34</f>
        <v>38.660108652025222</v>
      </c>
      <c r="BF20" s="200">
        <f>'Balance Sheet'!BF34</f>
        <v>38.660108652025222</v>
      </c>
      <c r="BG20" s="210">
        <f>'Balance Sheet'!BG34</f>
        <v>64.848680155993975</v>
      </c>
      <c r="BH20" s="114">
        <f>'Balance Sheet'!BH34</f>
        <v>47.829959910002003</v>
      </c>
      <c r="BI20" s="114">
        <f>'Balance Sheet'!BI34</f>
        <v>54.311823693348217</v>
      </c>
      <c r="BJ20" s="114">
        <f>'Balance Sheet'!BJ34</f>
        <v>52.553149890109601</v>
      </c>
      <c r="BK20" s="200">
        <f>'Balance Sheet'!BK34</f>
        <v>52.553149890109601</v>
      </c>
      <c r="BL20" s="210">
        <f>'Balance Sheet'!BL34</f>
        <v>73.502660001368781</v>
      </c>
      <c r="BM20" s="114">
        <f>'Balance Sheet'!BM34</f>
        <v>54.465277281028044</v>
      </c>
      <c r="BN20" s="114">
        <f>'Balance Sheet'!BN34</f>
        <v>62.25605324948733</v>
      </c>
      <c r="BO20" s="114">
        <f>'Balance Sheet'!BO34</f>
        <v>61.724663433219021</v>
      </c>
      <c r="BP20" s="200">
        <f>'Balance Sheet'!BP34</f>
        <v>61.724663433219021</v>
      </c>
      <c r="BQ20" s="210">
        <f>'Balance Sheet'!BQ34</f>
        <v>79.756892556948443</v>
      </c>
      <c r="BR20" s="114">
        <f>'Balance Sheet'!BR34</f>
        <v>59.324713981568742</v>
      </c>
      <c r="BS20" s="114">
        <f>'Balance Sheet'!BS34</f>
        <v>68.143883377046706</v>
      </c>
      <c r="BT20" s="114">
        <f>'Balance Sheet'!BT34</f>
        <v>67.000586447133031</v>
      </c>
      <c r="BU20" s="200">
        <f>'Balance Sheet'!BU34</f>
        <v>67.000586447133031</v>
      </c>
      <c r="BV20" s="210">
        <f>'Balance Sheet'!BV34</f>
        <v>86.016420852738392</v>
      </c>
      <c r="BW20" s="114">
        <f>'Balance Sheet'!BW34</f>
        <v>64.41183193537384</v>
      </c>
      <c r="BX20" s="114">
        <f>'Balance Sheet'!BX34</f>
        <v>73.804118761994346</v>
      </c>
      <c r="BY20" s="114">
        <f>'Balance Sheet'!BY34</f>
        <v>71.734110879036535</v>
      </c>
      <c r="BZ20" s="200">
        <f>'Balance Sheet'!BZ34</f>
        <v>71.734110879036535</v>
      </c>
    </row>
    <row r="21" spans="1:78" s="114" customFormat="1" ht="14.1" customHeight="1" x14ac:dyDescent="0.2">
      <c r="A21"/>
      <c r="B21"/>
      <c r="C21" s="642" t="str">
        <f>'Balance Sheet'!C35</f>
        <v>Total Current Liabilities</v>
      </c>
      <c r="D21" s="182">
        <f>SUM(D17:D20)</f>
        <v>152.84299999999999</v>
      </c>
      <c r="E21" s="182">
        <f t="shared" ref="E21:O21" si="3">SUM(E17:E20)</f>
        <v>191.22800000000001</v>
      </c>
      <c r="F21" s="182">
        <f t="shared" si="3"/>
        <v>202.821</v>
      </c>
      <c r="G21" s="182">
        <f t="shared" si="3"/>
        <v>234.95699999999999</v>
      </c>
      <c r="H21" s="182">
        <f t="shared" si="3"/>
        <v>280.387</v>
      </c>
      <c r="I21" s="182">
        <f t="shared" si="3"/>
        <v>234.64099999999999</v>
      </c>
      <c r="J21" s="656">
        <f t="shared" si="3"/>
        <v>286.12600000000003</v>
      </c>
      <c r="K21" s="182">
        <f t="shared" si="3"/>
        <v>299.05972034161903</v>
      </c>
      <c r="L21" s="182">
        <f t="shared" si="3"/>
        <v>353.63000354492254</v>
      </c>
      <c r="M21" s="182">
        <f t="shared" si="3"/>
        <v>426.68530296971932</v>
      </c>
      <c r="N21" s="182">
        <f t="shared" si="3"/>
        <v>486.1244741625336</v>
      </c>
      <c r="O21" s="645">
        <f t="shared" si="3"/>
        <v>535.61012396143281</v>
      </c>
      <c r="P21" s="608"/>
      <c r="Q21" s="609"/>
      <c r="R21" s="642" t="str">
        <f>'Balance Sheet'!R35</f>
        <v>Total Current Liabilities</v>
      </c>
      <c r="S21" s="182">
        <f>SUM(S17:S20)</f>
        <v>174.35499999999999</v>
      </c>
      <c r="T21" s="182">
        <f t="shared" ref="T21:BZ21" si="4">SUM(T17:T20)</f>
        <v>151.03199999999998</v>
      </c>
      <c r="U21" s="182">
        <f t="shared" si="4"/>
        <v>166.42700000000002</v>
      </c>
      <c r="V21" s="182">
        <f t="shared" si="4"/>
        <v>152.84299999999999</v>
      </c>
      <c r="W21" s="182">
        <f t="shared" si="4"/>
        <v>152.84299999999999</v>
      </c>
      <c r="X21" s="673">
        <f t="shared" si="4"/>
        <v>163.88600000000002</v>
      </c>
      <c r="Y21" s="182">
        <f t="shared" si="4"/>
        <v>188.738</v>
      </c>
      <c r="Z21" s="182">
        <f t="shared" si="4"/>
        <v>192.12899999999999</v>
      </c>
      <c r="AA21" s="182">
        <f t="shared" si="4"/>
        <v>191.22800000000001</v>
      </c>
      <c r="AB21" s="645">
        <f t="shared" si="4"/>
        <v>191.22800000000001</v>
      </c>
      <c r="AC21" s="673">
        <f t="shared" si="4"/>
        <v>176.16200000000001</v>
      </c>
      <c r="AD21" s="182">
        <f t="shared" si="4"/>
        <v>201.31</v>
      </c>
      <c r="AE21" s="182">
        <f t="shared" si="4"/>
        <v>206.53200000000004</v>
      </c>
      <c r="AF21" s="182">
        <f t="shared" si="4"/>
        <v>202.821</v>
      </c>
      <c r="AG21" s="645">
        <f t="shared" si="4"/>
        <v>202.821</v>
      </c>
      <c r="AH21" s="673">
        <f t="shared" si="4"/>
        <v>210.79299999999998</v>
      </c>
      <c r="AI21" s="182">
        <f t="shared" si="4"/>
        <v>209.45100000000002</v>
      </c>
      <c r="AJ21" s="182">
        <f t="shared" si="4"/>
        <v>235.255</v>
      </c>
      <c r="AK21" s="182">
        <f t="shared" si="4"/>
        <v>234.95699999999999</v>
      </c>
      <c r="AL21" s="645">
        <f t="shared" si="4"/>
        <v>234.95699999999999</v>
      </c>
      <c r="AM21" s="673">
        <f t="shared" si="4"/>
        <v>265.86699999999996</v>
      </c>
      <c r="AN21" s="182">
        <f t="shared" si="4"/>
        <v>243.483</v>
      </c>
      <c r="AO21" s="182">
        <f t="shared" si="4"/>
        <v>298.279</v>
      </c>
      <c r="AP21" s="182">
        <f t="shared" si="4"/>
        <v>280.387</v>
      </c>
      <c r="AQ21" s="645">
        <f t="shared" si="4"/>
        <v>280.387</v>
      </c>
      <c r="AR21" s="673">
        <f t="shared" si="4"/>
        <v>298.75900000000001</v>
      </c>
      <c r="AS21" s="182">
        <f t="shared" si="4"/>
        <v>299.05899999999997</v>
      </c>
      <c r="AT21" s="182">
        <f t="shared" si="4"/>
        <v>299.80499999999995</v>
      </c>
      <c r="AU21" s="182">
        <f t="shared" si="4"/>
        <v>234.64099999999999</v>
      </c>
      <c r="AV21" s="645">
        <f t="shared" si="4"/>
        <v>234.64099999999999</v>
      </c>
      <c r="AW21" s="673">
        <f t="shared" si="4"/>
        <v>230.82299999999998</v>
      </c>
      <c r="AX21" s="182">
        <f t="shared" si="4"/>
        <v>230.22</v>
      </c>
      <c r="AY21" s="182">
        <f t="shared" si="4"/>
        <v>261.452</v>
      </c>
      <c r="AZ21" s="182">
        <f t="shared" si="4"/>
        <v>286.12600000000003</v>
      </c>
      <c r="BA21" s="645">
        <f t="shared" si="4"/>
        <v>286.12600000000003</v>
      </c>
      <c r="BB21" s="673">
        <f t="shared" si="4"/>
        <v>303.74799999999999</v>
      </c>
      <c r="BC21" s="182">
        <f t="shared" si="4"/>
        <v>294.18900000000002</v>
      </c>
      <c r="BD21" s="182">
        <f t="shared" si="4"/>
        <v>314.233</v>
      </c>
      <c r="BE21" s="182">
        <f t="shared" si="4"/>
        <v>299.05972034161903</v>
      </c>
      <c r="BF21" s="645">
        <f t="shared" si="4"/>
        <v>299.05972034161903</v>
      </c>
      <c r="BG21" s="673">
        <f t="shared" si="4"/>
        <v>349.5181822610158</v>
      </c>
      <c r="BH21" s="182">
        <f t="shared" si="4"/>
        <v>358.04749589561362</v>
      </c>
      <c r="BI21" s="182">
        <f t="shared" si="4"/>
        <v>377.18490020647158</v>
      </c>
      <c r="BJ21" s="182">
        <f t="shared" si="4"/>
        <v>353.63000354492254</v>
      </c>
      <c r="BK21" s="645">
        <f t="shared" si="4"/>
        <v>353.63000354492254</v>
      </c>
      <c r="BL21" s="673">
        <f t="shared" si="4"/>
        <v>412.86728072294073</v>
      </c>
      <c r="BM21" s="182">
        <f t="shared" si="4"/>
        <v>406.68560701227926</v>
      </c>
      <c r="BN21" s="182">
        <f t="shared" si="4"/>
        <v>426.50130541139691</v>
      </c>
      <c r="BO21" s="182">
        <f t="shared" si="4"/>
        <v>426.68530296971932</v>
      </c>
      <c r="BP21" s="645">
        <f t="shared" si="4"/>
        <v>426.68530296971932</v>
      </c>
      <c r="BQ21" s="673">
        <f t="shared" si="4"/>
        <v>413.61313812823829</v>
      </c>
      <c r="BR21" s="182">
        <f t="shared" si="4"/>
        <v>469.84934185618096</v>
      </c>
      <c r="BS21" s="182">
        <f t="shared" si="4"/>
        <v>434.43443463528604</v>
      </c>
      <c r="BT21" s="182">
        <f t="shared" si="4"/>
        <v>486.1244741625336</v>
      </c>
      <c r="BU21" s="645">
        <f t="shared" si="4"/>
        <v>486.1244741625336</v>
      </c>
      <c r="BV21" s="673">
        <f t="shared" si="4"/>
        <v>417.7616513299983</v>
      </c>
      <c r="BW21" s="182">
        <f t="shared" si="4"/>
        <v>531.35062972293974</v>
      </c>
      <c r="BX21" s="182">
        <f t="shared" si="4"/>
        <v>441.67598087196137</v>
      </c>
      <c r="BY21" s="182">
        <f t="shared" si="4"/>
        <v>535.61012396143281</v>
      </c>
      <c r="BZ21" s="645">
        <f t="shared" si="4"/>
        <v>535.61012396143281</v>
      </c>
    </row>
    <row r="22" spans="1:78" s="118" customFormat="1" ht="14.1" customHeight="1" x14ac:dyDescent="0.2">
      <c r="A22"/>
      <c r="B22"/>
      <c r="C22" s="646" t="s">
        <v>177</v>
      </c>
      <c r="D22" s="118">
        <f>D15-D21</f>
        <v>45.686000000000007</v>
      </c>
      <c r="E22" s="118">
        <f t="shared" ref="E22:O22" si="5">E15-E21</f>
        <v>19.950999999999993</v>
      </c>
      <c r="F22" s="118">
        <f t="shared" si="5"/>
        <v>29.310000000000002</v>
      </c>
      <c r="G22" s="118">
        <f t="shared" si="5"/>
        <v>11.431000000000012</v>
      </c>
      <c r="H22" s="118">
        <f t="shared" si="5"/>
        <v>29.279999999999973</v>
      </c>
      <c r="I22" s="118">
        <f t="shared" si="5"/>
        <v>108.85499999999993</v>
      </c>
      <c r="J22" s="657">
        <f t="shared" si="5"/>
        <v>66.353000000000009</v>
      </c>
      <c r="K22" s="118">
        <f t="shared" si="5"/>
        <v>99.093096066491682</v>
      </c>
      <c r="L22" s="118">
        <f t="shared" si="5"/>
        <v>96.816446787798668</v>
      </c>
      <c r="M22" s="118">
        <f t="shared" si="5"/>
        <v>100.79565014835686</v>
      </c>
      <c r="N22" s="118">
        <f t="shared" si="5"/>
        <v>120.66921730899821</v>
      </c>
      <c r="O22" s="647">
        <f t="shared" si="5"/>
        <v>150.77354677465144</v>
      </c>
      <c r="P22" s="594"/>
      <c r="Q22" s="647"/>
      <c r="R22" s="646" t="s">
        <v>177</v>
      </c>
      <c r="S22" s="118">
        <f>S15-S21</f>
        <v>9.5819999999999936</v>
      </c>
      <c r="T22" s="118">
        <f t="shared" ref="T22:BZ22" si="6">T15-T21</f>
        <v>46.199000000000012</v>
      </c>
      <c r="U22" s="118">
        <f t="shared" si="6"/>
        <v>34.09099999999998</v>
      </c>
      <c r="V22" s="118">
        <f t="shared" si="6"/>
        <v>45.686000000000007</v>
      </c>
      <c r="W22" s="118">
        <f t="shared" si="6"/>
        <v>45.686000000000007</v>
      </c>
      <c r="X22" s="594">
        <f t="shared" si="6"/>
        <v>61.61699999999999</v>
      </c>
      <c r="Y22" s="118">
        <f t="shared" si="6"/>
        <v>42.759999999999991</v>
      </c>
      <c r="Z22" s="118">
        <f t="shared" si="6"/>
        <v>31.999000000000024</v>
      </c>
      <c r="AA22" s="118">
        <f t="shared" si="6"/>
        <v>19.950999999999993</v>
      </c>
      <c r="AB22" s="647">
        <f t="shared" si="6"/>
        <v>19.950999999999993</v>
      </c>
      <c r="AC22" s="594">
        <f t="shared" si="6"/>
        <v>64.894000000000005</v>
      </c>
      <c r="AD22" s="118">
        <f t="shared" si="6"/>
        <v>59.575999999999965</v>
      </c>
      <c r="AE22" s="118">
        <f t="shared" si="6"/>
        <v>43.161999999999949</v>
      </c>
      <c r="AF22" s="118">
        <f t="shared" si="6"/>
        <v>29.310000000000002</v>
      </c>
      <c r="AG22" s="647">
        <f t="shared" si="6"/>
        <v>29.310000000000002</v>
      </c>
      <c r="AH22" s="594">
        <f t="shared" si="6"/>
        <v>48.205999999999989</v>
      </c>
      <c r="AI22" s="118">
        <f t="shared" si="6"/>
        <v>30.911999999999978</v>
      </c>
      <c r="AJ22" s="118">
        <f t="shared" si="6"/>
        <v>19.393000000000001</v>
      </c>
      <c r="AK22" s="118">
        <f t="shared" si="6"/>
        <v>11.431000000000012</v>
      </c>
      <c r="AL22" s="647">
        <f t="shared" si="6"/>
        <v>11.431000000000012</v>
      </c>
      <c r="AM22" s="594">
        <f t="shared" si="6"/>
        <v>29.188000000000045</v>
      </c>
      <c r="AN22" s="118">
        <f t="shared" si="6"/>
        <v>57.538000000000011</v>
      </c>
      <c r="AO22" s="118">
        <f t="shared" si="6"/>
        <v>30.628000000000043</v>
      </c>
      <c r="AP22" s="118">
        <f t="shared" si="6"/>
        <v>29.279999999999973</v>
      </c>
      <c r="AQ22" s="647">
        <f t="shared" si="6"/>
        <v>29.279999999999973</v>
      </c>
      <c r="AR22" s="594">
        <f t="shared" si="6"/>
        <v>70.581999999999994</v>
      </c>
      <c r="AS22" s="118">
        <f t="shared" si="6"/>
        <v>99.446000000000026</v>
      </c>
      <c r="AT22" s="118">
        <f t="shared" si="6"/>
        <v>101.77200000000005</v>
      </c>
      <c r="AU22" s="118">
        <f t="shared" si="6"/>
        <v>108.85499999999993</v>
      </c>
      <c r="AV22" s="647">
        <f t="shared" si="6"/>
        <v>108.85499999999993</v>
      </c>
      <c r="AW22" s="594">
        <f t="shared" si="6"/>
        <v>116.26600000000002</v>
      </c>
      <c r="AX22" s="118">
        <f t="shared" si="6"/>
        <v>113.65199999999996</v>
      </c>
      <c r="AY22" s="118">
        <f t="shared" si="6"/>
        <v>134.87900000000002</v>
      </c>
      <c r="AZ22" s="118">
        <f t="shared" si="6"/>
        <v>66.353000000000009</v>
      </c>
      <c r="BA22" s="647">
        <f t="shared" si="6"/>
        <v>66.353000000000009</v>
      </c>
      <c r="BB22" s="594">
        <f t="shared" si="6"/>
        <v>100.20400000000001</v>
      </c>
      <c r="BC22" s="118">
        <f t="shared" si="6"/>
        <v>140.70299999999997</v>
      </c>
      <c r="BD22" s="118">
        <f t="shared" si="6"/>
        <v>108.709</v>
      </c>
      <c r="BE22" s="118">
        <f t="shared" si="6"/>
        <v>99.093096066491682</v>
      </c>
      <c r="BF22" s="647">
        <f t="shared" si="6"/>
        <v>99.093096066491682</v>
      </c>
      <c r="BG22" s="594">
        <f t="shared" si="6"/>
        <v>94.241748582453113</v>
      </c>
      <c r="BH22" s="118">
        <f t="shared" si="6"/>
        <v>128.15428691706325</v>
      </c>
      <c r="BI22" s="118">
        <f t="shared" si="6"/>
        <v>45.888890808173812</v>
      </c>
      <c r="BJ22" s="118">
        <f t="shared" si="6"/>
        <v>96.816446787798668</v>
      </c>
      <c r="BK22" s="647">
        <f t="shared" si="6"/>
        <v>96.816446787798668</v>
      </c>
      <c r="BL22" s="594">
        <f t="shared" si="6"/>
        <v>73.969399948550745</v>
      </c>
      <c r="BM22" s="118">
        <f t="shared" si="6"/>
        <v>134.17757404867137</v>
      </c>
      <c r="BN22" s="118">
        <f t="shared" si="6"/>
        <v>67.250956764706359</v>
      </c>
      <c r="BO22" s="118">
        <f t="shared" si="6"/>
        <v>100.79565014835686</v>
      </c>
      <c r="BP22" s="647">
        <f t="shared" si="6"/>
        <v>100.79565014835686</v>
      </c>
      <c r="BQ22" s="594">
        <f t="shared" si="6"/>
        <v>75.808306160109339</v>
      </c>
      <c r="BR22" s="118">
        <f t="shared" si="6"/>
        <v>159.8720814696315</v>
      </c>
      <c r="BS22" s="118">
        <f t="shared" si="6"/>
        <v>67.909614648910804</v>
      </c>
      <c r="BT22" s="118">
        <f t="shared" si="6"/>
        <v>120.66921730899821</v>
      </c>
      <c r="BU22" s="647">
        <f t="shared" si="6"/>
        <v>120.66921730899821</v>
      </c>
      <c r="BV22" s="594">
        <f t="shared" si="6"/>
        <v>72.587809643133028</v>
      </c>
      <c r="BW22" s="118">
        <f t="shared" si="6"/>
        <v>192.93410935522149</v>
      </c>
      <c r="BX22" s="118">
        <f t="shared" si="6"/>
        <v>60.355189237852073</v>
      </c>
      <c r="BY22" s="118">
        <f t="shared" si="6"/>
        <v>150.77354677465144</v>
      </c>
      <c r="BZ22" s="647">
        <f t="shared" si="6"/>
        <v>150.77354677465144</v>
      </c>
    </row>
    <row r="23" spans="1:78" s="114" customFormat="1" ht="2.1" customHeight="1" x14ac:dyDescent="0.2">
      <c r="A23"/>
      <c r="B23"/>
      <c r="C23" s="648"/>
      <c r="J23" s="653"/>
      <c r="O23" s="200"/>
      <c r="P23" s="210"/>
      <c r="Q23" s="200"/>
      <c r="R23" s="648"/>
      <c r="X23" s="210"/>
      <c r="AB23" s="200"/>
      <c r="AC23" s="210"/>
      <c r="AG23" s="200"/>
      <c r="AH23" s="210"/>
      <c r="AL23" s="200"/>
      <c r="AM23" s="210"/>
      <c r="AQ23" s="200"/>
      <c r="AR23" s="210"/>
      <c r="AV23" s="200"/>
      <c r="AW23" s="210"/>
      <c r="BA23" s="200"/>
      <c r="BB23" s="210"/>
      <c r="BF23" s="200"/>
      <c r="BG23" s="210"/>
      <c r="BK23" s="200"/>
      <c r="BL23" s="210"/>
      <c r="BP23" s="200"/>
      <c r="BQ23" s="210"/>
      <c r="BU23" s="200"/>
      <c r="BV23" s="210"/>
      <c r="BZ23" s="200"/>
    </row>
    <row r="24" spans="1:78" s="114" customFormat="1" ht="14.1" customHeight="1" x14ac:dyDescent="0.2">
      <c r="A24"/>
      <c r="B24"/>
      <c r="C24" s="644" t="s">
        <v>178</v>
      </c>
      <c r="J24" s="653"/>
      <c r="O24" s="200"/>
      <c r="P24" s="210"/>
      <c r="Q24" s="200"/>
      <c r="R24" s="644" t="s">
        <v>178</v>
      </c>
      <c r="X24" s="210"/>
      <c r="AB24" s="200"/>
      <c r="AC24" s="210"/>
      <c r="AG24" s="200"/>
      <c r="AH24" s="210"/>
      <c r="AL24" s="200"/>
      <c r="AM24" s="210"/>
      <c r="AQ24" s="200"/>
      <c r="AR24" s="210"/>
      <c r="AV24" s="200"/>
      <c r="AW24" s="210"/>
      <c r="BA24" s="200"/>
      <c r="BB24" s="210"/>
      <c r="BF24" s="200"/>
      <c r="BG24" s="210"/>
      <c r="BK24" s="200"/>
      <c r="BL24" s="210"/>
      <c r="BP24" s="200"/>
      <c r="BQ24" s="210"/>
      <c r="BU24" s="200"/>
      <c r="BV24" s="210"/>
      <c r="BZ24" s="200"/>
    </row>
    <row r="25" spans="1:78" s="114" customFormat="1" ht="14.1" customHeight="1" x14ac:dyDescent="0.2">
      <c r="A25"/>
      <c r="B25"/>
      <c r="C25" s="641" t="str">
        <f>'Balance Sheet'!C21</f>
        <v>Operating Lease Right-of-Use Assets</v>
      </c>
      <c r="D25" s="114">
        <f>'Balance Sheet'!D21</f>
        <v>0</v>
      </c>
      <c r="E25" s="114">
        <f>'Balance Sheet'!E21</f>
        <v>0</v>
      </c>
      <c r="F25" s="114">
        <f>'Balance Sheet'!F21</f>
        <v>103.89</v>
      </c>
      <c r="G25" s="114">
        <f>'Balance Sheet'!G21</f>
        <v>113.715</v>
      </c>
      <c r="H25" s="114">
        <f>'Balance Sheet'!H21</f>
        <v>107.78100000000001</v>
      </c>
      <c r="I25" s="114">
        <f>'Balance Sheet'!I21</f>
        <v>120.455</v>
      </c>
      <c r="J25" s="653">
        <f>'Balance Sheet'!J21</f>
        <v>118.73399999999999</v>
      </c>
      <c r="K25" s="114">
        <f>'Balance Sheet'!K21</f>
        <v>113.61338052840063</v>
      </c>
      <c r="L25" s="114">
        <f>'Balance Sheet'!L21</f>
        <v>128.26531498603021</v>
      </c>
      <c r="M25" s="114">
        <f>'Balance Sheet'!M21</f>
        <v>150.65002600650067</v>
      </c>
      <c r="N25" s="114">
        <f>'Balance Sheet'!N21</f>
        <v>163.52685505740942</v>
      </c>
      <c r="O25" s="200">
        <f>'Balance Sheet'!O21</f>
        <v>175.07986384036033</v>
      </c>
      <c r="P25" s="210"/>
      <c r="Q25" s="200"/>
      <c r="R25" s="641" t="str">
        <f>'Balance Sheet'!R21</f>
        <v>Operating Lease Right-of-Use Assets</v>
      </c>
      <c r="S25" s="114">
        <f>'Balance Sheet'!S21</f>
        <v>0</v>
      </c>
      <c r="T25" s="114">
        <f>'Balance Sheet'!T21</f>
        <v>0</v>
      </c>
      <c r="U25" s="114">
        <f>'Balance Sheet'!U21</f>
        <v>0</v>
      </c>
      <c r="V25" s="114">
        <f>'Balance Sheet'!V21</f>
        <v>0</v>
      </c>
      <c r="W25" s="114">
        <f>'Balance Sheet'!W21</f>
        <v>0</v>
      </c>
      <c r="X25" s="210">
        <f>'Balance Sheet'!X21</f>
        <v>0</v>
      </c>
      <c r="Y25" s="114">
        <f>'Balance Sheet'!Y21</f>
        <v>0</v>
      </c>
      <c r="Z25" s="114">
        <f>'Balance Sheet'!Z21</f>
        <v>0</v>
      </c>
      <c r="AA25" s="114">
        <f>'Balance Sheet'!AA21</f>
        <v>0</v>
      </c>
      <c r="AB25" s="200">
        <f>'Balance Sheet'!AB21</f>
        <v>0</v>
      </c>
      <c r="AC25" s="210">
        <f>'Balance Sheet'!AC21</f>
        <v>72.459999999999994</v>
      </c>
      <c r="AD25" s="114">
        <f>'Balance Sheet'!AD21</f>
        <v>71.765000000000001</v>
      </c>
      <c r="AE25" s="114">
        <f>'Balance Sheet'!AE21</f>
        <v>103.65</v>
      </c>
      <c r="AF25" s="114">
        <f>'Balance Sheet'!AF21</f>
        <v>103.89</v>
      </c>
      <c r="AG25" s="200">
        <f>'Balance Sheet'!AG21</f>
        <v>103.89</v>
      </c>
      <c r="AH25" s="210">
        <f>'Balance Sheet'!AH21</f>
        <v>122.652</v>
      </c>
      <c r="AI25" s="114">
        <f>'Balance Sheet'!AI21</f>
        <v>122.401</v>
      </c>
      <c r="AJ25" s="114">
        <f>'Balance Sheet'!AJ21</f>
        <v>117.48699999999999</v>
      </c>
      <c r="AK25" s="114">
        <f>'Balance Sheet'!AK21</f>
        <v>113.715</v>
      </c>
      <c r="AL25" s="200">
        <f>'Balance Sheet'!AL21</f>
        <v>113.715</v>
      </c>
      <c r="AM25" s="210">
        <f>'Balance Sheet'!AM21</f>
        <v>111.73699999999999</v>
      </c>
      <c r="AN25" s="114">
        <f>'Balance Sheet'!AN21</f>
        <v>105.965</v>
      </c>
      <c r="AO25" s="114">
        <f>'Balance Sheet'!AO21</f>
        <v>104.989</v>
      </c>
      <c r="AP25" s="114">
        <f>'Balance Sheet'!AP21</f>
        <v>107.78100000000001</v>
      </c>
      <c r="AQ25" s="200">
        <f>'Balance Sheet'!AQ21</f>
        <v>107.78100000000001</v>
      </c>
      <c r="AR25" s="210">
        <f>'Balance Sheet'!AR21</f>
        <v>103.892</v>
      </c>
      <c r="AS25" s="114">
        <f>'Balance Sheet'!AS21</f>
        <v>105.376</v>
      </c>
      <c r="AT25" s="114">
        <f>'Balance Sheet'!AT21</f>
        <v>107.456</v>
      </c>
      <c r="AU25" s="114">
        <f>'Balance Sheet'!AU21</f>
        <v>120.455</v>
      </c>
      <c r="AV25" s="200">
        <f>'Balance Sheet'!AV21</f>
        <v>120.455</v>
      </c>
      <c r="AW25" s="210">
        <f>'Balance Sheet'!AW21</f>
        <v>115.48399999999999</v>
      </c>
      <c r="AX25" s="114">
        <f>'Balance Sheet'!AX21</f>
        <v>110.428</v>
      </c>
      <c r="AY25" s="114">
        <f>'Balance Sheet'!AY21</f>
        <v>126.122</v>
      </c>
      <c r="AZ25" s="114">
        <f>'Balance Sheet'!AZ21</f>
        <v>118.73399999999999</v>
      </c>
      <c r="BA25" s="200">
        <f>'Balance Sheet'!BA21</f>
        <v>118.73399999999999</v>
      </c>
      <c r="BB25" s="210">
        <f>'Balance Sheet'!BB21</f>
        <v>129.52000000000001</v>
      </c>
      <c r="BC25" s="114">
        <f>'Balance Sheet'!BC21</f>
        <v>127.441</v>
      </c>
      <c r="BD25" s="114">
        <f>'Balance Sheet'!BD21</f>
        <v>121.336</v>
      </c>
      <c r="BE25" s="114">
        <f>'Balance Sheet'!BE21</f>
        <v>113.61338052840063</v>
      </c>
      <c r="BF25" s="200">
        <f>'Balance Sheet'!BF21</f>
        <v>113.61338052840063</v>
      </c>
      <c r="BG25" s="210">
        <f>'Balance Sheet'!BG21</f>
        <v>142.66776826519603</v>
      </c>
      <c r="BH25" s="114">
        <f>'Balance Sheet'!BH21</f>
        <v>142.38927203026091</v>
      </c>
      <c r="BI25" s="114">
        <f>'Balance Sheet'!BI21</f>
        <v>132.63765450762224</v>
      </c>
      <c r="BJ25" s="114">
        <f>'Balance Sheet'!BJ21</f>
        <v>128.26531498603021</v>
      </c>
      <c r="BK25" s="200">
        <f>'Balance Sheet'!BK21</f>
        <v>128.26531498603021</v>
      </c>
      <c r="BL25" s="210">
        <f>'Balance Sheet'!BL21</f>
        <v>161.70661359221987</v>
      </c>
      <c r="BM25" s="114">
        <f>'Balance Sheet'!BM21</f>
        <v>162.14253989684278</v>
      </c>
      <c r="BN25" s="114">
        <f>'Balance Sheet'!BN21</f>
        <v>152.0386597315634</v>
      </c>
      <c r="BO25" s="114">
        <f>'Balance Sheet'!BO21</f>
        <v>150.65002600650067</v>
      </c>
      <c r="BP25" s="200">
        <f>'Balance Sheet'!BP21</f>
        <v>150.65002600650067</v>
      </c>
      <c r="BQ25" s="210">
        <f>'Balance Sheet'!BQ21</f>
        <v>175.46599001699374</v>
      </c>
      <c r="BR25" s="114">
        <f>'Balance Sheet'!BR21</f>
        <v>176.60903026332184</v>
      </c>
      <c r="BS25" s="114">
        <f>'Balance Sheet'!BS21</f>
        <v>166.41762779325339</v>
      </c>
      <c r="BT25" s="114">
        <f>'Balance Sheet'!BT21</f>
        <v>163.52685505740942</v>
      </c>
      <c r="BU25" s="200">
        <f>'Balance Sheet'!BU21</f>
        <v>163.52685505740942</v>
      </c>
      <c r="BV25" s="210">
        <f>'Balance Sheet'!BV21</f>
        <v>189.23701712510143</v>
      </c>
      <c r="BW25" s="114">
        <f>'Balance Sheet'!BW21</f>
        <v>191.75332525201375</v>
      </c>
      <c r="BX25" s="114">
        <f>'Balance Sheet'!BX21</f>
        <v>180.24077521064439</v>
      </c>
      <c r="BY25" s="114">
        <f>'Balance Sheet'!BY21</f>
        <v>175.07986384036033</v>
      </c>
      <c r="BZ25" s="200">
        <f>'Balance Sheet'!BZ21</f>
        <v>175.07986384036033</v>
      </c>
    </row>
    <row r="26" spans="1:78" s="114" customFormat="1" ht="14.1" customHeight="1" x14ac:dyDescent="0.2">
      <c r="A26"/>
      <c r="B26"/>
      <c r="C26" s="641" t="str">
        <f>'Balance Sheet'!C17</f>
        <v>Property and Equipment</v>
      </c>
      <c r="D26" s="114">
        <f>'Balance Sheet'!D17</f>
        <v>1289.9939999999999</v>
      </c>
      <c r="E26" s="114">
        <f>'Balance Sheet'!E17</f>
        <v>1521.3409999999999</v>
      </c>
      <c r="F26" s="114">
        <f>'Balance Sheet'!F17</f>
        <v>1739.222</v>
      </c>
      <c r="G26" s="114">
        <f>'Balance Sheet'!G17</f>
        <v>1901.2439999999999</v>
      </c>
      <c r="H26" s="114">
        <f>'Balance Sheet'!H17</f>
        <v>2144.5279999999998</v>
      </c>
      <c r="I26" s="114">
        <f>'Balance Sheet'!I17</f>
        <v>2478.8240000000001</v>
      </c>
      <c r="J26" s="653">
        <f>'Balance Sheet'!J17</f>
        <v>2881.8</v>
      </c>
      <c r="K26" s="114">
        <f>'Balance Sheet'!K17</f>
        <v>3822.5120000000002</v>
      </c>
      <c r="L26" s="114">
        <f>'Balance Sheet'!L17</f>
        <v>4420.1131688941314</v>
      </c>
      <c r="M26" s="114">
        <f>'Balance Sheet'!M17</f>
        <v>5004.828560470145</v>
      </c>
      <c r="N26" s="114">
        <f>'Balance Sheet'!N17</f>
        <v>5522.6107176099349</v>
      </c>
      <c r="O26" s="200">
        <f>'Balance Sheet'!O17</f>
        <v>6007.3132326188934</v>
      </c>
      <c r="P26" s="210"/>
      <c r="Q26" s="200"/>
      <c r="R26" s="641" t="str">
        <f>'Balance Sheet'!R17</f>
        <v>Property and Equipment</v>
      </c>
      <c r="S26" s="114">
        <f>'Balance Sheet'!S17</f>
        <v>1216.711</v>
      </c>
      <c r="T26" s="114">
        <f>'Balance Sheet'!T17</f>
        <v>1233.9059999999999</v>
      </c>
      <c r="U26" s="114">
        <f>'Balance Sheet'!U17</f>
        <v>1260.856</v>
      </c>
      <c r="V26" s="114">
        <f>'Balance Sheet'!V17</f>
        <v>1289.9939999999999</v>
      </c>
      <c r="W26" s="114">
        <f>'Balance Sheet'!W17</f>
        <v>1289.9939999999999</v>
      </c>
      <c r="X26" s="210">
        <f>'Balance Sheet'!X17</f>
        <v>1334.557</v>
      </c>
      <c r="Y26" s="114">
        <f>'Balance Sheet'!Y17</f>
        <v>1419.3589999999999</v>
      </c>
      <c r="Z26" s="114">
        <f>'Balance Sheet'!Z17</f>
        <v>1445.049</v>
      </c>
      <c r="AA26" s="114">
        <f>'Balance Sheet'!AA17</f>
        <v>1521.3409999999999</v>
      </c>
      <c r="AB26" s="200">
        <f>'Balance Sheet'!AB17</f>
        <v>1521.3409999999999</v>
      </c>
      <c r="AC26" s="210">
        <f>'Balance Sheet'!AC17</f>
        <v>1553.9380000000001</v>
      </c>
      <c r="AD26" s="114">
        <f>'Balance Sheet'!AD17</f>
        <v>1665.557</v>
      </c>
      <c r="AE26" s="114">
        <f>'Balance Sheet'!AE17</f>
        <v>1735.019</v>
      </c>
      <c r="AF26" s="114">
        <f>'Balance Sheet'!AF17</f>
        <v>1739.222</v>
      </c>
      <c r="AG26" s="200">
        <f>'Balance Sheet'!AG17</f>
        <v>1739.222</v>
      </c>
      <c r="AH26" s="210">
        <f>'Balance Sheet'!AH17</f>
        <v>1834.768</v>
      </c>
      <c r="AI26" s="114">
        <f>'Balance Sheet'!AI17</f>
        <v>1862.048</v>
      </c>
      <c r="AJ26" s="114">
        <f>'Balance Sheet'!AJ17</f>
        <v>1903.383</v>
      </c>
      <c r="AK26" s="114">
        <f>'Balance Sheet'!AK17</f>
        <v>1901.2439999999999</v>
      </c>
      <c r="AL26" s="200">
        <f>'Balance Sheet'!AL17</f>
        <v>1901.2439999999999</v>
      </c>
      <c r="AM26" s="210">
        <f>'Balance Sheet'!AM17</f>
        <v>1918.279</v>
      </c>
      <c r="AN26" s="114">
        <f>'Balance Sheet'!AN17</f>
        <v>1983.923</v>
      </c>
      <c r="AO26" s="114">
        <f>'Balance Sheet'!AO17</f>
        <v>2048.4189999999999</v>
      </c>
      <c r="AP26" s="114">
        <f>'Balance Sheet'!AP17</f>
        <v>2144.5279999999998</v>
      </c>
      <c r="AQ26" s="200">
        <f>'Balance Sheet'!AQ17</f>
        <v>2144.5279999999998</v>
      </c>
      <c r="AR26" s="210">
        <f>'Balance Sheet'!AR17</f>
        <v>2162.4920000000002</v>
      </c>
      <c r="AS26" s="114">
        <f>'Balance Sheet'!AS17</f>
        <v>2277.527</v>
      </c>
      <c r="AT26" s="114">
        <f>'Balance Sheet'!AT17</f>
        <v>2403.7020000000002</v>
      </c>
      <c r="AU26" s="114">
        <f>'Balance Sheet'!AU17</f>
        <v>2478.8240000000001</v>
      </c>
      <c r="AV26" s="200">
        <f>'Balance Sheet'!AV17</f>
        <v>2478.8240000000001</v>
      </c>
      <c r="AW26" s="210">
        <f>'Balance Sheet'!AW17</f>
        <v>2602.9630000000002</v>
      </c>
      <c r="AX26" s="114">
        <f>'Balance Sheet'!AX17</f>
        <v>2683.192</v>
      </c>
      <c r="AY26" s="114">
        <f>'Balance Sheet'!AY17</f>
        <v>2789.357</v>
      </c>
      <c r="AZ26" s="114">
        <f>'Balance Sheet'!AZ17</f>
        <v>2881.8</v>
      </c>
      <c r="BA26" s="200">
        <f>'Balance Sheet'!BA17</f>
        <v>2881.8</v>
      </c>
      <c r="BB26" s="210">
        <f>'Balance Sheet'!BB17</f>
        <v>3336.4929999999999</v>
      </c>
      <c r="BC26" s="114">
        <f>'Balance Sheet'!BC17</f>
        <v>3535.4569999999999</v>
      </c>
      <c r="BD26" s="114">
        <f>'Balance Sheet'!BD17</f>
        <v>3704.2809999999999</v>
      </c>
      <c r="BE26" s="114">
        <f>'Balance Sheet'!BE17</f>
        <v>3822.5120000000002</v>
      </c>
      <c r="BF26" s="200">
        <f>'Balance Sheet'!BF17</f>
        <v>3822.5120000000002</v>
      </c>
      <c r="BG26" s="210">
        <f>'Balance Sheet'!BG17</f>
        <v>3943.2213332423676</v>
      </c>
      <c r="BH26" s="114">
        <f>'Balance Sheet'!BH17</f>
        <v>4099.5679061961819</v>
      </c>
      <c r="BI26" s="114">
        <f>'Balance Sheet'!BI17</f>
        <v>4257.6688885360109</v>
      </c>
      <c r="BJ26" s="114">
        <f>'Balance Sheet'!BJ17</f>
        <v>4420.1131688941314</v>
      </c>
      <c r="BK26" s="200">
        <f>'Balance Sheet'!BK17</f>
        <v>4420.1131688941314</v>
      </c>
      <c r="BL26" s="210">
        <f>'Balance Sheet'!BL17</f>
        <v>4548.5884683105232</v>
      </c>
      <c r="BM26" s="114">
        <f>'Balance Sheet'!BM17</f>
        <v>4698.8064263154629</v>
      </c>
      <c r="BN26" s="114">
        <f>'Balance Sheet'!BN17</f>
        <v>4852.0082325264875</v>
      </c>
      <c r="BO26" s="114">
        <f>'Balance Sheet'!BO17</f>
        <v>5004.828560470145</v>
      </c>
      <c r="BP26" s="200">
        <f>'Balance Sheet'!BP17</f>
        <v>5004.828560470145</v>
      </c>
      <c r="BQ26" s="210">
        <f>'Balance Sheet'!BQ17</f>
        <v>5130.657022012615</v>
      </c>
      <c r="BR26" s="114">
        <f>'Balance Sheet'!BR17</f>
        <v>5264.9874549989308</v>
      </c>
      <c r="BS26" s="114">
        <f>'Balance Sheet'!BS17</f>
        <v>5399.9580813360208</v>
      </c>
      <c r="BT26" s="114">
        <f>'Balance Sheet'!BT17</f>
        <v>5522.6107176099349</v>
      </c>
      <c r="BU26" s="200">
        <f>'Balance Sheet'!BU17</f>
        <v>5522.6107176099349</v>
      </c>
      <c r="BV26" s="210">
        <f>'Balance Sheet'!BV17</f>
        <v>5638.7887964346864</v>
      </c>
      <c r="BW26" s="114">
        <f>'Balance Sheet'!BW17</f>
        <v>5763.8025004464571</v>
      </c>
      <c r="BX26" s="114">
        <f>'Balance Sheet'!BX17</f>
        <v>5887.8354507867843</v>
      </c>
      <c r="BY26" s="114">
        <f>'Balance Sheet'!BY17</f>
        <v>6007.3132326188934</v>
      </c>
      <c r="BZ26" s="200">
        <f>'Balance Sheet'!BZ17</f>
        <v>6007.3132326188934</v>
      </c>
    </row>
    <row r="27" spans="1:78" s="114" customFormat="1" ht="14.1" customHeight="1" x14ac:dyDescent="0.2">
      <c r="A27"/>
      <c r="B27"/>
      <c r="C27" s="641" t="str">
        <f>'Balance Sheet'!C18</f>
        <v>Less: Accumulated Depreciation</v>
      </c>
      <c r="D27" s="114">
        <f>'Balance Sheet'!D18</f>
        <v>554.21400000000006</v>
      </c>
      <c r="E27" s="114">
        <f>'Balance Sheet'!E18</f>
        <v>628.28300000000002</v>
      </c>
      <c r="F27" s="114">
        <f>'Balance Sheet'!F18</f>
        <v>686.62300000000005</v>
      </c>
      <c r="G27" s="114">
        <f>'Balance Sheet'!G18</f>
        <v>765.21699999999998</v>
      </c>
      <c r="H27" s="114">
        <f>'Balance Sheet'!H18</f>
        <v>864.07399999999996</v>
      </c>
      <c r="I27" s="114">
        <f>'Balance Sheet'!I18</f>
        <v>996.20399999999995</v>
      </c>
      <c r="J27" s="653">
        <f>'Balance Sheet'!J18</f>
        <v>1118.492</v>
      </c>
      <c r="K27" s="114">
        <f>'Balance Sheet'!K18</f>
        <v>1260.9435517647059</v>
      </c>
      <c r="L27" s="114">
        <f>'Balance Sheet'!L18</f>
        <v>1423.2146942497834</v>
      </c>
      <c r="M27" s="114">
        <f>'Balance Sheet'!M18</f>
        <v>1622.34271418761</v>
      </c>
      <c r="N27" s="114">
        <f>'Balance Sheet'!N18</f>
        <v>1863.3949497766007</v>
      </c>
      <c r="O27" s="200">
        <f>'Balance Sheet'!O18</f>
        <v>2138.1865559718904</v>
      </c>
      <c r="P27" s="210"/>
      <c r="Q27" s="200"/>
      <c r="R27" s="641" t="str">
        <f>'Balance Sheet'!R18</f>
        <v>Less: Accumulated Depreciation</v>
      </c>
      <c r="S27" s="114">
        <f>'Balance Sheet'!S18</f>
        <v>504.32400000000001</v>
      </c>
      <c r="T27" s="114">
        <f>'Balance Sheet'!T18</f>
        <v>520.68200000000002</v>
      </c>
      <c r="U27" s="114">
        <f>'Balance Sheet'!U18</f>
        <v>538.06500000000005</v>
      </c>
      <c r="V27" s="114">
        <f>'Balance Sheet'!V18</f>
        <v>554.21400000000006</v>
      </c>
      <c r="W27" s="114">
        <f>'Balance Sheet'!W18</f>
        <v>554.21400000000006</v>
      </c>
      <c r="X27" s="210">
        <f>'Balance Sheet'!X18</f>
        <v>573.69899999999996</v>
      </c>
      <c r="Y27" s="114">
        <f>'Balance Sheet'!Y18</f>
        <v>594.678</v>
      </c>
      <c r="Z27" s="114">
        <f>'Balance Sheet'!Z18</f>
        <v>609.32399999999996</v>
      </c>
      <c r="AA27" s="114">
        <f>'Balance Sheet'!AA18</f>
        <v>628.28300000000002</v>
      </c>
      <c r="AB27" s="200">
        <f>'Balance Sheet'!AB18</f>
        <v>628.28300000000002</v>
      </c>
      <c r="AC27" s="210">
        <f>'Balance Sheet'!AC18</f>
        <v>648.40800000000002</v>
      </c>
      <c r="AD27" s="114">
        <f>'Balance Sheet'!AD18</f>
        <v>674.22</v>
      </c>
      <c r="AE27" s="114">
        <f>'Balance Sheet'!AE18</f>
        <v>693.89499999999998</v>
      </c>
      <c r="AF27" s="114">
        <f>'Balance Sheet'!AF18</f>
        <v>686.62300000000005</v>
      </c>
      <c r="AG27" s="200">
        <f>'Balance Sheet'!AG18</f>
        <v>686.62300000000005</v>
      </c>
      <c r="AH27" s="210">
        <f>'Balance Sheet'!AH18</f>
        <v>712.88199999999995</v>
      </c>
      <c r="AI27" s="114">
        <f>'Balance Sheet'!AI18</f>
        <v>743.34500000000003</v>
      </c>
      <c r="AJ27" s="114">
        <f>'Balance Sheet'!AJ18</f>
        <v>762.26400000000001</v>
      </c>
      <c r="AK27" s="114">
        <f>'Balance Sheet'!AK18</f>
        <v>765.21699999999998</v>
      </c>
      <c r="AL27" s="200">
        <f>'Balance Sheet'!AL18</f>
        <v>765.21699999999998</v>
      </c>
      <c r="AM27" s="210">
        <f>'Balance Sheet'!AM18</f>
        <v>796.51099999999997</v>
      </c>
      <c r="AN27" s="114">
        <f>'Balance Sheet'!AN18</f>
        <v>826.98299999999995</v>
      </c>
      <c r="AO27" s="114">
        <f>'Balance Sheet'!AO18</f>
        <v>846.19500000000005</v>
      </c>
      <c r="AP27" s="114">
        <f>'Balance Sheet'!AP18</f>
        <v>864.07399999999996</v>
      </c>
      <c r="AQ27" s="200">
        <f>'Balance Sheet'!AQ18</f>
        <v>864.07399999999996</v>
      </c>
      <c r="AR27" s="210">
        <f>'Balance Sheet'!AR18</f>
        <v>890.92700000000002</v>
      </c>
      <c r="AS27" s="114">
        <f>'Balance Sheet'!AS18</f>
        <v>924.62800000000004</v>
      </c>
      <c r="AT27" s="114">
        <f>'Balance Sheet'!AT18</f>
        <v>964.53300000000002</v>
      </c>
      <c r="AU27" s="114">
        <f>'Balance Sheet'!AU18</f>
        <v>996.20399999999995</v>
      </c>
      <c r="AV27" s="200">
        <f>'Balance Sheet'!AV18</f>
        <v>996.20399999999995</v>
      </c>
      <c r="AW27" s="210">
        <f>'Balance Sheet'!AW18</f>
        <v>1034.6489999999999</v>
      </c>
      <c r="AX27" s="114">
        <f>'Balance Sheet'!AX18</f>
        <v>1075.6389999999999</v>
      </c>
      <c r="AY27" s="114">
        <f>'Balance Sheet'!AY18</f>
        <v>1115.8579999999999</v>
      </c>
      <c r="AZ27" s="114">
        <f>'Balance Sheet'!AZ18</f>
        <v>1118.492</v>
      </c>
      <c r="BA27" s="200">
        <f>'Balance Sheet'!BA18</f>
        <v>1118.492</v>
      </c>
      <c r="BB27" s="210">
        <f>'Balance Sheet'!BB18</f>
        <v>1159.6289999999999</v>
      </c>
      <c r="BC27" s="114">
        <f>'Balance Sheet'!BC18</f>
        <v>1194.231</v>
      </c>
      <c r="BD27" s="114">
        <f>'Balance Sheet'!BD18</f>
        <v>1222.373</v>
      </c>
      <c r="BE27" s="114">
        <f>'Balance Sheet'!BE18</f>
        <v>1260.9435517647059</v>
      </c>
      <c r="BF27" s="200">
        <f>'Balance Sheet'!BF18</f>
        <v>1260.9435517647059</v>
      </c>
      <c r="BG27" s="210">
        <f>'Balance Sheet'!BG18</f>
        <v>1302.0417931305062</v>
      </c>
      <c r="BH27" s="114">
        <f>'Balance Sheet'!BH18</f>
        <v>1340.4526920366941</v>
      </c>
      <c r="BI27" s="114">
        <f>'Balance Sheet'!BI18</f>
        <v>1380.9431188679871</v>
      </c>
      <c r="BJ27" s="114">
        <f>'Balance Sheet'!BJ18</f>
        <v>1423.2146942497834</v>
      </c>
      <c r="BK27" s="200">
        <f>'Balance Sheet'!BK18</f>
        <v>1423.2146942497834</v>
      </c>
      <c r="BL27" s="210">
        <f>'Balance Sheet'!BL18</f>
        <v>1472.1287371804112</v>
      </c>
      <c r="BM27" s="114">
        <f>'Balance Sheet'!BM18</f>
        <v>1520.2095164632951</v>
      </c>
      <c r="BN27" s="114">
        <f>'Balance Sheet'!BN18</f>
        <v>1570.1257471845913</v>
      </c>
      <c r="BO27" s="114">
        <f>'Balance Sheet'!BO18</f>
        <v>1622.34271418761</v>
      </c>
      <c r="BP27" s="200">
        <f>'Balance Sheet'!BP18</f>
        <v>1622.34271418761</v>
      </c>
      <c r="BQ27" s="210">
        <f>'Balance Sheet'!BQ18</f>
        <v>1680.186948768267</v>
      </c>
      <c r="BR27" s="114">
        <f>'Balance Sheet'!BR18</f>
        <v>1738.8169887211723</v>
      </c>
      <c r="BS27" s="114">
        <f>'Balance Sheet'!BS18</f>
        <v>1799.3423114840396</v>
      </c>
      <c r="BT27" s="114">
        <f>'Balance Sheet'!BT18</f>
        <v>1863.3949497766007</v>
      </c>
      <c r="BU27" s="200">
        <f>'Balance Sheet'!BU18</f>
        <v>1863.3949497766007</v>
      </c>
      <c r="BV27" s="210">
        <f>'Balance Sheet'!BV18</f>
        <v>1930.0620445865018</v>
      </c>
      <c r="BW27" s="114">
        <f>'Balance Sheet'!BW18</f>
        <v>1997.3312473986132</v>
      </c>
      <c r="BX27" s="114">
        <f>'Balance Sheet'!BX18</f>
        <v>2066.5616965841527</v>
      </c>
      <c r="BY27" s="114">
        <f>'Balance Sheet'!BY18</f>
        <v>2138.1865559718904</v>
      </c>
      <c r="BZ27" s="200">
        <f>'Balance Sheet'!BZ18</f>
        <v>2138.1865559718904</v>
      </c>
    </row>
    <row r="28" spans="1:78" s="114" customFormat="1" ht="14.1" customHeight="1" x14ac:dyDescent="0.2">
      <c r="A28"/>
      <c r="B28"/>
      <c r="C28" s="649" t="str">
        <f>'Balance Sheet'!C19</f>
        <v>Net Property and Equipment</v>
      </c>
      <c r="D28" s="181">
        <f>D25+D26-D27</f>
        <v>735.77999999999986</v>
      </c>
      <c r="E28" s="181">
        <f t="shared" ref="E28:O28" si="7">E25+E26-E27</f>
        <v>893.05799999999988</v>
      </c>
      <c r="F28" s="181">
        <f t="shared" si="7"/>
        <v>1156.489</v>
      </c>
      <c r="G28" s="181">
        <f t="shared" si="7"/>
        <v>1249.7419999999997</v>
      </c>
      <c r="H28" s="181">
        <f t="shared" si="7"/>
        <v>1388.2349999999997</v>
      </c>
      <c r="I28" s="181">
        <f t="shared" si="7"/>
        <v>1603.075</v>
      </c>
      <c r="J28" s="655">
        <f t="shared" si="7"/>
        <v>1882.0420000000001</v>
      </c>
      <c r="K28" s="181">
        <f t="shared" si="7"/>
        <v>2675.1818287636952</v>
      </c>
      <c r="L28" s="181">
        <f t="shared" si="7"/>
        <v>3125.1637896303778</v>
      </c>
      <c r="M28" s="181">
        <f t="shared" si="7"/>
        <v>3533.1358722890354</v>
      </c>
      <c r="N28" s="181">
        <f t="shared" si="7"/>
        <v>3822.7426228907434</v>
      </c>
      <c r="O28" s="643">
        <f t="shared" si="7"/>
        <v>4044.2065404873633</v>
      </c>
      <c r="P28" s="118"/>
      <c r="Q28" s="118"/>
      <c r="R28" s="649" t="str">
        <f>'Balance Sheet'!R19</f>
        <v>Net Property and Equipment</v>
      </c>
      <c r="S28" s="181">
        <f>S25+S26-S27</f>
        <v>712.38699999999994</v>
      </c>
      <c r="T28" s="181">
        <f t="shared" ref="T28:BZ28" si="8">T25+T26-T27</f>
        <v>713.22399999999993</v>
      </c>
      <c r="U28" s="181">
        <f t="shared" si="8"/>
        <v>722.79099999999994</v>
      </c>
      <c r="V28" s="181">
        <f t="shared" si="8"/>
        <v>735.77999999999986</v>
      </c>
      <c r="W28" s="181">
        <f t="shared" si="8"/>
        <v>735.77999999999986</v>
      </c>
      <c r="X28" s="659">
        <f t="shared" si="8"/>
        <v>760.85800000000006</v>
      </c>
      <c r="Y28" s="181">
        <f t="shared" si="8"/>
        <v>824.68099999999993</v>
      </c>
      <c r="Z28" s="181">
        <f t="shared" si="8"/>
        <v>835.72500000000002</v>
      </c>
      <c r="AA28" s="181">
        <f t="shared" si="8"/>
        <v>893.05799999999988</v>
      </c>
      <c r="AB28" s="643">
        <f t="shared" si="8"/>
        <v>893.05799999999988</v>
      </c>
      <c r="AC28" s="659">
        <f t="shared" si="8"/>
        <v>977.99000000000012</v>
      </c>
      <c r="AD28" s="181">
        <f t="shared" si="8"/>
        <v>1063.1020000000001</v>
      </c>
      <c r="AE28" s="181">
        <f t="shared" si="8"/>
        <v>1144.7740000000001</v>
      </c>
      <c r="AF28" s="181">
        <f t="shared" si="8"/>
        <v>1156.489</v>
      </c>
      <c r="AG28" s="643">
        <f t="shared" si="8"/>
        <v>1156.489</v>
      </c>
      <c r="AH28" s="659">
        <f t="shared" si="8"/>
        <v>1244.538</v>
      </c>
      <c r="AI28" s="181">
        <f t="shared" si="8"/>
        <v>1241.104</v>
      </c>
      <c r="AJ28" s="181">
        <f t="shared" si="8"/>
        <v>1258.6060000000002</v>
      </c>
      <c r="AK28" s="181">
        <f t="shared" si="8"/>
        <v>1249.7419999999997</v>
      </c>
      <c r="AL28" s="643">
        <f t="shared" si="8"/>
        <v>1249.7419999999997</v>
      </c>
      <c r="AM28" s="659">
        <f t="shared" si="8"/>
        <v>1233.5050000000001</v>
      </c>
      <c r="AN28" s="181">
        <f t="shared" si="8"/>
        <v>1262.905</v>
      </c>
      <c r="AO28" s="181">
        <f t="shared" si="8"/>
        <v>1307.2129999999997</v>
      </c>
      <c r="AP28" s="181">
        <f t="shared" si="8"/>
        <v>1388.2349999999997</v>
      </c>
      <c r="AQ28" s="643">
        <f t="shared" si="8"/>
        <v>1388.2349999999997</v>
      </c>
      <c r="AR28" s="659">
        <f t="shared" si="8"/>
        <v>1375.4569999999999</v>
      </c>
      <c r="AS28" s="181">
        <f t="shared" si="8"/>
        <v>1458.2750000000001</v>
      </c>
      <c r="AT28" s="181">
        <f t="shared" si="8"/>
        <v>1546.6250000000005</v>
      </c>
      <c r="AU28" s="181">
        <f t="shared" si="8"/>
        <v>1603.075</v>
      </c>
      <c r="AV28" s="643">
        <f t="shared" si="8"/>
        <v>1603.075</v>
      </c>
      <c r="AW28" s="659">
        <f t="shared" si="8"/>
        <v>1683.7980000000002</v>
      </c>
      <c r="AX28" s="181">
        <f t="shared" si="8"/>
        <v>1717.981</v>
      </c>
      <c r="AY28" s="181">
        <f t="shared" si="8"/>
        <v>1799.6209999999999</v>
      </c>
      <c r="AZ28" s="181">
        <f t="shared" si="8"/>
        <v>1882.0420000000001</v>
      </c>
      <c r="BA28" s="643">
        <f t="shared" si="8"/>
        <v>1882.0420000000001</v>
      </c>
      <c r="BB28" s="659">
        <f t="shared" si="8"/>
        <v>2306.384</v>
      </c>
      <c r="BC28" s="181">
        <f t="shared" si="8"/>
        <v>2468.6669999999995</v>
      </c>
      <c r="BD28" s="181">
        <f t="shared" si="8"/>
        <v>2603.2439999999997</v>
      </c>
      <c r="BE28" s="181">
        <f t="shared" si="8"/>
        <v>2675.1818287636952</v>
      </c>
      <c r="BF28" s="643">
        <f t="shared" si="8"/>
        <v>2675.1818287636952</v>
      </c>
      <c r="BG28" s="659">
        <f t="shared" si="8"/>
        <v>2783.8473083770577</v>
      </c>
      <c r="BH28" s="181">
        <f t="shared" si="8"/>
        <v>2901.5044861897486</v>
      </c>
      <c r="BI28" s="181">
        <f t="shared" si="8"/>
        <v>3009.3634241756454</v>
      </c>
      <c r="BJ28" s="181">
        <f t="shared" si="8"/>
        <v>3125.1637896303778</v>
      </c>
      <c r="BK28" s="643">
        <f t="shared" si="8"/>
        <v>3125.1637896303778</v>
      </c>
      <c r="BL28" s="659">
        <f t="shared" si="8"/>
        <v>3238.1663447223318</v>
      </c>
      <c r="BM28" s="181">
        <f t="shared" si="8"/>
        <v>3340.7394497490109</v>
      </c>
      <c r="BN28" s="181">
        <f t="shared" si="8"/>
        <v>3433.9211450734601</v>
      </c>
      <c r="BO28" s="181">
        <f t="shared" si="8"/>
        <v>3533.1358722890354</v>
      </c>
      <c r="BP28" s="643">
        <f t="shared" si="8"/>
        <v>3533.1358722890354</v>
      </c>
      <c r="BQ28" s="659">
        <f t="shared" si="8"/>
        <v>3625.9360632613416</v>
      </c>
      <c r="BR28" s="181">
        <f t="shared" si="8"/>
        <v>3702.7794965410803</v>
      </c>
      <c r="BS28" s="181">
        <f t="shared" si="8"/>
        <v>3767.0333976452348</v>
      </c>
      <c r="BT28" s="181">
        <f t="shared" si="8"/>
        <v>3822.7426228907434</v>
      </c>
      <c r="BU28" s="643">
        <f t="shared" si="8"/>
        <v>3822.7426228907434</v>
      </c>
      <c r="BV28" s="659">
        <f t="shared" si="8"/>
        <v>3897.9637689732863</v>
      </c>
      <c r="BW28" s="181">
        <f t="shared" si="8"/>
        <v>3958.2245782998571</v>
      </c>
      <c r="BX28" s="181">
        <f t="shared" si="8"/>
        <v>4001.5145294132763</v>
      </c>
      <c r="BY28" s="181">
        <f t="shared" si="8"/>
        <v>4044.2065404873633</v>
      </c>
      <c r="BZ28" s="643">
        <f t="shared" si="8"/>
        <v>4044.2065404873633</v>
      </c>
    </row>
    <row r="29" spans="1:78" s="114" customFormat="1" ht="2.1" customHeight="1" x14ac:dyDescent="0.2">
      <c r="A29"/>
      <c r="B29"/>
      <c r="C29" s="640"/>
      <c r="J29" s="653"/>
      <c r="O29" s="200"/>
      <c r="R29" s="640"/>
      <c r="X29" s="210"/>
      <c r="AB29" s="200"/>
      <c r="AC29" s="210"/>
      <c r="AG29" s="200"/>
      <c r="AH29" s="210"/>
      <c r="AL29" s="200"/>
      <c r="AM29" s="210"/>
      <c r="AQ29" s="200"/>
      <c r="AR29" s="210"/>
      <c r="AV29" s="200"/>
      <c r="AW29" s="210"/>
      <c r="BA29" s="200"/>
      <c r="BB29" s="210"/>
      <c r="BF29" s="200"/>
      <c r="BG29" s="210"/>
      <c r="BK29" s="200"/>
      <c r="BL29" s="210"/>
      <c r="BP29" s="200"/>
      <c r="BQ29" s="210"/>
      <c r="BU29" s="200"/>
      <c r="BV29" s="210"/>
      <c r="BZ29" s="200"/>
    </row>
    <row r="30" spans="1:78" s="114" customFormat="1" ht="14.1" customHeight="1" x14ac:dyDescent="0.2">
      <c r="A30"/>
      <c r="B30"/>
      <c r="C30" s="644" t="s">
        <v>179</v>
      </c>
      <c r="J30" s="653"/>
      <c r="O30" s="200"/>
      <c r="R30" s="644" t="s">
        <v>179</v>
      </c>
      <c r="X30" s="210"/>
      <c r="AB30" s="200"/>
      <c r="AC30" s="210"/>
      <c r="AG30" s="200"/>
      <c r="AH30" s="210"/>
      <c r="AL30" s="200"/>
      <c r="AM30" s="210"/>
      <c r="AQ30" s="200"/>
      <c r="AR30" s="210"/>
      <c r="AV30" s="200"/>
      <c r="AW30" s="210"/>
      <c r="BA30" s="200"/>
      <c r="BB30" s="210"/>
      <c r="BF30" s="200"/>
      <c r="BG30" s="210"/>
      <c r="BK30" s="200"/>
      <c r="BL30" s="210"/>
      <c r="BP30" s="200"/>
      <c r="BQ30" s="210"/>
      <c r="BU30" s="200"/>
      <c r="BV30" s="210"/>
      <c r="BZ30" s="200"/>
    </row>
    <row r="31" spans="1:78" s="114" customFormat="1" ht="14.1" customHeight="1" x14ac:dyDescent="0.2">
      <c r="A31"/>
      <c r="B31"/>
      <c r="C31" s="641" t="str">
        <f>'Balance Sheet'!C22</f>
        <v>Goodwill and Identifiable Intangibles, net</v>
      </c>
      <c r="D31" s="114">
        <f>'Balance Sheet'!D22</f>
        <v>24.027000000000001</v>
      </c>
      <c r="E31" s="114">
        <f>'Balance Sheet'!E22</f>
        <v>22.664000000000001</v>
      </c>
      <c r="F31" s="114">
        <f>'Balance Sheet'!F22</f>
        <v>21.484000000000002</v>
      </c>
      <c r="G31" s="114">
        <f>'Balance Sheet'!G22</f>
        <v>20.321000000000002</v>
      </c>
      <c r="H31" s="114">
        <f>'Balance Sheet'!H22</f>
        <v>19.157</v>
      </c>
      <c r="I31" s="114">
        <f>'Balance Sheet'!I22</f>
        <v>18.149000000000001</v>
      </c>
      <c r="J31" s="653">
        <f>'Balance Sheet'!J22</f>
        <v>17.295999999999999</v>
      </c>
      <c r="K31" s="114">
        <f>'Balance Sheet'!K22</f>
        <v>16.442999999999998</v>
      </c>
      <c r="L31" s="114">
        <f>'Balance Sheet'!L22</f>
        <v>15.589999999999996</v>
      </c>
      <c r="M31" s="114">
        <f>'Balance Sheet'!M22</f>
        <v>14.736999999999995</v>
      </c>
      <c r="N31" s="114">
        <f>'Balance Sheet'!N22</f>
        <v>13.883999999999993</v>
      </c>
      <c r="O31" s="200">
        <f>'Balance Sheet'!O22</f>
        <v>13.030999999999992</v>
      </c>
      <c r="R31" s="641" t="str">
        <f>'Balance Sheet'!R22</f>
        <v>Goodwill and Identifiable Intangibles, net</v>
      </c>
      <c r="S31" s="114">
        <f>'Balance Sheet'!S22</f>
        <v>25.053999999999998</v>
      </c>
      <c r="T31" s="114">
        <f>'Balance Sheet'!T22</f>
        <v>24.709</v>
      </c>
      <c r="U31" s="114">
        <f>'Balance Sheet'!U22</f>
        <v>24.367999999999999</v>
      </c>
      <c r="V31" s="114">
        <f>'Balance Sheet'!V22</f>
        <v>24.027000000000001</v>
      </c>
      <c r="W31" s="114">
        <f>'Balance Sheet'!W22</f>
        <v>24.027000000000001</v>
      </c>
      <c r="X31" s="210">
        <f>'Balance Sheet'!X22</f>
        <v>23.686</v>
      </c>
      <c r="Y31" s="114">
        <f>'Balance Sheet'!Y22</f>
        <v>23.346</v>
      </c>
      <c r="Z31" s="114">
        <f>'Balance Sheet'!Z22</f>
        <v>23.004999999999999</v>
      </c>
      <c r="AA31" s="114">
        <f>'Balance Sheet'!AA22</f>
        <v>22.664000000000001</v>
      </c>
      <c r="AB31" s="200">
        <f>'Balance Sheet'!AB22</f>
        <v>22.664000000000001</v>
      </c>
      <c r="AC31" s="210">
        <f>'Balance Sheet'!AC22</f>
        <v>22.356000000000002</v>
      </c>
      <c r="AD31" s="114">
        <f>'Balance Sheet'!AD22</f>
        <v>22.065999999999999</v>
      </c>
      <c r="AE31" s="114">
        <f>'Balance Sheet'!AE22</f>
        <v>21.774999999999999</v>
      </c>
      <c r="AF31" s="114">
        <f>'Balance Sheet'!AF22</f>
        <v>21.484000000000002</v>
      </c>
      <c r="AG31" s="200">
        <f>'Balance Sheet'!AG22</f>
        <v>21.484000000000002</v>
      </c>
      <c r="AH31" s="210">
        <f>'Balance Sheet'!AH22</f>
        <v>21.193000000000001</v>
      </c>
      <c r="AI31" s="114">
        <f>'Balance Sheet'!AI22</f>
        <v>20.902000000000001</v>
      </c>
      <c r="AJ31" s="114">
        <f>'Balance Sheet'!AJ22</f>
        <v>20.611000000000001</v>
      </c>
      <c r="AK31" s="114">
        <f>'Balance Sheet'!AK22</f>
        <v>20.321000000000002</v>
      </c>
      <c r="AL31" s="200">
        <f>'Balance Sheet'!AL22</f>
        <v>20.321000000000002</v>
      </c>
      <c r="AM31" s="210">
        <f>'Balance Sheet'!AM22</f>
        <v>20.03</v>
      </c>
      <c r="AN31" s="114">
        <f>'Balance Sheet'!AN22</f>
        <v>19.739000000000001</v>
      </c>
      <c r="AO31" s="114">
        <f>'Balance Sheet'!AO22</f>
        <v>19.448</v>
      </c>
      <c r="AP31" s="114">
        <f>'Balance Sheet'!AP22</f>
        <v>19.157</v>
      </c>
      <c r="AQ31" s="200">
        <f>'Balance Sheet'!AQ22</f>
        <v>19.157</v>
      </c>
      <c r="AR31" s="210">
        <f>'Balance Sheet'!AR22</f>
        <v>18.866</v>
      </c>
      <c r="AS31" s="114">
        <f>'Balance Sheet'!AS22</f>
        <v>18.576000000000001</v>
      </c>
      <c r="AT31" s="114">
        <f>'Balance Sheet'!AT22</f>
        <v>18.361999999999998</v>
      </c>
      <c r="AU31" s="114">
        <f>'Balance Sheet'!AU22</f>
        <v>18.149000000000001</v>
      </c>
      <c r="AV31" s="200">
        <f>'Balance Sheet'!AV22</f>
        <v>18.149000000000001</v>
      </c>
      <c r="AW31" s="210">
        <f>'Balance Sheet'!AW22</f>
        <v>17.936</v>
      </c>
      <c r="AX31" s="114">
        <f>'Balance Sheet'!AX22</f>
        <v>17.722000000000001</v>
      </c>
      <c r="AY31" s="114">
        <f>'Balance Sheet'!AY22</f>
        <v>17.509</v>
      </c>
      <c r="AZ31" s="114">
        <f>'Balance Sheet'!AZ22</f>
        <v>17.295999999999999</v>
      </c>
      <c r="BA31" s="200">
        <f>'Balance Sheet'!BA22</f>
        <v>17.295999999999999</v>
      </c>
      <c r="BB31" s="210">
        <f>'Balance Sheet'!BB22</f>
        <v>17.082000000000001</v>
      </c>
      <c r="BC31" s="114">
        <f>'Balance Sheet'!BC22</f>
        <v>16.869</v>
      </c>
      <c r="BD31" s="114">
        <f>'Balance Sheet'!BD22</f>
        <v>16.655999999999999</v>
      </c>
      <c r="BE31" s="114">
        <f>'Balance Sheet'!BE22</f>
        <v>16.442999999999998</v>
      </c>
      <c r="BF31" s="200">
        <f>'Balance Sheet'!BF22</f>
        <v>16.442999999999998</v>
      </c>
      <c r="BG31" s="210">
        <f>'Balance Sheet'!BG22</f>
        <v>16.228999999999999</v>
      </c>
      <c r="BH31" s="114">
        <f>'Balance Sheet'!BH22</f>
        <v>16.015999999999998</v>
      </c>
      <c r="BI31" s="114">
        <f>'Balance Sheet'!BI22</f>
        <v>15.802999999999997</v>
      </c>
      <c r="BJ31" s="114">
        <f>'Balance Sheet'!BJ22</f>
        <v>15.589999999999996</v>
      </c>
      <c r="BK31" s="200">
        <f>'Balance Sheet'!BK22</f>
        <v>15.589999999999996</v>
      </c>
      <c r="BL31" s="210">
        <f>'Balance Sheet'!BL22</f>
        <v>15.375999999999998</v>
      </c>
      <c r="BM31" s="114">
        <f>'Balance Sheet'!BM22</f>
        <v>15.162999999999997</v>
      </c>
      <c r="BN31" s="114">
        <f>'Balance Sheet'!BN22</f>
        <v>14.949999999999996</v>
      </c>
      <c r="BO31" s="114">
        <f>'Balance Sheet'!BO22</f>
        <v>14.736999999999995</v>
      </c>
      <c r="BP31" s="200">
        <f>'Balance Sheet'!BP22</f>
        <v>14.736999999999995</v>
      </c>
      <c r="BQ31" s="210">
        <f>'Balance Sheet'!BQ22</f>
        <v>14.522999999999996</v>
      </c>
      <c r="BR31" s="114">
        <f>'Balance Sheet'!BR22</f>
        <v>14.309999999999995</v>
      </c>
      <c r="BS31" s="114">
        <f>'Balance Sheet'!BS22</f>
        <v>14.096999999999994</v>
      </c>
      <c r="BT31" s="114">
        <f>'Balance Sheet'!BT22</f>
        <v>13.883999999999993</v>
      </c>
      <c r="BU31" s="200">
        <f>'Balance Sheet'!BU22</f>
        <v>13.883999999999993</v>
      </c>
      <c r="BV31" s="210">
        <f>'Balance Sheet'!BV22</f>
        <v>13.669999999999995</v>
      </c>
      <c r="BW31" s="114">
        <f>'Balance Sheet'!BW22</f>
        <v>13.456999999999994</v>
      </c>
      <c r="BX31" s="114">
        <f>'Balance Sheet'!BX22</f>
        <v>13.243999999999993</v>
      </c>
      <c r="BY31" s="114">
        <f>'Balance Sheet'!BY22</f>
        <v>13.030999999999992</v>
      </c>
      <c r="BZ31" s="200">
        <f>'Balance Sheet'!BZ22</f>
        <v>13.030999999999992</v>
      </c>
    </row>
    <row r="32" spans="1:78" s="114" customFormat="1" ht="14.1" customHeight="1" x14ac:dyDescent="0.2">
      <c r="A32"/>
      <c r="B32"/>
      <c r="C32" s="641" t="str">
        <f>'Balance Sheet'!C23</f>
        <v>Other Noncurrent Assets</v>
      </c>
      <c r="D32" s="114">
        <f>'Balance Sheet'!D23</f>
        <v>4.2590000000000003</v>
      </c>
      <c r="E32" s="114">
        <f>'Balance Sheet'!E23</f>
        <v>4.6479999999999997</v>
      </c>
      <c r="F32" s="114">
        <f>'Balance Sheet'!F23</f>
        <v>5.3410000000000002</v>
      </c>
      <c r="G32" s="114">
        <f>'Balance Sheet'!G23</f>
        <v>7.0149999999999997</v>
      </c>
      <c r="H32" s="114">
        <f>'Balance Sheet'!H23</f>
        <v>21.603000000000002</v>
      </c>
      <c r="I32" s="114">
        <f>'Balance Sheet'!I23</f>
        <v>22.6</v>
      </c>
      <c r="J32" s="653">
        <f>'Balance Sheet'!J23</f>
        <v>35.533000000000001</v>
      </c>
      <c r="K32" s="114">
        <f>'Balance Sheet'!K23</f>
        <v>26.825381513650154</v>
      </c>
      <c r="L32" s="114">
        <f>'Balance Sheet'!L23</f>
        <v>32.066328746507551</v>
      </c>
      <c r="M32" s="114">
        <f>'Balance Sheet'!M23</f>
        <v>32.431602820843892</v>
      </c>
      <c r="N32" s="114">
        <f>'Balance Sheet'!N23</f>
        <v>35.203697963747864</v>
      </c>
      <c r="O32" s="200">
        <f>'Balance Sheet'!O23</f>
        <v>37.69080402118869</v>
      </c>
      <c r="R32" s="641" t="str">
        <f>'Balance Sheet'!R23</f>
        <v>Other Noncurrent Assets</v>
      </c>
      <c r="S32" s="114">
        <f>'Balance Sheet'!S23</f>
        <v>5.1070000000000002</v>
      </c>
      <c r="T32" s="114">
        <f>'Balance Sheet'!T23</f>
        <v>4.7670000000000003</v>
      </c>
      <c r="U32" s="114">
        <f>'Balance Sheet'!U23</f>
        <v>4.9610000000000003</v>
      </c>
      <c r="V32" s="114">
        <f>'Balance Sheet'!V23</f>
        <v>4.2590000000000003</v>
      </c>
      <c r="W32" s="114">
        <f>'Balance Sheet'!W23</f>
        <v>4.2590000000000003</v>
      </c>
      <c r="X32" s="210">
        <f>'Balance Sheet'!X23</f>
        <v>5.0039999999999996</v>
      </c>
      <c r="Y32" s="114">
        <f>'Balance Sheet'!Y23</f>
        <v>5.2439999999999998</v>
      </c>
      <c r="Z32" s="114">
        <f>'Balance Sheet'!Z23</f>
        <v>4.7050000000000001</v>
      </c>
      <c r="AA32" s="114">
        <f>'Balance Sheet'!AA23</f>
        <v>4.6479999999999997</v>
      </c>
      <c r="AB32" s="200">
        <f>'Balance Sheet'!AB23</f>
        <v>4.6479999999999997</v>
      </c>
      <c r="AC32" s="210">
        <f>'Balance Sheet'!AC23</f>
        <v>5.4240000000000004</v>
      </c>
      <c r="AD32" s="114">
        <f>'Balance Sheet'!AD23</f>
        <v>5.5629999999999997</v>
      </c>
      <c r="AE32" s="114">
        <f>'Balance Sheet'!AE23</f>
        <v>6.0140000000000002</v>
      </c>
      <c r="AF32" s="114">
        <f>'Balance Sheet'!AF23</f>
        <v>5.3410000000000002</v>
      </c>
      <c r="AG32" s="200">
        <f>'Balance Sheet'!AG23</f>
        <v>5.3410000000000002</v>
      </c>
      <c r="AH32" s="210">
        <f>'Balance Sheet'!AH23</f>
        <v>5.62</v>
      </c>
      <c r="AI32" s="114">
        <f>'Balance Sheet'!AI23</f>
        <v>6.5510000000000002</v>
      </c>
      <c r="AJ32" s="114">
        <f>'Balance Sheet'!AJ23</f>
        <v>6.3460000000000001</v>
      </c>
      <c r="AK32" s="114">
        <f>'Balance Sheet'!AK23</f>
        <v>7.0149999999999997</v>
      </c>
      <c r="AL32" s="200">
        <f>'Balance Sheet'!AL23</f>
        <v>7.0149999999999997</v>
      </c>
      <c r="AM32" s="210">
        <f>'Balance Sheet'!AM23</f>
        <v>8.7349999999999994</v>
      </c>
      <c r="AN32" s="114">
        <f>'Balance Sheet'!AN23</f>
        <v>10.870100000000001</v>
      </c>
      <c r="AO32" s="114">
        <f>'Balance Sheet'!AO23</f>
        <v>11.989000000000001</v>
      </c>
      <c r="AP32" s="114">
        <f>'Balance Sheet'!AP23</f>
        <v>21.603000000000002</v>
      </c>
      <c r="AQ32" s="200">
        <f>'Balance Sheet'!AQ23</f>
        <v>21.603000000000002</v>
      </c>
      <c r="AR32" s="210">
        <f>'Balance Sheet'!AR23</f>
        <v>27.36</v>
      </c>
      <c r="AS32" s="114">
        <f>'Balance Sheet'!AS23</f>
        <v>34.628</v>
      </c>
      <c r="AT32" s="114">
        <f>'Balance Sheet'!AT23</f>
        <v>23.934999999999999</v>
      </c>
      <c r="AU32" s="114">
        <f>'Balance Sheet'!AU23</f>
        <v>22.6</v>
      </c>
      <c r="AV32" s="200">
        <f>'Balance Sheet'!AV23</f>
        <v>22.6</v>
      </c>
      <c r="AW32" s="210">
        <f>'Balance Sheet'!AW23</f>
        <v>27.550999999999998</v>
      </c>
      <c r="AX32" s="114">
        <f>'Balance Sheet'!AX23</f>
        <v>22.539000000000001</v>
      </c>
      <c r="AY32" s="114">
        <f>'Balance Sheet'!AY23</f>
        <v>22.596</v>
      </c>
      <c r="AZ32" s="114">
        <f>'Balance Sheet'!AZ23</f>
        <v>35.533000000000001</v>
      </c>
      <c r="BA32" s="200">
        <f>'Balance Sheet'!BA23</f>
        <v>35.533000000000001</v>
      </c>
      <c r="BB32" s="210">
        <f>'Balance Sheet'!BB23</f>
        <v>25.988</v>
      </c>
      <c r="BC32" s="114">
        <f>'Balance Sheet'!BC23</f>
        <v>25.524999999999999</v>
      </c>
      <c r="BD32" s="114">
        <f>'Balance Sheet'!BD23</f>
        <v>24.876999999999999</v>
      </c>
      <c r="BE32" s="114">
        <f>'Balance Sheet'!BE23</f>
        <v>26.825381513650154</v>
      </c>
      <c r="BF32" s="200">
        <f>'Balance Sheet'!BF23</f>
        <v>26.825381513650154</v>
      </c>
      <c r="BG32" s="210">
        <f>'Balance Sheet'!BG23</f>
        <v>32.424340077996987</v>
      </c>
      <c r="BH32" s="114">
        <f>'Balance Sheet'!BH23</f>
        <v>31.273435325770546</v>
      </c>
      <c r="BI32" s="114">
        <f>'Balance Sheet'!BI23</f>
        <v>29.917530000573173</v>
      </c>
      <c r="BJ32" s="114">
        <f>'Balance Sheet'!BJ23</f>
        <v>32.066328746507551</v>
      </c>
      <c r="BK32" s="200">
        <f>'Balance Sheet'!BK23</f>
        <v>32.066328746507551</v>
      </c>
      <c r="BL32" s="210">
        <f>'Balance Sheet'!BL23</f>
        <v>36.751330000684391</v>
      </c>
      <c r="BM32" s="114">
        <f>'Balance Sheet'!BM23</f>
        <v>35.611912068364497</v>
      </c>
      <c r="BN32" s="114">
        <f>'Balance Sheet'!BN23</f>
        <v>34.293588654378617</v>
      </c>
      <c r="BO32" s="114">
        <f>'Balance Sheet'!BO23</f>
        <v>32.431602820843892</v>
      </c>
      <c r="BP32" s="200">
        <f>'Balance Sheet'!BP23</f>
        <v>32.431602820843892</v>
      </c>
      <c r="BQ32" s="210">
        <f>'Balance Sheet'!BQ23</f>
        <v>39.878446278474222</v>
      </c>
      <c r="BR32" s="114">
        <f>'Balance Sheet'!BR23</f>
        <v>38.789236064871872</v>
      </c>
      <c r="BS32" s="114">
        <f>'Balance Sheet'!BS23</f>
        <v>37.53688491108506</v>
      </c>
      <c r="BT32" s="114">
        <f>'Balance Sheet'!BT23</f>
        <v>35.203697963747864</v>
      </c>
      <c r="BU32" s="200">
        <f>'Balance Sheet'!BU23</f>
        <v>35.203697963747864</v>
      </c>
      <c r="BV32" s="210">
        <f>'Balance Sheet'!BV23</f>
        <v>43.008210426369196</v>
      </c>
      <c r="BW32" s="114">
        <f>'Balance Sheet'!BW23</f>
        <v>42.115428573129059</v>
      </c>
      <c r="BX32" s="114">
        <f>'Balance Sheet'!BX23</f>
        <v>40.654811182454516</v>
      </c>
      <c r="BY32" s="114">
        <f>'Balance Sheet'!BY23</f>
        <v>37.69080402118869</v>
      </c>
      <c r="BZ32" s="200">
        <f>'Balance Sheet'!BZ23</f>
        <v>37.69080402118869</v>
      </c>
    </row>
    <row r="33" spans="1:78" s="114" customFormat="1" ht="14.1" customHeight="1" x14ac:dyDescent="0.2">
      <c r="A33"/>
      <c r="B33"/>
      <c r="C33" s="641" t="str">
        <f>'Balance Sheet'!C39</f>
        <v>Deferred income taxes</v>
      </c>
      <c r="D33" s="114">
        <f>'Balance Sheet'!D39</f>
        <v>59.423000000000002</v>
      </c>
      <c r="E33" s="114">
        <f>'Balance Sheet'!E39</f>
        <v>86.893000000000001</v>
      </c>
      <c r="F33" s="114">
        <f>'Balance Sheet'!F39</f>
        <v>111.55500000000001</v>
      </c>
      <c r="G33" s="114">
        <f>'Balance Sheet'!G39</f>
        <v>119.818</v>
      </c>
      <c r="H33" s="114">
        <f>'Balance Sheet'!H39</f>
        <v>124.137</v>
      </c>
      <c r="I33" s="114">
        <f>'Balance Sheet'!I39</f>
        <v>145.77099999999999</v>
      </c>
      <c r="J33" s="653">
        <f>'Balance Sheet'!J39</f>
        <v>155.84100000000001</v>
      </c>
      <c r="K33" s="114">
        <f>'Balance Sheet'!K39</f>
        <v>151.48450737120086</v>
      </c>
      <c r="L33" s="114">
        <f>'Balance Sheet'!L39</f>
        <v>186.16285300055776</v>
      </c>
      <c r="M33" s="114">
        <f>'Balance Sheet'!M39</f>
        <v>218.6517738566572</v>
      </c>
      <c r="N33" s="114">
        <f>'Balance Sheet'!N39</f>
        <v>237.34106046526784</v>
      </c>
      <c r="O33" s="200">
        <f>'Balance Sheet'!O39</f>
        <v>254.10896904607856</v>
      </c>
      <c r="R33" s="641" t="str">
        <f>'Balance Sheet'!R39</f>
        <v>Deferred income taxes</v>
      </c>
      <c r="S33" s="114">
        <f>'Balance Sheet'!S39</f>
        <v>82.738</v>
      </c>
      <c r="T33" s="114">
        <f>'Balance Sheet'!T39</f>
        <v>87.075000000000003</v>
      </c>
      <c r="U33" s="114">
        <f>'Balance Sheet'!U39</f>
        <v>90.063999999999993</v>
      </c>
      <c r="V33" s="114">
        <f>'Balance Sheet'!V39</f>
        <v>59.423000000000002</v>
      </c>
      <c r="W33" s="114">
        <f>'Balance Sheet'!W39</f>
        <v>59.423000000000002</v>
      </c>
      <c r="X33" s="210">
        <f>'Balance Sheet'!X39</f>
        <v>61.030999999999999</v>
      </c>
      <c r="Y33" s="114">
        <f>'Balance Sheet'!Y39</f>
        <v>63.418999999999997</v>
      </c>
      <c r="Z33" s="114">
        <f>'Balance Sheet'!Z39</f>
        <v>65.894999999999996</v>
      </c>
      <c r="AA33" s="114">
        <f>'Balance Sheet'!AA39</f>
        <v>86.893000000000001</v>
      </c>
      <c r="AB33" s="200">
        <f>'Balance Sheet'!AB39</f>
        <v>86.893000000000001</v>
      </c>
      <c r="AC33" s="210">
        <f>'Balance Sheet'!AC39</f>
        <v>92.207999999999998</v>
      </c>
      <c r="AD33" s="114">
        <f>'Balance Sheet'!AD39</f>
        <v>100.244</v>
      </c>
      <c r="AE33" s="114">
        <f>'Balance Sheet'!AE39</f>
        <v>108.711</v>
      </c>
      <c r="AF33" s="114">
        <f>'Balance Sheet'!AF39</f>
        <v>111.55500000000001</v>
      </c>
      <c r="AG33" s="200">
        <f>'Balance Sheet'!AG39</f>
        <v>111.55500000000001</v>
      </c>
      <c r="AH33" s="210">
        <f>'Balance Sheet'!AH39</f>
        <v>118.624</v>
      </c>
      <c r="AI33" s="114">
        <f>'Balance Sheet'!AI39</f>
        <v>119.125</v>
      </c>
      <c r="AJ33" s="114">
        <f>'Balance Sheet'!AJ39</f>
        <v>122.16200000000001</v>
      </c>
      <c r="AK33" s="114">
        <f>'Balance Sheet'!AK39</f>
        <v>119.818</v>
      </c>
      <c r="AL33" s="200">
        <f>'Balance Sheet'!AL39</f>
        <v>119.818</v>
      </c>
      <c r="AM33" s="210">
        <f>'Balance Sheet'!AM39</f>
        <v>121.14400000000001</v>
      </c>
      <c r="AN33" s="114">
        <f>'Balance Sheet'!AN39</f>
        <v>123</v>
      </c>
      <c r="AO33" s="114">
        <f>'Balance Sheet'!AO39</f>
        <v>124.90300000000001</v>
      </c>
      <c r="AP33" s="114">
        <f>'Balance Sheet'!AP39</f>
        <v>124.137</v>
      </c>
      <c r="AQ33" s="200">
        <f>'Balance Sheet'!AQ39</f>
        <v>124.137</v>
      </c>
      <c r="AR33" s="210">
        <f>'Balance Sheet'!AR39</f>
        <v>122.10599999999999</v>
      </c>
      <c r="AS33" s="114">
        <f>'Balance Sheet'!AS39</f>
        <v>123.229</v>
      </c>
      <c r="AT33" s="114">
        <f>'Balance Sheet'!AT39</f>
        <v>124.96</v>
      </c>
      <c r="AU33" s="114">
        <f>'Balance Sheet'!AU39</f>
        <v>145.77099999999999</v>
      </c>
      <c r="AV33" s="200">
        <f>'Balance Sheet'!AV39</f>
        <v>145.77099999999999</v>
      </c>
      <c r="AW33" s="210">
        <f>'Balance Sheet'!AW39</f>
        <v>151.50899999999999</v>
      </c>
      <c r="AX33" s="114">
        <f>'Balance Sheet'!AX39</f>
        <v>158.54300000000001</v>
      </c>
      <c r="AY33" s="114">
        <f>'Balance Sheet'!AY39</f>
        <v>163.267</v>
      </c>
      <c r="AZ33" s="114">
        <f>'Balance Sheet'!AZ39</f>
        <v>155.84100000000001</v>
      </c>
      <c r="BA33" s="200">
        <f>'Balance Sheet'!BA39</f>
        <v>155.84100000000001</v>
      </c>
      <c r="BB33" s="210">
        <f>'Balance Sheet'!BB39</f>
        <v>157.626</v>
      </c>
      <c r="BC33" s="114">
        <f>'Balance Sheet'!BC39</f>
        <v>159.92500000000001</v>
      </c>
      <c r="BD33" s="114">
        <f>'Balance Sheet'!BD39</f>
        <v>161.86699999999999</v>
      </c>
      <c r="BE33" s="114">
        <f>'Balance Sheet'!BE39</f>
        <v>151.48450737120086</v>
      </c>
      <c r="BF33" s="200">
        <f>'Balance Sheet'!BF39</f>
        <v>151.48450737120086</v>
      </c>
      <c r="BG33" s="210">
        <f>'Balance Sheet'!BG39</f>
        <v>179.5809604319833</v>
      </c>
      <c r="BH33" s="114">
        <f>'Balance Sheet'!BH39</f>
        <v>192.23964656135422</v>
      </c>
      <c r="BI33" s="114">
        <f>'Balance Sheet'!BI39</f>
        <v>190.55165261903525</v>
      </c>
      <c r="BJ33" s="114">
        <f>'Balance Sheet'!BJ39</f>
        <v>186.16285300055776</v>
      </c>
      <c r="BK33" s="200">
        <f>'Balance Sheet'!BK39</f>
        <v>186.16285300055776</v>
      </c>
      <c r="BL33" s="210">
        <f>'Balance Sheet'!BL39</f>
        <v>203.54582769609814</v>
      </c>
      <c r="BM33" s="114">
        <f>'Balance Sheet'!BM39</f>
        <v>218.90851830259348</v>
      </c>
      <c r="BN33" s="114">
        <f>'Balance Sheet'!BN39</f>
        <v>218.42378004481148</v>
      </c>
      <c r="BO33" s="114">
        <f>'Balance Sheet'!BO39</f>
        <v>218.6517738566572</v>
      </c>
      <c r="BP33" s="200">
        <f>'Balance Sheet'!BP39</f>
        <v>218.6517738566572</v>
      </c>
      <c r="BQ33" s="210">
        <f>'Balance Sheet'!BQ39</f>
        <v>220.86524092693415</v>
      </c>
      <c r="BR33" s="114">
        <f>'Balance Sheet'!BR39</f>
        <v>238.43971581053592</v>
      </c>
      <c r="BS33" s="114">
        <f>'Balance Sheet'!BS39</f>
        <v>239.08108235675712</v>
      </c>
      <c r="BT33" s="114">
        <f>'Balance Sheet'!BT39</f>
        <v>237.34106046526784</v>
      </c>
      <c r="BU33" s="200">
        <f>'Balance Sheet'!BU39</f>
        <v>237.34106046526784</v>
      </c>
      <c r="BV33" s="210">
        <f>'Balance Sheet'!BV39</f>
        <v>238.19931928450632</v>
      </c>
      <c r="BW33" s="114">
        <f>'Balance Sheet'!BW39</f>
        <v>258.88601681717563</v>
      </c>
      <c r="BX33" s="114">
        <f>'Balance Sheet'!BX39</f>
        <v>258.93987430055643</v>
      </c>
      <c r="BY33" s="114">
        <f>'Balance Sheet'!BY39</f>
        <v>254.10896904607856</v>
      </c>
      <c r="BZ33" s="200">
        <f>'Balance Sheet'!BZ39</f>
        <v>254.10896904607856</v>
      </c>
    </row>
    <row r="34" spans="1:78" s="114" customFormat="1" ht="14.1" customHeight="1" x14ac:dyDescent="0.2">
      <c r="A34"/>
      <c r="B34"/>
      <c r="C34" s="641" t="str">
        <f>'Balance Sheet'!C40</f>
        <v>Claims, insurance and other</v>
      </c>
      <c r="D34" s="114">
        <f>'Balance Sheet'!D40</f>
        <v>39.639000000000003</v>
      </c>
      <c r="E34" s="114">
        <f>'Balance Sheet'!E40</f>
        <v>36.899000000000001</v>
      </c>
      <c r="F34" s="114">
        <f>'Balance Sheet'!F40</f>
        <v>44.402000000000001</v>
      </c>
      <c r="G34" s="114">
        <f>'Balance Sheet'!G40</f>
        <v>46.204999999999998</v>
      </c>
      <c r="H34" s="114">
        <f>'Balance Sheet'!H40</f>
        <v>60.015000000000001</v>
      </c>
      <c r="I34" s="114">
        <f>'Balance Sheet'!I40</f>
        <v>60.442999999999998</v>
      </c>
      <c r="J34" s="653">
        <f>'Balance Sheet'!J40</f>
        <v>61.396999999999998</v>
      </c>
      <c r="K34" s="114">
        <f>'Balance Sheet'!K40</f>
        <v>61.540581119550346</v>
      </c>
      <c r="L34" s="114">
        <f>'Balance Sheet'!L40</f>
        <v>88.182404052895791</v>
      </c>
      <c r="M34" s="114">
        <f>'Balance Sheet'!M40</f>
        <v>103.57189287946922</v>
      </c>
      <c r="N34" s="114">
        <f>'Balance Sheet'!N40</f>
        <v>112.42471285196899</v>
      </c>
      <c r="O34" s="200">
        <f>'Balance Sheet'!O40</f>
        <v>120.36740639024775</v>
      </c>
      <c r="R34" s="641" t="str">
        <f>'Balance Sheet'!R40</f>
        <v>Claims, insurance and other</v>
      </c>
      <c r="S34" s="114">
        <f>'Balance Sheet'!S40</f>
        <v>36.898000000000003</v>
      </c>
      <c r="T34" s="114">
        <f>'Balance Sheet'!T40</f>
        <v>38.854999999999997</v>
      </c>
      <c r="U34" s="114">
        <f>'Balance Sheet'!U40</f>
        <v>37.241999999999997</v>
      </c>
      <c r="V34" s="114">
        <f>'Balance Sheet'!V40</f>
        <v>39.639000000000003</v>
      </c>
      <c r="W34" s="114">
        <f>'Balance Sheet'!W40</f>
        <v>39.639000000000003</v>
      </c>
      <c r="X34" s="210">
        <f>'Balance Sheet'!X40</f>
        <v>40.662999999999997</v>
      </c>
      <c r="Y34" s="114">
        <f>'Balance Sheet'!Y40</f>
        <v>38.826999999999998</v>
      </c>
      <c r="Z34" s="114">
        <f>'Balance Sheet'!Z40</f>
        <v>39.44</v>
      </c>
      <c r="AA34" s="114">
        <f>'Balance Sheet'!AA40</f>
        <v>36.899000000000001</v>
      </c>
      <c r="AB34" s="200">
        <f>'Balance Sheet'!AB40</f>
        <v>36.899000000000001</v>
      </c>
      <c r="AC34" s="210">
        <f>'Balance Sheet'!AC40</f>
        <v>36.533999999999999</v>
      </c>
      <c r="AD34" s="114">
        <f>'Balance Sheet'!AD40</f>
        <v>40.304000000000002</v>
      </c>
      <c r="AE34" s="114">
        <f>'Balance Sheet'!AE40</f>
        <v>44.536999999999999</v>
      </c>
      <c r="AF34" s="114">
        <f>'Balance Sheet'!AF40</f>
        <v>44.402000000000001</v>
      </c>
      <c r="AG34" s="200">
        <f>'Balance Sheet'!AG40</f>
        <v>44.402000000000001</v>
      </c>
      <c r="AH34" s="210">
        <f>'Balance Sheet'!AH40</f>
        <v>44.716999999999999</v>
      </c>
      <c r="AI34" s="114">
        <f>'Balance Sheet'!AI40</f>
        <v>49.820999999999998</v>
      </c>
      <c r="AJ34" s="114">
        <f>'Balance Sheet'!AJ40</f>
        <v>49.701000000000001</v>
      </c>
      <c r="AK34" s="114">
        <f>'Balance Sheet'!AK40</f>
        <v>46.204999999999998</v>
      </c>
      <c r="AL34" s="200">
        <f>'Balance Sheet'!AL40</f>
        <v>46.204999999999998</v>
      </c>
      <c r="AM34" s="210">
        <f>'Balance Sheet'!AM40</f>
        <v>46.237000000000002</v>
      </c>
      <c r="AN34" s="114">
        <f>'Balance Sheet'!AN40</f>
        <v>48.756</v>
      </c>
      <c r="AO34" s="114">
        <f>'Balance Sheet'!AO40</f>
        <v>59.103999999999999</v>
      </c>
      <c r="AP34" s="114">
        <f>'Balance Sheet'!AP40</f>
        <v>60.015000000000001</v>
      </c>
      <c r="AQ34" s="200">
        <f>'Balance Sheet'!AQ40</f>
        <v>60.015000000000001</v>
      </c>
      <c r="AR34" s="210">
        <f>'Balance Sheet'!AR40</f>
        <v>69.063999999999993</v>
      </c>
      <c r="AS34" s="114">
        <f>'Balance Sheet'!AS40</f>
        <v>74.832999999999998</v>
      </c>
      <c r="AT34" s="114">
        <f>'Balance Sheet'!AT40</f>
        <v>64.088999999999999</v>
      </c>
      <c r="AU34" s="114">
        <f>'Balance Sheet'!AU40</f>
        <v>60.442999999999998</v>
      </c>
      <c r="AV34" s="200">
        <f>'Balance Sheet'!AV40</f>
        <v>60.442999999999998</v>
      </c>
      <c r="AW34" s="210">
        <f>'Balance Sheet'!AW40</f>
        <v>64.117999999999995</v>
      </c>
      <c r="AX34" s="114">
        <f>'Balance Sheet'!AX40</f>
        <v>66.869</v>
      </c>
      <c r="AY34" s="114">
        <f>'Balance Sheet'!AY40</f>
        <v>62.55</v>
      </c>
      <c r="AZ34" s="114">
        <f>'Balance Sheet'!AZ40</f>
        <v>61.396999999999998</v>
      </c>
      <c r="BA34" s="200">
        <f>'Balance Sheet'!BA40</f>
        <v>61.396999999999998</v>
      </c>
      <c r="BB34" s="210">
        <f>'Balance Sheet'!BB40</f>
        <v>66.635000000000005</v>
      </c>
      <c r="BC34" s="114">
        <f>'Balance Sheet'!BC40</f>
        <v>66.704999999999998</v>
      </c>
      <c r="BD34" s="114">
        <f>'Balance Sheet'!BD40</f>
        <v>65.572000000000003</v>
      </c>
      <c r="BE34" s="114">
        <f>'Balance Sheet'!BE40</f>
        <v>61.540581119550346</v>
      </c>
      <c r="BF34" s="200">
        <f>'Balance Sheet'!BF40</f>
        <v>61.540581119550346</v>
      </c>
      <c r="BG34" s="210">
        <f>'Balance Sheet'!BG40</f>
        <v>81.725964863259065</v>
      </c>
      <c r="BH34" s="114">
        <f>'Balance Sheet'!BH40</f>
        <v>89.221271370580666</v>
      </c>
      <c r="BI34" s="114">
        <f>'Balance Sheet'!BI40</f>
        <v>86.530702155503946</v>
      </c>
      <c r="BJ34" s="114">
        <f>'Balance Sheet'!BJ40</f>
        <v>88.182404052895791</v>
      </c>
      <c r="BK34" s="200">
        <f>'Balance Sheet'!BK40</f>
        <v>88.182404052895791</v>
      </c>
      <c r="BL34" s="210">
        <f>'Balance Sheet'!BL40</f>
        <v>92.632198437622449</v>
      </c>
      <c r="BM34" s="114">
        <f>'Balance Sheet'!BM40</f>
        <v>101.59869031268694</v>
      </c>
      <c r="BN34" s="114">
        <f>'Balance Sheet'!BN40</f>
        <v>99.187610261895074</v>
      </c>
      <c r="BO34" s="114">
        <f>'Balance Sheet'!BO40</f>
        <v>103.57189287946922</v>
      </c>
      <c r="BP34" s="200">
        <f>'Balance Sheet'!BP40</f>
        <v>103.57189287946922</v>
      </c>
      <c r="BQ34" s="210">
        <f>'Balance Sheet'!BQ40</f>
        <v>100.51413510702605</v>
      </c>
      <c r="BR34" s="114">
        <f>'Balance Sheet'!BR40</f>
        <v>110.66340877331093</v>
      </c>
      <c r="BS34" s="114">
        <f>'Balance Sheet'!BS40</f>
        <v>108.56822097359985</v>
      </c>
      <c r="BT34" s="114">
        <f>'Balance Sheet'!BT40</f>
        <v>112.42471285196899</v>
      </c>
      <c r="BU34" s="200">
        <f>'Balance Sheet'!BU40</f>
        <v>112.42471285196899</v>
      </c>
      <c r="BV34" s="210">
        <f>'Balance Sheet'!BV40</f>
        <v>108.40274576697672</v>
      </c>
      <c r="BW34" s="114">
        <f>'Balance Sheet'!BW40</f>
        <v>120.15284034098583</v>
      </c>
      <c r="BX34" s="114">
        <f>'Balance Sheet'!BX40</f>
        <v>117.58622311232998</v>
      </c>
      <c r="BY34" s="114">
        <f>'Balance Sheet'!BY40</f>
        <v>120.36740639024775</v>
      </c>
      <c r="BZ34" s="200">
        <f>'Balance Sheet'!BZ40</f>
        <v>120.36740639024775</v>
      </c>
    </row>
    <row r="35" spans="1:78" s="114" customFormat="1" ht="14.1" customHeight="1" x14ac:dyDescent="0.2">
      <c r="A35"/>
      <c r="B35"/>
      <c r="C35" s="650" t="s">
        <v>180</v>
      </c>
      <c r="D35" s="181">
        <f>SUM(D31:D32)-SUM(D33:D34)</f>
        <v>-70.77600000000001</v>
      </c>
      <c r="E35" s="181">
        <f t="shared" ref="E35:O35" si="9">SUM(E31:E32)-SUM(E33:E34)</f>
        <v>-96.48</v>
      </c>
      <c r="F35" s="181">
        <f t="shared" si="9"/>
        <v>-129.13200000000001</v>
      </c>
      <c r="G35" s="181">
        <f t="shared" si="9"/>
        <v>-138.68699999999998</v>
      </c>
      <c r="H35" s="181">
        <f t="shared" si="9"/>
        <v>-143.392</v>
      </c>
      <c r="I35" s="181">
        <f t="shared" si="9"/>
        <v>-165.465</v>
      </c>
      <c r="J35" s="655">
        <f t="shared" si="9"/>
        <v>-164.40899999999999</v>
      </c>
      <c r="K35" s="181">
        <f t="shared" si="9"/>
        <v>-169.75670697710106</v>
      </c>
      <c r="L35" s="181">
        <f t="shared" si="9"/>
        <v>-226.68892830694602</v>
      </c>
      <c r="M35" s="181">
        <f t="shared" si="9"/>
        <v>-275.05506391528252</v>
      </c>
      <c r="N35" s="181">
        <f t="shared" si="9"/>
        <v>-300.67807535348896</v>
      </c>
      <c r="O35" s="643">
        <f t="shared" si="9"/>
        <v>-323.7545714151376</v>
      </c>
      <c r="P35" s="594"/>
      <c r="Q35" s="647"/>
      <c r="R35" s="650" t="s">
        <v>180</v>
      </c>
      <c r="S35" s="181">
        <f>SUM(S31:S32)-SUM(S33:S34)</f>
        <v>-89.474999999999994</v>
      </c>
      <c r="T35" s="181">
        <f t="shared" ref="T35:BZ35" si="10">SUM(T31:T32)-SUM(T33:T34)</f>
        <v>-96.454000000000008</v>
      </c>
      <c r="U35" s="181">
        <f t="shared" si="10"/>
        <v>-97.976999999999975</v>
      </c>
      <c r="V35" s="181">
        <f t="shared" si="10"/>
        <v>-70.77600000000001</v>
      </c>
      <c r="W35" s="181">
        <f t="shared" si="10"/>
        <v>-70.77600000000001</v>
      </c>
      <c r="X35" s="659">
        <f t="shared" si="10"/>
        <v>-73.003999999999991</v>
      </c>
      <c r="Y35" s="181">
        <f t="shared" si="10"/>
        <v>-73.655999999999992</v>
      </c>
      <c r="Z35" s="181">
        <f t="shared" si="10"/>
        <v>-77.625</v>
      </c>
      <c r="AA35" s="181">
        <f t="shared" si="10"/>
        <v>-96.48</v>
      </c>
      <c r="AB35" s="643">
        <f t="shared" si="10"/>
        <v>-96.48</v>
      </c>
      <c r="AC35" s="659">
        <f t="shared" si="10"/>
        <v>-100.96199999999999</v>
      </c>
      <c r="AD35" s="181">
        <f t="shared" si="10"/>
        <v>-112.91900000000001</v>
      </c>
      <c r="AE35" s="181">
        <f t="shared" si="10"/>
        <v>-125.45899999999999</v>
      </c>
      <c r="AF35" s="181">
        <f t="shared" si="10"/>
        <v>-129.13200000000001</v>
      </c>
      <c r="AG35" s="643">
        <f t="shared" si="10"/>
        <v>-129.13200000000001</v>
      </c>
      <c r="AH35" s="659">
        <f t="shared" si="10"/>
        <v>-136.52800000000002</v>
      </c>
      <c r="AI35" s="181">
        <f t="shared" si="10"/>
        <v>-141.49299999999999</v>
      </c>
      <c r="AJ35" s="181">
        <f t="shared" si="10"/>
        <v>-144.90600000000001</v>
      </c>
      <c r="AK35" s="181">
        <f t="shared" si="10"/>
        <v>-138.68699999999998</v>
      </c>
      <c r="AL35" s="643">
        <f t="shared" si="10"/>
        <v>-138.68699999999998</v>
      </c>
      <c r="AM35" s="659">
        <f t="shared" si="10"/>
        <v>-138.61599999999999</v>
      </c>
      <c r="AN35" s="181">
        <f t="shared" si="10"/>
        <v>-141.14689999999999</v>
      </c>
      <c r="AO35" s="181">
        <f t="shared" si="10"/>
        <v>-152.57</v>
      </c>
      <c r="AP35" s="181">
        <f t="shared" si="10"/>
        <v>-143.392</v>
      </c>
      <c r="AQ35" s="643">
        <f t="shared" si="10"/>
        <v>-143.392</v>
      </c>
      <c r="AR35" s="659">
        <f t="shared" si="10"/>
        <v>-144.94399999999999</v>
      </c>
      <c r="AS35" s="181">
        <f t="shared" si="10"/>
        <v>-144.858</v>
      </c>
      <c r="AT35" s="181">
        <f t="shared" si="10"/>
        <v>-146.75199999999998</v>
      </c>
      <c r="AU35" s="181">
        <f t="shared" si="10"/>
        <v>-165.465</v>
      </c>
      <c r="AV35" s="643">
        <f t="shared" si="10"/>
        <v>-165.465</v>
      </c>
      <c r="AW35" s="659">
        <f t="shared" si="10"/>
        <v>-170.14</v>
      </c>
      <c r="AX35" s="181">
        <f t="shared" si="10"/>
        <v>-185.15100000000001</v>
      </c>
      <c r="AY35" s="181">
        <f t="shared" si="10"/>
        <v>-185.71199999999999</v>
      </c>
      <c r="AZ35" s="181">
        <f t="shared" si="10"/>
        <v>-164.40899999999999</v>
      </c>
      <c r="BA35" s="643">
        <f t="shared" si="10"/>
        <v>-164.40899999999999</v>
      </c>
      <c r="BB35" s="659">
        <f t="shared" si="10"/>
        <v>-181.19100000000003</v>
      </c>
      <c r="BC35" s="181">
        <f t="shared" si="10"/>
        <v>-184.23599999999999</v>
      </c>
      <c r="BD35" s="181">
        <f t="shared" si="10"/>
        <v>-185.90600000000001</v>
      </c>
      <c r="BE35" s="181">
        <f t="shared" si="10"/>
        <v>-169.75670697710106</v>
      </c>
      <c r="BF35" s="643">
        <f t="shared" si="10"/>
        <v>-169.75670697710106</v>
      </c>
      <c r="BG35" s="659">
        <f t="shared" si="10"/>
        <v>-212.65358521724539</v>
      </c>
      <c r="BH35" s="181">
        <f t="shared" si="10"/>
        <v>-234.17148260616435</v>
      </c>
      <c r="BI35" s="181">
        <f t="shared" si="10"/>
        <v>-231.36182477396605</v>
      </c>
      <c r="BJ35" s="181">
        <f t="shared" si="10"/>
        <v>-226.68892830694602</v>
      </c>
      <c r="BK35" s="643">
        <f t="shared" si="10"/>
        <v>-226.68892830694602</v>
      </c>
      <c r="BL35" s="659">
        <f t="shared" si="10"/>
        <v>-244.05069613303621</v>
      </c>
      <c r="BM35" s="181">
        <f t="shared" si="10"/>
        <v>-269.73229654691596</v>
      </c>
      <c r="BN35" s="181">
        <f t="shared" si="10"/>
        <v>-268.3678016523279</v>
      </c>
      <c r="BO35" s="181">
        <f t="shared" si="10"/>
        <v>-275.05506391528252</v>
      </c>
      <c r="BP35" s="643">
        <f t="shared" si="10"/>
        <v>-275.05506391528252</v>
      </c>
      <c r="BQ35" s="659">
        <f t="shared" si="10"/>
        <v>-266.97792975548595</v>
      </c>
      <c r="BR35" s="181">
        <f t="shared" si="10"/>
        <v>-296.00388851897497</v>
      </c>
      <c r="BS35" s="181">
        <f t="shared" si="10"/>
        <v>-296.01541841927195</v>
      </c>
      <c r="BT35" s="181">
        <f t="shared" si="10"/>
        <v>-300.67807535348896</v>
      </c>
      <c r="BU35" s="643">
        <f t="shared" si="10"/>
        <v>-300.67807535348896</v>
      </c>
      <c r="BV35" s="659">
        <f t="shared" si="10"/>
        <v>-289.92385462511379</v>
      </c>
      <c r="BW35" s="181">
        <f t="shared" si="10"/>
        <v>-323.46642858503242</v>
      </c>
      <c r="BX35" s="181">
        <f t="shared" si="10"/>
        <v>-322.62728623043193</v>
      </c>
      <c r="BY35" s="181">
        <f t="shared" si="10"/>
        <v>-323.7545714151376</v>
      </c>
      <c r="BZ35" s="643">
        <f t="shared" si="10"/>
        <v>-323.7545714151376</v>
      </c>
    </row>
    <row r="36" spans="1:78" s="114" customFormat="1" ht="2.1" customHeight="1" x14ac:dyDescent="0.2">
      <c r="A36"/>
      <c r="B36"/>
      <c r="C36" s="648"/>
      <c r="J36" s="653"/>
      <c r="O36" s="200"/>
      <c r="P36" s="210"/>
      <c r="Q36" s="200"/>
      <c r="R36" s="648"/>
      <c r="X36" s="210"/>
      <c r="AB36" s="200"/>
      <c r="AC36" s="210"/>
      <c r="AG36" s="200"/>
      <c r="AH36" s="210"/>
      <c r="AL36" s="200"/>
      <c r="AM36" s="210"/>
      <c r="AQ36" s="200"/>
      <c r="AR36" s="210"/>
      <c r="AV36" s="200"/>
      <c r="AW36" s="210"/>
      <c r="BA36" s="200"/>
      <c r="BB36" s="210"/>
      <c r="BF36" s="200"/>
      <c r="BG36" s="210"/>
      <c r="BK36" s="200"/>
      <c r="BL36" s="210"/>
      <c r="BP36" s="200"/>
      <c r="BQ36" s="210"/>
      <c r="BU36" s="200"/>
      <c r="BV36" s="210"/>
      <c r="BZ36" s="200"/>
    </row>
    <row r="37" spans="1:78" s="114" customFormat="1" ht="14.1" customHeight="1" thickBot="1" x14ac:dyDescent="0.25">
      <c r="A37"/>
      <c r="B37"/>
      <c r="C37" s="651" t="s">
        <v>181</v>
      </c>
      <c r="D37" s="174">
        <f>D22+D28+D35</f>
        <v>710.68999999999983</v>
      </c>
      <c r="E37" s="174">
        <f t="shared" ref="E37:O37" si="11">E22+E28+E35</f>
        <v>816.52899999999988</v>
      </c>
      <c r="F37" s="174">
        <f t="shared" si="11"/>
        <v>1056.6669999999999</v>
      </c>
      <c r="G37" s="174">
        <f t="shared" si="11"/>
        <v>1122.4859999999999</v>
      </c>
      <c r="H37" s="174">
        <f t="shared" si="11"/>
        <v>1274.1229999999996</v>
      </c>
      <c r="I37" s="174">
        <f t="shared" si="11"/>
        <v>1546.4650000000001</v>
      </c>
      <c r="J37" s="658">
        <f t="shared" si="11"/>
        <v>1783.9860000000003</v>
      </c>
      <c r="K37" s="174">
        <f t="shared" si="11"/>
        <v>2604.5182178530858</v>
      </c>
      <c r="L37" s="174">
        <f t="shared" si="11"/>
        <v>2995.2913081112306</v>
      </c>
      <c r="M37" s="174">
        <f t="shared" si="11"/>
        <v>3358.8764585221097</v>
      </c>
      <c r="N37" s="174">
        <f t="shared" si="11"/>
        <v>3642.7337648462526</v>
      </c>
      <c r="O37" s="652">
        <f t="shared" si="11"/>
        <v>3871.225515846877</v>
      </c>
      <c r="P37" s="594"/>
      <c r="Q37" s="647"/>
      <c r="R37" s="651" t="s">
        <v>181</v>
      </c>
      <c r="S37" s="174">
        <f>S22+S28+S35</f>
        <v>632.49399999999991</v>
      </c>
      <c r="T37" s="174">
        <f t="shared" ref="T37:BZ37" si="12">T22+T28+T35</f>
        <v>662.96900000000005</v>
      </c>
      <c r="U37" s="174">
        <f t="shared" si="12"/>
        <v>658.90499999999997</v>
      </c>
      <c r="V37" s="174">
        <f t="shared" si="12"/>
        <v>710.68999999999983</v>
      </c>
      <c r="W37" s="174">
        <f t="shared" si="12"/>
        <v>710.68999999999983</v>
      </c>
      <c r="X37" s="674">
        <f t="shared" si="12"/>
        <v>749.471</v>
      </c>
      <c r="Y37" s="174">
        <f t="shared" si="12"/>
        <v>793.78499999999997</v>
      </c>
      <c r="Z37" s="174">
        <f t="shared" si="12"/>
        <v>790.09900000000005</v>
      </c>
      <c r="AA37" s="174">
        <f t="shared" si="12"/>
        <v>816.52899999999988</v>
      </c>
      <c r="AB37" s="652">
        <f t="shared" si="12"/>
        <v>816.52899999999988</v>
      </c>
      <c r="AC37" s="674">
        <f t="shared" si="12"/>
        <v>941.92200000000003</v>
      </c>
      <c r="AD37" s="174">
        <f t="shared" si="12"/>
        <v>1009.7590000000001</v>
      </c>
      <c r="AE37" s="174">
        <f t="shared" si="12"/>
        <v>1062.4770000000001</v>
      </c>
      <c r="AF37" s="174">
        <f t="shared" si="12"/>
        <v>1056.6669999999999</v>
      </c>
      <c r="AG37" s="652">
        <f t="shared" si="12"/>
        <v>1056.6669999999999</v>
      </c>
      <c r="AH37" s="674">
        <f t="shared" si="12"/>
        <v>1156.2159999999999</v>
      </c>
      <c r="AI37" s="174">
        <f t="shared" si="12"/>
        <v>1130.5230000000001</v>
      </c>
      <c r="AJ37" s="174">
        <f t="shared" si="12"/>
        <v>1133.0930000000003</v>
      </c>
      <c r="AK37" s="174">
        <f t="shared" si="12"/>
        <v>1122.4859999999999</v>
      </c>
      <c r="AL37" s="652">
        <f t="shared" si="12"/>
        <v>1122.4859999999999</v>
      </c>
      <c r="AM37" s="674">
        <f t="shared" si="12"/>
        <v>1124.0770000000002</v>
      </c>
      <c r="AN37" s="174">
        <f t="shared" si="12"/>
        <v>1179.2961</v>
      </c>
      <c r="AO37" s="174">
        <f t="shared" si="12"/>
        <v>1185.271</v>
      </c>
      <c r="AP37" s="174">
        <f t="shared" si="12"/>
        <v>1274.1229999999996</v>
      </c>
      <c r="AQ37" s="652">
        <f t="shared" si="12"/>
        <v>1274.1229999999996</v>
      </c>
      <c r="AR37" s="674">
        <f t="shared" si="12"/>
        <v>1301.0949999999998</v>
      </c>
      <c r="AS37" s="174">
        <f t="shared" si="12"/>
        <v>1412.8630000000001</v>
      </c>
      <c r="AT37" s="174">
        <f t="shared" si="12"/>
        <v>1501.6450000000004</v>
      </c>
      <c r="AU37" s="174">
        <f t="shared" si="12"/>
        <v>1546.4650000000001</v>
      </c>
      <c r="AV37" s="652">
        <f t="shared" si="12"/>
        <v>1546.4650000000001</v>
      </c>
      <c r="AW37" s="674">
        <f t="shared" si="12"/>
        <v>1629.9240000000004</v>
      </c>
      <c r="AX37" s="174">
        <f t="shared" si="12"/>
        <v>1646.482</v>
      </c>
      <c r="AY37" s="174">
        <f t="shared" si="12"/>
        <v>1748.788</v>
      </c>
      <c r="AZ37" s="174">
        <f t="shared" si="12"/>
        <v>1783.9860000000003</v>
      </c>
      <c r="BA37" s="652">
        <f t="shared" si="12"/>
        <v>1783.9860000000003</v>
      </c>
      <c r="BB37" s="674">
        <f t="shared" si="12"/>
        <v>2225.3969999999999</v>
      </c>
      <c r="BC37" s="174">
        <f t="shared" si="12"/>
        <v>2425.1339999999996</v>
      </c>
      <c r="BD37" s="174">
        <f t="shared" si="12"/>
        <v>2526.0469999999996</v>
      </c>
      <c r="BE37" s="174">
        <f t="shared" si="12"/>
        <v>2604.5182178530858</v>
      </c>
      <c r="BF37" s="652">
        <f t="shared" si="12"/>
        <v>2604.5182178530858</v>
      </c>
      <c r="BG37" s="674">
        <f t="shared" si="12"/>
        <v>2665.4354717422652</v>
      </c>
      <c r="BH37" s="174">
        <f t="shared" si="12"/>
        <v>2795.4872905006478</v>
      </c>
      <c r="BI37" s="174">
        <f t="shared" si="12"/>
        <v>2823.8904902098534</v>
      </c>
      <c r="BJ37" s="174">
        <f t="shared" si="12"/>
        <v>2995.2913081112306</v>
      </c>
      <c r="BK37" s="652">
        <f t="shared" si="12"/>
        <v>2995.2913081112306</v>
      </c>
      <c r="BL37" s="674">
        <f t="shared" si="12"/>
        <v>3068.0850485378464</v>
      </c>
      <c r="BM37" s="174">
        <f t="shared" si="12"/>
        <v>3205.1847272507662</v>
      </c>
      <c r="BN37" s="174">
        <f t="shared" si="12"/>
        <v>3232.8043001858387</v>
      </c>
      <c r="BO37" s="174">
        <f t="shared" si="12"/>
        <v>3358.8764585221097</v>
      </c>
      <c r="BP37" s="652">
        <f t="shared" si="12"/>
        <v>3358.8764585221097</v>
      </c>
      <c r="BQ37" s="674">
        <f t="shared" si="12"/>
        <v>3434.7664396659648</v>
      </c>
      <c r="BR37" s="174">
        <f t="shared" si="12"/>
        <v>3566.6476894917369</v>
      </c>
      <c r="BS37" s="174">
        <f t="shared" si="12"/>
        <v>3538.9275938748738</v>
      </c>
      <c r="BT37" s="174">
        <f t="shared" si="12"/>
        <v>3642.7337648462526</v>
      </c>
      <c r="BU37" s="652">
        <f t="shared" si="12"/>
        <v>3642.7337648462526</v>
      </c>
      <c r="BV37" s="674">
        <f t="shared" si="12"/>
        <v>3680.6277239913052</v>
      </c>
      <c r="BW37" s="174">
        <f t="shared" si="12"/>
        <v>3827.692259070046</v>
      </c>
      <c r="BX37" s="174">
        <f t="shared" si="12"/>
        <v>3739.2424324206963</v>
      </c>
      <c r="BY37" s="174">
        <f t="shared" si="12"/>
        <v>3871.225515846877</v>
      </c>
      <c r="BZ37" s="652">
        <f t="shared" si="12"/>
        <v>3871.225515846877</v>
      </c>
    </row>
    <row r="38" spans="1:78" s="114" customFormat="1" ht="14.1" customHeight="1" x14ac:dyDescent="0.2">
      <c r="A38"/>
      <c r="B38"/>
      <c r="AG38" s="743"/>
    </row>
    <row r="39" spans="1:78" s="114" customFormat="1" ht="14.1" customHeight="1" x14ac:dyDescent="0.2">
      <c r="A39"/>
      <c r="B39"/>
      <c r="C39" s="787" t="str">
        <f>"Invested Capital Turns (BOY / BOQ) "</f>
        <v xml:space="preserve">Invested Capital Turns (BOY / BOQ) </v>
      </c>
      <c r="D39" s="660"/>
      <c r="E39" s="660">
        <f>IFERROR('Income Statement'!E8/'Invested Capital'!D37,"NM")</f>
        <v>2.3271032376985752</v>
      </c>
      <c r="F39" s="660">
        <f>IFERROR('Income Statement'!F8/'Invested Capital'!E37,"NM")</f>
        <v>2.188207644798899</v>
      </c>
      <c r="G39" s="660">
        <f>IFERROR('Income Statement'!G8/'Invested Capital'!F37,"NM")</f>
        <v>1.7246360490107102</v>
      </c>
      <c r="H39" s="660">
        <f>IFERROR('Income Statement'!H8/'Invested Capital'!G37,"NM")</f>
        <v>2.0389599513936036</v>
      </c>
      <c r="I39" s="660">
        <f>IFERROR('Income Statement'!I8/'Invested Capital'!H37,"NM")</f>
        <v>2.1913559365932493</v>
      </c>
      <c r="J39" s="666">
        <f>IFERROR('Income Statement'!J8/'Invested Capital'!I37,"NM")</f>
        <v>1.8632384179402701</v>
      </c>
      <c r="K39" s="660">
        <f>IFERROR('Income Statement'!K8/'Invested Capital'!J37,"NM")</f>
        <v>1.7988391216214721</v>
      </c>
      <c r="L39" s="660">
        <f>IFERROR('Income Statement'!L8/'Invested Capital'!K37,"NM")</f>
        <v>1.3678042146000737</v>
      </c>
      <c r="M39" s="660">
        <f>IFERROR('Income Statement'!M8/'Invested Capital'!L37,"NM")</f>
        <v>1.3658501400714618</v>
      </c>
      <c r="N39" s="660">
        <f>IFERROR('Income Statement'!N8/'Invested Capital'!M37,"NM")</f>
        <v>1.3260292354067156</v>
      </c>
      <c r="O39" s="661">
        <f>IFERROR('Income Statement'!O8/'Invested Capital'!N37,"NM")</f>
        <v>1.3199464103940879</v>
      </c>
      <c r="R39" s="659" t="str">
        <f>C39</f>
        <v xml:space="preserve">Invested Capital Turns (BOY / BOQ) </v>
      </c>
      <c r="S39" s="660"/>
      <c r="T39" s="660"/>
      <c r="U39" s="660"/>
      <c r="V39" s="660"/>
      <c r="W39" s="660"/>
      <c r="X39" s="675">
        <f>IFERROR('Income Statement'!X8/('Invested Capital'!V37/4),"NM")</f>
        <v>2.2108373552463103</v>
      </c>
      <c r="Y39" s="660">
        <f>IFERROR('Income Statement'!Y8/('Invested Capital'!X37/4),"NM")</f>
        <v>2.2881845995375407</v>
      </c>
      <c r="Z39" s="660">
        <f>IFERROR('Income Statement'!Z8/('Invested Capital'!Y37/4),"NM")</f>
        <v>2.1444698501483401</v>
      </c>
      <c r="AA39" s="660">
        <f>IFERROR('Income Statement'!AA8/('Invested Capital'!Z37/4),"NM")</f>
        <v>2.0592356147773874</v>
      </c>
      <c r="AB39" s="661">
        <f>IFERROR('Income Statement'!AB8/'Invested Capital'!W37,"NM")</f>
        <v>2.3271032376985752</v>
      </c>
      <c r="AC39" s="675">
        <f>IFERROR('Income Statement'!AC8/('Invested Capital'!AA37/4),"NM")</f>
        <v>2.0113627317584557</v>
      </c>
      <c r="AD39" s="660">
        <f>IFERROR('Income Statement'!AD8/('Invested Capital'!AC37/4),"NM")</f>
        <v>1.9712672599217345</v>
      </c>
      <c r="AE39" s="660">
        <f>IFERROR('Income Statement'!AE8/('Invested Capital'!AD37/4),"NM")</f>
        <v>1.8574372696851424</v>
      </c>
      <c r="AF39" s="660">
        <f>IFERROR('Income Statement'!AF8/('Invested Capital'!AE37/4),"NM")</f>
        <v>1.6680455200441977</v>
      </c>
      <c r="AG39" s="661">
        <f>IFERROR('Income Statement'!AG8/'Invested Capital'!AB37,"NM")</f>
        <v>2.188207644798899</v>
      </c>
      <c r="AH39" s="675">
        <f>IFERROR('Income Statement'!AH8/('Invested Capital'!AF37/4),"NM")</f>
        <v>1.6898265962692127</v>
      </c>
      <c r="AI39" s="660">
        <f>IFERROR('Income Statement'!AI8/('Invested Capital'!AH37/4),"NM")</f>
        <v>1.4464909670857349</v>
      </c>
      <c r="AJ39" s="660">
        <f>IFERROR('Income Statement'!AJ8/('Invested Capital'!AI37/4),"NM")</f>
        <v>1.7031904702513792</v>
      </c>
      <c r="AK39" s="660">
        <f>IFERROR('Income Statement'!AK8/('Invested Capital'!AJ37/4),"NM")</f>
        <v>1.6820578716839654</v>
      </c>
      <c r="AL39" s="661">
        <f>IFERROR('Income Statement'!AL8/'Invested Capital'!AG37,"NM")</f>
        <v>1.7246360490107102</v>
      </c>
      <c r="AM39" s="675">
        <f>IFERROR('Income Statement'!AM8/('Invested Capital'!AK37/4),"NM")</f>
        <v>1.7250068152297671</v>
      </c>
      <c r="AN39" s="660">
        <f>IFERROR('Income Statement'!AN8/('Invested Capital'!AM37/4),"NM")</f>
        <v>2.0330742466930642</v>
      </c>
      <c r="AO39" s="660">
        <f>IFERROR('Income Statement'!AO8/('Invested Capital'!AN37/4),"NM")</f>
        <v>2.0901146031094311</v>
      </c>
      <c r="AP39" s="660">
        <f>IFERROR('Income Statement'!AP8/('Invested Capital'!AO37/4),"NM")</f>
        <v>2.0824975891589355</v>
      </c>
      <c r="AQ39" s="661">
        <f>IFERROR('Income Statement'!AQ8/'Invested Capital'!AL37,"NM")</f>
        <v>2.0389599513936036</v>
      </c>
      <c r="AR39" s="675">
        <f>IFERROR('Income Statement'!AR8/('Invested Capital'!AP37/4),"NM")</f>
        <v>2.0758309833509019</v>
      </c>
      <c r="AS39" s="660">
        <f>IFERROR('Income Statement'!AS8/('Invested Capital'!AR37/4),"NM")</f>
        <v>2.2920816696705471</v>
      </c>
      <c r="AT39" s="660">
        <f>IFERROR('Income Statement'!AT8/('Invested Capital'!AS37/4),"NM")</f>
        <v>2.0654826405674154</v>
      </c>
      <c r="AU39" s="660">
        <f>IFERROR('Income Statement'!AU8/('Invested Capital'!AT37/4),"NM")</f>
        <v>1.7466871331106872</v>
      </c>
      <c r="AV39" s="661">
        <f>IFERROR('Income Statement'!AV8/'Invested Capital'!AQ37,"NM")</f>
        <v>2.1913559365932493</v>
      </c>
      <c r="AW39" s="675">
        <f>IFERROR('Income Statement'!AW8/('Invested Capital'!AU37/4),"NM")</f>
        <v>1.7085029405773811</v>
      </c>
      <c r="AX39" s="660">
        <f>IFERROR('Income Statement'!AX8/('Invested Capital'!AW37/4),"NM")</f>
        <v>1.7046733467327306</v>
      </c>
      <c r="AY39" s="660">
        <f>IFERROR('Income Statement'!AY8/('Invested Capital'!AX37/4),"NM")</f>
        <v>1.8831520781885256</v>
      </c>
      <c r="AZ39" s="660">
        <f>IFERROR('Income Statement'!AZ8/('Invested Capital'!AY37/4),"NM")</f>
        <v>1.7180630242202029</v>
      </c>
      <c r="BA39" s="661">
        <f>IFERROR('Income Statement'!BA8/'Invested Capital'!AV37,"NM")</f>
        <v>1.8632384179402701</v>
      </c>
      <c r="BB39" s="675">
        <f>IFERROR('Income Statement'!BB8/('Invested Capital'!AZ37/4),"NM")</f>
        <v>1.6923339084499538</v>
      </c>
      <c r="BC39" s="660">
        <f>IFERROR('Income Statement'!BC8/('Invested Capital'!BB37/4),"NM")</f>
        <v>1.4797251906064401</v>
      </c>
      <c r="BD39" s="660">
        <f>IFERROR('Income Statement'!BD8/('Invested Capital'!BC37/4),"NM")</f>
        <v>1.3889591255575982</v>
      </c>
      <c r="BE39" s="660">
        <f>IFERROR('Income Statement'!BE8/('Invested Capital'!BD37/4),"NM")</f>
        <v>1.2493541240127433</v>
      </c>
      <c r="BF39" s="661">
        <f>IFERROR('Income Statement'!BF8/'Invested Capital'!BA37,"NM")</f>
        <v>1.7988391216214721</v>
      </c>
      <c r="BG39" s="675">
        <f>IFERROR('Income Statement'!BG8/('Invested Capital'!BE37/4),"NM")</f>
        <v>1.2768477941668255</v>
      </c>
      <c r="BH39" s="660">
        <f>IFERROR('Income Statement'!BH8/('Invested Capital'!BG37/4),"NM")</f>
        <v>1.3803476859185932</v>
      </c>
      <c r="BI39" s="660">
        <f>IFERROR('Income Statement'!BI8/('Invested Capital'!BH37/4),"NM")</f>
        <v>1.3171791376209905</v>
      </c>
      <c r="BJ39" s="660">
        <f>IFERROR('Income Statement'!BJ8/('Invested Capital'!BI37/4),"NM")</f>
        <v>1.2617080685780573</v>
      </c>
      <c r="BK39" s="661">
        <f>IFERROR('Income Statement'!BK8/'Invested Capital'!BF37,"NM")</f>
        <v>1.3678042146000737</v>
      </c>
      <c r="BL39" s="675">
        <f>IFERROR('Income Statement'!BL8/('Invested Capital'!BJ37/4),"NM")</f>
        <v>1.2584309143320884</v>
      </c>
      <c r="BM39" s="660">
        <f>IFERROR('Income Statement'!BM8/('Invested Capital'!BL37/4),"NM")</f>
        <v>1.3655542945010226</v>
      </c>
      <c r="BN39" s="660">
        <f>IFERROR('Income Statement'!BN8/('Invested Capital'!BM37/4),"NM")</f>
        <v>1.3168505817968654</v>
      </c>
      <c r="BO39" s="660">
        <f>IFERROR('Income Statement'!BO8/('Invested Capital'!BN37/4),"NM")</f>
        <v>1.2944560066269581</v>
      </c>
      <c r="BP39" s="661">
        <f>IFERROR('Income Statement'!BP8/'Invested Capital'!BK37,"NM")</f>
        <v>1.3658501400714618</v>
      </c>
      <c r="BQ39" s="675">
        <f>IFERROR('Income Statement'!BQ8/('Invested Capital'!BO37/4),"NM")</f>
        <v>1.217697972732855</v>
      </c>
      <c r="BR39" s="660">
        <f>IFERROR('Income Statement'!BR8/('Invested Capital'!BQ37/4),"NM")</f>
        <v>1.32860257522708</v>
      </c>
      <c r="BS39" s="660">
        <f>IFERROR('Income Statement'!BS8/('Invested Capital'!BR37/4),"NM")</f>
        <v>1.2953127695680224</v>
      </c>
      <c r="BT39" s="660">
        <f>IFERROR('Income Statement'!BT8/('Invested Capital'!BS37/4),"NM")</f>
        <v>1.2835562525623692</v>
      </c>
      <c r="BU39" s="661">
        <f>IFERROR('Income Statement'!BU8/'Invested Capital'!BP37,"NM")</f>
        <v>1.3260292354067156</v>
      </c>
      <c r="BV39" s="675">
        <f>IFERROR('Income Statement'!BV8/('Invested Capital'!BT37/4),"NM")</f>
        <v>1.2109307981377588</v>
      </c>
      <c r="BW39" s="660">
        <f>IFERROR('Income Statement'!BW8/('Invested Capital'!BV37/4),"NM")</f>
        <v>1.34617154308344</v>
      </c>
      <c r="BX39" s="660">
        <f>IFERROR('Income Statement'!BX8/('Invested Capital'!BW37/4),"NM")</f>
        <v>1.3072286719898032</v>
      </c>
      <c r="BY39" s="660">
        <f>IFERROR('Income Statement'!BY8/('Invested Capital'!BX37/4),"NM")</f>
        <v>1.3006189459539048</v>
      </c>
      <c r="BZ39" s="661">
        <f>IFERROR('Income Statement'!BZ8/'Invested Capital'!BU37,"NM")</f>
        <v>1.3199464103940879</v>
      </c>
    </row>
    <row r="40" spans="1:78" s="114" customFormat="1" ht="14.1" customHeight="1" x14ac:dyDescent="0.2">
      <c r="A40"/>
      <c r="B40"/>
      <c r="C40" s="594" t="str">
        <f>"Invested Capital Intensity"</f>
        <v>Invested Capital Intensity</v>
      </c>
      <c r="D40" s="662" t="str">
        <f>IFERROR(1/D39,"NM")</f>
        <v>NM</v>
      </c>
      <c r="E40" s="662">
        <f t="shared" ref="E40:O40" si="13">IFERROR(1/E39,"NM")</f>
        <v>0.42971879536765439</v>
      </c>
      <c r="F40" s="662">
        <f t="shared" si="13"/>
        <v>0.45699502164562733</v>
      </c>
      <c r="G40" s="662">
        <f t="shared" si="13"/>
        <v>0.57983248151030031</v>
      </c>
      <c r="H40" s="662">
        <f t="shared" si="13"/>
        <v>0.49044612147311306</v>
      </c>
      <c r="I40" s="662">
        <f t="shared" si="13"/>
        <v>0.45633846300415776</v>
      </c>
      <c r="J40" s="667">
        <f t="shared" si="13"/>
        <v>0.53669996838378686</v>
      </c>
      <c r="K40" s="662">
        <f t="shared" si="13"/>
        <v>0.55591408257710162</v>
      </c>
      <c r="L40" s="662">
        <f t="shared" si="13"/>
        <v>0.73109878542989104</v>
      </c>
      <c r="M40" s="662">
        <f t="shared" si="13"/>
        <v>0.73214474316170564</v>
      </c>
      <c r="N40" s="662">
        <f t="shared" si="13"/>
        <v>0.75413118602417772</v>
      </c>
      <c r="O40" s="663">
        <f t="shared" si="13"/>
        <v>0.75760651502619447</v>
      </c>
      <c r="R40" s="594" t="str">
        <f>"Invested Capital Intensity"</f>
        <v>Invested Capital Intensity</v>
      </c>
      <c r="S40" s="662" t="str">
        <f t="shared" ref="S40:AX40" si="14">IFERROR(1/S39,"NM")</f>
        <v>NM</v>
      </c>
      <c r="T40" s="662" t="str">
        <f t="shared" si="14"/>
        <v>NM</v>
      </c>
      <c r="U40" s="662" t="str">
        <f t="shared" si="14"/>
        <v>NM</v>
      </c>
      <c r="V40" s="662" t="str">
        <f t="shared" si="14"/>
        <v>NM</v>
      </c>
      <c r="W40" s="662" t="str">
        <f t="shared" si="14"/>
        <v>NM</v>
      </c>
      <c r="X40" s="676">
        <f t="shared" si="14"/>
        <v>0.45231730756991373</v>
      </c>
      <c r="Y40" s="662">
        <f t="shared" si="14"/>
        <v>0.43702767696369754</v>
      </c>
      <c r="Z40" s="662">
        <f t="shared" si="14"/>
        <v>0.46631571897866814</v>
      </c>
      <c r="AA40" s="662">
        <f t="shared" si="14"/>
        <v>0.48561708666256947</v>
      </c>
      <c r="AB40" s="663">
        <f t="shared" si="14"/>
        <v>0.42971879536765439</v>
      </c>
      <c r="AC40" s="676">
        <f t="shared" si="14"/>
        <v>0.49717536484617031</v>
      </c>
      <c r="AD40" s="662">
        <f t="shared" si="14"/>
        <v>0.50728788547916281</v>
      </c>
      <c r="AE40" s="662">
        <f t="shared" si="14"/>
        <v>0.53837618977544899</v>
      </c>
      <c r="AF40" s="662">
        <f t="shared" si="14"/>
        <v>0.59950402311173334</v>
      </c>
      <c r="AG40" s="663">
        <f t="shared" si="14"/>
        <v>0.45699502164562733</v>
      </c>
      <c r="AH40" s="676">
        <f t="shared" si="14"/>
        <v>0.59177669602774208</v>
      </c>
      <c r="AI40" s="662">
        <f t="shared" si="14"/>
        <v>0.69132820235629511</v>
      </c>
      <c r="AJ40" s="662">
        <f t="shared" si="14"/>
        <v>0.58713339316207358</v>
      </c>
      <c r="AK40" s="662">
        <f t="shared" si="14"/>
        <v>0.59450986605999823</v>
      </c>
      <c r="AL40" s="663">
        <f t="shared" si="14"/>
        <v>0.57983248151030031</v>
      </c>
      <c r="AM40" s="676">
        <f t="shared" si="14"/>
        <v>0.57970785458421636</v>
      </c>
      <c r="AN40" s="662">
        <f t="shared" si="14"/>
        <v>0.49186595208048556</v>
      </c>
      <c r="AO40" s="662">
        <f t="shared" si="14"/>
        <v>0.47844266458514545</v>
      </c>
      <c r="AP40" s="662">
        <f t="shared" si="14"/>
        <v>0.48019263273379009</v>
      </c>
      <c r="AQ40" s="663">
        <f t="shared" si="14"/>
        <v>0.49044612147311306</v>
      </c>
      <c r="AR40" s="676">
        <f t="shared" si="14"/>
        <v>0.48173478863185382</v>
      </c>
      <c r="AS40" s="662">
        <f t="shared" si="14"/>
        <v>0.43628462861174366</v>
      </c>
      <c r="AT40" s="662">
        <f t="shared" si="14"/>
        <v>0.48414834400413398</v>
      </c>
      <c r="AU40" s="662">
        <f t="shared" si="14"/>
        <v>0.57251237559590484</v>
      </c>
      <c r="AV40" s="663">
        <f t="shared" si="14"/>
        <v>0.45633846300415776</v>
      </c>
      <c r="AW40" s="676">
        <f t="shared" si="14"/>
        <v>0.58530774296592925</v>
      </c>
      <c r="AX40" s="662">
        <f t="shared" si="14"/>
        <v>0.5866226523202549</v>
      </c>
      <c r="AY40" s="662">
        <f t="shared" ref="AY40:BZ40" si="15">IFERROR(1/AY39,"NM")</f>
        <v>0.53102455801760706</v>
      </c>
      <c r="AZ40" s="662">
        <f t="shared" si="15"/>
        <v>0.58205082462203717</v>
      </c>
      <c r="BA40" s="663">
        <f t="shared" si="15"/>
        <v>0.53669996838378686</v>
      </c>
      <c r="BB40" s="676">
        <f t="shared" si="15"/>
        <v>0.59089993706733812</v>
      </c>
      <c r="BC40" s="662">
        <f t="shared" si="15"/>
        <v>0.67580115980195421</v>
      </c>
      <c r="BD40" s="662">
        <f t="shared" si="15"/>
        <v>0.71996359115215114</v>
      </c>
      <c r="BE40" s="662">
        <f t="shared" si="15"/>
        <v>0.80041357432602522</v>
      </c>
      <c r="BF40" s="663">
        <f t="shared" si="15"/>
        <v>0.55591408257710162</v>
      </c>
      <c r="BG40" s="676">
        <f t="shared" si="15"/>
        <v>0.78317870349811314</v>
      </c>
      <c r="BH40" s="662">
        <f t="shared" si="15"/>
        <v>0.72445515735009935</v>
      </c>
      <c r="BI40" s="662">
        <f t="shared" si="15"/>
        <v>0.75919817695119263</v>
      </c>
      <c r="BJ40" s="662">
        <f t="shared" si="15"/>
        <v>0.79257636921272778</v>
      </c>
      <c r="BK40" s="663">
        <f t="shared" si="15"/>
        <v>0.73109878542989104</v>
      </c>
      <c r="BL40" s="676">
        <f t="shared" si="15"/>
        <v>0.79464036413214589</v>
      </c>
      <c r="BM40" s="662">
        <f t="shared" si="15"/>
        <v>0.73230336137268182</v>
      </c>
      <c r="BN40" s="662">
        <f t="shared" si="15"/>
        <v>0.7593875978210699</v>
      </c>
      <c r="BO40" s="662">
        <f t="shared" si="15"/>
        <v>0.77252528852313807</v>
      </c>
      <c r="BP40" s="663">
        <f t="shared" si="15"/>
        <v>0.73214474316170564</v>
      </c>
      <c r="BQ40" s="676">
        <f t="shared" si="15"/>
        <v>0.82122170061244348</v>
      </c>
      <c r="BR40" s="662">
        <f t="shared" si="15"/>
        <v>0.75267052664645295</v>
      </c>
      <c r="BS40" s="662">
        <f t="shared" si="15"/>
        <v>0.77201431460719161</v>
      </c>
      <c r="BT40" s="662">
        <f t="shared" si="15"/>
        <v>0.77908544951083791</v>
      </c>
      <c r="BU40" s="663">
        <f t="shared" si="15"/>
        <v>0.75413118602417772</v>
      </c>
      <c r="BV40" s="676">
        <f t="shared" si="15"/>
        <v>0.82581102201534495</v>
      </c>
      <c r="BW40" s="662">
        <f t="shared" si="15"/>
        <v>0.7428473771696843</v>
      </c>
      <c r="BX40" s="662">
        <f t="shared" si="15"/>
        <v>0.7649771011202241</v>
      </c>
      <c r="BY40" s="662">
        <f t="shared" si="15"/>
        <v>0.76886470330983547</v>
      </c>
      <c r="BZ40" s="663">
        <f t="shared" si="15"/>
        <v>0.75760651502619447</v>
      </c>
    </row>
    <row r="41" spans="1:78" s="114" customFormat="1" ht="14.1" customHeight="1" x14ac:dyDescent="0.2">
      <c r="A41"/>
      <c r="B41"/>
      <c r="C41" s="594" t="s">
        <v>183</v>
      </c>
      <c r="D41" s="179">
        <f>'Income Statement'!D62</f>
        <v>6.706843075841197E-2</v>
      </c>
      <c r="E41" s="179">
        <f>'Income Statement'!E62</f>
        <v>6.5923173928494727E-2</v>
      </c>
      <c r="F41" s="179">
        <f>'Income Statement'!F62</f>
        <v>6.6154327297718668E-2</v>
      </c>
      <c r="G41" s="179">
        <f>'Income Statement'!G62</f>
        <v>7.9912407036243957E-2</v>
      </c>
      <c r="H41" s="179">
        <f>'Income Statement'!H62</f>
        <v>0.11309692035964847</v>
      </c>
      <c r="I41" s="179">
        <f>'Income Statement'!I62</f>
        <v>0.13012546092615454</v>
      </c>
      <c r="J41" s="668">
        <f>'Income Statement'!J62</f>
        <v>0.1233464402622876</v>
      </c>
      <c r="K41" s="179">
        <f>'Income Statement'!K62</f>
        <v>0.11729924343965616</v>
      </c>
      <c r="L41" s="179">
        <f>'Income Statement'!L62</f>
        <v>0.14015045480271229</v>
      </c>
      <c r="M41" s="179">
        <f>'Income Statement'!M62</f>
        <v>0.15482514355902438</v>
      </c>
      <c r="N41" s="179">
        <f>'Income Statement'!N62</f>
        <v>0.16472794740189306</v>
      </c>
      <c r="O41" s="664">
        <f>'Income Statement'!O62</f>
        <v>0.17371975182665661</v>
      </c>
      <c r="R41" s="594" t="s">
        <v>183</v>
      </c>
      <c r="S41" s="180">
        <f>'Income Statement'!S62</f>
        <v>3.7209866283860339E-2</v>
      </c>
      <c r="T41" s="180">
        <f>'Income Statement'!T62</f>
        <v>5.1973615381430083E-2</v>
      </c>
      <c r="U41" s="180">
        <f>'Income Statement'!U62</f>
        <v>4.3254230486972391E-2</v>
      </c>
      <c r="V41" s="180">
        <f>'Income Statement'!V62</f>
        <v>0.12971002963713024</v>
      </c>
      <c r="W41" s="180">
        <f>'Income Statement'!W62</f>
        <v>6.706843075841197E-2</v>
      </c>
      <c r="X41" s="677">
        <f>'Income Statement'!X62</f>
        <v>5.5944374967614854E-2</v>
      </c>
      <c r="Y41" s="180">
        <f>'Income Statement'!Y62</f>
        <v>7.2946090499330457E-2</v>
      </c>
      <c r="Z41" s="180">
        <f>'Income Statement'!Z62</f>
        <v>6.8514768517184757E-2</v>
      </c>
      <c r="AA41" s="180">
        <f>'Income Statement'!AA62</f>
        <v>6.544594929967712E-2</v>
      </c>
      <c r="AB41" s="665">
        <f>'Income Statement'!AB62</f>
        <v>6.5923173928494727E-2</v>
      </c>
      <c r="AC41" s="677">
        <f>'Income Statement'!AC62</f>
        <v>5.6142436799534082E-2</v>
      </c>
      <c r="AD41" s="180">
        <f>'Income Statement'!AD62</f>
        <v>8.273330488070843E-2</v>
      </c>
      <c r="AE41" s="180">
        <f>'Income Statement'!AE62</f>
        <v>7.3286919471040698E-2</v>
      </c>
      <c r="AF41" s="180">
        <f>'Income Statement'!AF62</f>
        <v>5.05142638136463E-2</v>
      </c>
      <c r="AG41" s="665">
        <f>'Income Statement'!AG62</f>
        <v>6.6154327297718668E-2</v>
      </c>
      <c r="AH41" s="677">
        <f>'Income Statement'!AH62</f>
        <v>6.8426607297338446E-2</v>
      </c>
      <c r="AI41" s="180">
        <f>'Income Statement'!AI62</f>
        <v>7.2221559819538789E-2</v>
      </c>
      <c r="AJ41" s="180">
        <f>'Income Statement'!AJ62</f>
        <v>8.9816876718337393E-2</v>
      </c>
      <c r="AK41" s="180">
        <f>'Income Statement'!AK62</f>
        <v>8.7415548318948794E-2</v>
      </c>
      <c r="AL41" s="665">
        <f>'Income Statement'!AL62</f>
        <v>7.9912407036243957E-2</v>
      </c>
      <c r="AM41" s="677">
        <f>'Income Statement'!AM62</f>
        <v>8.0280575798284334E-2</v>
      </c>
      <c r="AN41" s="180">
        <f>'Income Statement'!AN62</f>
        <v>0.11157412944936894</v>
      </c>
      <c r="AO41" s="180">
        <f>'Income Statement'!AO62</f>
        <v>0.13181697483658605</v>
      </c>
      <c r="AP41" s="180">
        <f>'Income Statement'!AP62</f>
        <v>0.12155604126400324</v>
      </c>
      <c r="AQ41" s="665">
        <f>'Income Statement'!AQ62</f>
        <v>0.11309692035964847</v>
      </c>
      <c r="AR41" s="677">
        <f>'Income Statement'!AR62</f>
        <v>0.1225900083090021</v>
      </c>
      <c r="AS41" s="180">
        <f>'Income Statement'!AS62</f>
        <v>0.14935397113101434</v>
      </c>
      <c r="AT41" s="180">
        <f>'Income Statement'!AT62</f>
        <v>0.13627097148112316</v>
      </c>
      <c r="AU41" s="180">
        <f>'Income Statement'!AU62</f>
        <v>0.10902387934243775</v>
      </c>
      <c r="AV41" s="665">
        <f>'Income Statement'!AV62</f>
        <v>0.13012546092615454</v>
      </c>
      <c r="AW41" s="677">
        <f>'Income Statement'!AW62</f>
        <v>0.11706031800394461</v>
      </c>
      <c r="AX41" s="180">
        <f>'Income Statement'!AX62</f>
        <v>0.1321042547799603</v>
      </c>
      <c r="AY41" s="180">
        <f>'Income Statement'!AY62</f>
        <v>0.12643511591216203</v>
      </c>
      <c r="AZ41" s="180">
        <f>'Income Statement'!AZ62</f>
        <v>0.11758801795046094</v>
      </c>
      <c r="BA41" s="665">
        <f>'Income Statement'!BA62</f>
        <v>0.1233464402622876</v>
      </c>
      <c r="BB41" s="677">
        <f>'Income Statement'!BB62</f>
        <v>0.12056669939681146</v>
      </c>
      <c r="BC41" s="180">
        <f>'Income Statement'!BC62</f>
        <v>0.12876613301133008</v>
      </c>
      <c r="BD41" s="180">
        <f>'Income Statement'!BD62</f>
        <v>0.11464070122544558</v>
      </c>
      <c r="BE41" s="180">
        <f>'Income Statement'!BE62</f>
        <v>0.1050461399823182</v>
      </c>
      <c r="BF41" s="665">
        <f>'Income Statement'!BF62</f>
        <v>0.11729924343965616</v>
      </c>
      <c r="BG41" s="677">
        <f>'Income Statement'!BG62</f>
        <v>0.14596865694799419</v>
      </c>
      <c r="BH41" s="180">
        <f>'Income Statement'!BH62</f>
        <v>0.16649791405980874</v>
      </c>
      <c r="BI41" s="180">
        <f>'Income Statement'!BI62</f>
        <v>0.13236756388286861</v>
      </c>
      <c r="BJ41" s="180">
        <f>'Income Statement'!BJ62</f>
        <v>0.1155556853992752</v>
      </c>
      <c r="BK41" s="665">
        <f>'Income Statement'!BK62</f>
        <v>0.14015045480271229</v>
      </c>
      <c r="BL41" s="677">
        <f>'Income Statement'!BL62</f>
        <v>0.14509453785408796</v>
      </c>
      <c r="BM41" s="180">
        <f>'Income Statement'!BM62</f>
        <v>0.16448753035967367</v>
      </c>
      <c r="BN41" s="180">
        <f>'Income Statement'!BN62</f>
        <v>0.15849520156803426</v>
      </c>
      <c r="BO41" s="180">
        <f>'Income Statement'!BO62</f>
        <v>0.15021454926212599</v>
      </c>
      <c r="BP41" s="665">
        <f>'Income Statement'!BP62</f>
        <v>0.15482514355902438</v>
      </c>
      <c r="BQ41" s="677">
        <f>'Income Statement'!BQ62</f>
        <v>0.15554285100256396</v>
      </c>
      <c r="BR41" s="180">
        <f>'Income Statement'!BR62</f>
        <v>0.17485138676338421</v>
      </c>
      <c r="BS41" s="180">
        <f>'Income Statement'!BS62</f>
        <v>0.16736915057158108</v>
      </c>
      <c r="BT41" s="180">
        <f>'Income Statement'!BT62</f>
        <v>0.16014185449208931</v>
      </c>
      <c r="BU41" s="665">
        <f>'Income Statement'!BU62</f>
        <v>0.16472794740189306</v>
      </c>
      <c r="BV41" s="677">
        <f>'Income Statement'!BV62</f>
        <v>0.16012623008293492</v>
      </c>
      <c r="BW41" s="180">
        <f>'Income Statement'!BW62</f>
        <v>0.18479059244684937</v>
      </c>
      <c r="BX41" s="180">
        <f>'Income Statement'!BX62</f>
        <v>0.17556692362068671</v>
      </c>
      <c r="BY41" s="180">
        <f>'Income Statement'!BY62</f>
        <v>0.17286980114554384</v>
      </c>
      <c r="BZ41" s="665">
        <f>'Income Statement'!BZ62</f>
        <v>0.17371975182665661</v>
      </c>
    </row>
    <row r="42" spans="1:78" s="161" customFormat="1" ht="14.1" customHeight="1" x14ac:dyDescent="0.2">
      <c r="A42"/>
      <c r="B42"/>
      <c r="C42" s="594" t="s">
        <v>182</v>
      </c>
      <c r="D42" s="180">
        <f>IFERROR(D39*D41,"NM")</f>
        <v>0</v>
      </c>
      <c r="E42" s="180">
        <f t="shared" ref="E42:O42" si="16">IFERROR(E39*E41,"NM")</f>
        <v>0.15341003148836638</v>
      </c>
      <c r="F42" s="180">
        <f t="shared" si="16"/>
        <v>0.14475940472939647</v>
      </c>
      <c r="G42" s="180">
        <f t="shared" si="16"/>
        <v>0.13781981793792344</v>
      </c>
      <c r="H42" s="180">
        <f t="shared" si="16"/>
        <v>0.23060009123927511</v>
      </c>
      <c r="I42" s="180">
        <f>IFERROR(I39*I41,"NM")</f>
        <v>0.28515120130246163</v>
      </c>
      <c r="J42" s="669">
        <f t="shared" si="16"/>
        <v>0.22982382621286879</v>
      </c>
      <c r="K42" s="180">
        <f t="shared" si="16"/>
        <v>0.21100246803585429</v>
      </c>
      <c r="L42" s="180">
        <f t="shared" si="16"/>
        <v>0.19169838275726703</v>
      </c>
      <c r="M42" s="180">
        <f t="shared" si="16"/>
        <v>0.21146794401667762</v>
      </c>
      <c r="N42" s="180">
        <f t="shared" si="16"/>
        <v>0.21843407414344992</v>
      </c>
      <c r="O42" s="665">
        <f t="shared" si="16"/>
        <v>0.22930076283814718</v>
      </c>
      <c r="R42" s="594" t="s">
        <v>182</v>
      </c>
      <c r="S42" s="180">
        <f t="shared" ref="S42:AX42" si="17">IFERROR(S39*S41,"NM")</f>
        <v>0</v>
      </c>
      <c r="T42" s="180">
        <f t="shared" si="17"/>
        <v>0</v>
      </c>
      <c r="U42" s="180">
        <f t="shared" si="17"/>
        <v>0</v>
      </c>
      <c r="V42" s="180">
        <f t="shared" si="17"/>
        <v>0</v>
      </c>
      <c r="W42" s="180">
        <f t="shared" si="17"/>
        <v>0</v>
      </c>
      <c r="X42" s="677">
        <f t="shared" si="17"/>
        <v>0.12368391399430952</v>
      </c>
      <c r="Y42" s="180">
        <f t="shared" si="17"/>
        <v>0.16691412087703966</v>
      </c>
      <c r="Z42" s="180">
        <f t="shared" si="17"/>
        <v>0.14692785537499542</v>
      </c>
      <c r="AA42" s="180">
        <f t="shared" si="17"/>
        <v>0.13476862964081035</v>
      </c>
      <c r="AB42" s="665">
        <f t="shared" si="17"/>
        <v>0.15341003148836638</v>
      </c>
      <c r="AC42" s="677">
        <f t="shared" si="17"/>
        <v>0.11292280504868732</v>
      </c>
      <c r="AD42" s="180">
        <f t="shared" si="17"/>
        <v>0.16308945521646356</v>
      </c>
      <c r="AE42" s="180">
        <f t="shared" si="17"/>
        <v>0.13612585560592474</v>
      </c>
      <c r="AF42" s="180">
        <f t="shared" si="17"/>
        <v>8.4260091452683442E-2</v>
      </c>
      <c r="AG42" s="665">
        <f t="shared" si="17"/>
        <v>0.14475940472939647</v>
      </c>
      <c r="AH42" s="677">
        <f t="shared" si="17"/>
        <v>0.1156291009035115</v>
      </c>
      <c r="AI42" s="180">
        <f t="shared" si="17"/>
        <v>0.10446783390780491</v>
      </c>
      <c r="AJ42" s="180">
        <f t="shared" si="17"/>
        <v>0.15297524849441521</v>
      </c>
      <c r="AK42" s="180">
        <f t="shared" si="17"/>
        <v>0.14703801115745785</v>
      </c>
      <c r="AL42" s="665">
        <f t="shared" si="17"/>
        <v>0.13781981793792344</v>
      </c>
      <c r="AM42" s="677">
        <f t="shared" si="17"/>
        <v>0.13848454038261038</v>
      </c>
      <c r="AN42" s="180">
        <f t="shared" si="17"/>
        <v>0.2268384891807102</v>
      </c>
      <c r="AO42" s="180">
        <f t="shared" si="17"/>
        <v>0.27551258404365692</v>
      </c>
      <c r="AP42" s="180">
        <f t="shared" si="17"/>
        <v>0.2531401628799908</v>
      </c>
      <c r="AQ42" s="665">
        <f t="shared" si="17"/>
        <v>0.23060009123927511</v>
      </c>
      <c r="AR42" s="677">
        <f t="shared" si="17"/>
        <v>0.25447613749707104</v>
      </c>
      <c r="AS42" s="180">
        <f t="shared" si="17"/>
        <v>0.34233149952190201</v>
      </c>
      <c r="AT42" s="180">
        <f t="shared" si="17"/>
        <v>0.28146532600751722</v>
      </c>
      <c r="AU42" s="180">
        <f t="shared" si="17"/>
        <v>0.19043060724924807</v>
      </c>
      <c r="AV42" s="665">
        <f t="shared" si="17"/>
        <v>0.28515120130246163</v>
      </c>
      <c r="AW42" s="677">
        <f t="shared" si="17"/>
        <v>0.19999789753466271</v>
      </c>
      <c r="AX42" s="180">
        <f t="shared" si="17"/>
        <v>0.22519460211338824</v>
      </c>
      <c r="AY42" s="180">
        <f t="shared" ref="AY42:BZ42" si="18">IFERROR(AY39*AY41,"NM")</f>
        <v>0.23809655128599505</v>
      </c>
      <c r="AZ42" s="180">
        <f t="shared" si="18"/>
        <v>0.20202362573202842</v>
      </c>
      <c r="BA42" s="665">
        <f t="shared" si="18"/>
        <v>0.22982382621286879</v>
      </c>
      <c r="BB42" s="677">
        <f t="shared" si="18"/>
        <v>0.20403911361911661</v>
      </c>
      <c r="BC42" s="180">
        <f t="shared" si="18"/>
        <v>0.19053849071384463</v>
      </c>
      <c r="BD42" s="180">
        <f t="shared" si="18"/>
        <v>0.15923124812740475</v>
      </c>
      <c r="BE42" s="180">
        <f t="shared" si="18"/>
        <v>0.13123982819852917</v>
      </c>
      <c r="BF42" s="665">
        <f t="shared" si="18"/>
        <v>0.21100246803585429</v>
      </c>
      <c r="BG42" s="677">
        <f t="shared" si="18"/>
        <v>0.18637975764154044</v>
      </c>
      <c r="BH42" s="180">
        <f t="shared" si="18"/>
        <v>0.22982501038272982</v>
      </c>
      <c r="BI42" s="180">
        <f t="shared" si="18"/>
        <v>0.17435179364422823</v>
      </c>
      <c r="BJ42" s="180">
        <f t="shared" si="18"/>
        <v>0.14579754063833314</v>
      </c>
      <c r="BK42" s="665">
        <f t="shared" si="18"/>
        <v>0.19169838275726703</v>
      </c>
      <c r="BL42" s="677">
        <f t="shared" si="18"/>
        <v>0.18259145193631174</v>
      </c>
      <c r="BM42" s="180">
        <f t="shared" si="18"/>
        <v>0.22461665347451973</v>
      </c>
      <c r="BN42" s="180">
        <f t="shared" si="18"/>
        <v>0.20871449839687736</v>
      </c>
      <c r="BO42" s="180">
        <f t="shared" si="18"/>
        <v>0.19444612557512009</v>
      </c>
      <c r="BP42" s="665">
        <f t="shared" si="18"/>
        <v>0.21146794401667762</v>
      </c>
      <c r="BQ42" s="677">
        <f t="shared" si="18"/>
        <v>0.18940421433891064</v>
      </c>
      <c r="BR42" s="180">
        <f t="shared" si="18"/>
        <v>0.23230800273585844</v>
      </c>
      <c r="BS42" s="180">
        <f t="shared" si="18"/>
        <v>0.21679539796712205</v>
      </c>
      <c r="BT42" s="180">
        <f t="shared" si="18"/>
        <v>0.20555107863025437</v>
      </c>
      <c r="BU42" s="665">
        <f t="shared" si="18"/>
        <v>0.21843407414344992</v>
      </c>
      <c r="BV42" s="677">
        <f t="shared" si="18"/>
        <v>0.19390178359711879</v>
      </c>
      <c r="BW42" s="180">
        <f t="shared" si="18"/>
        <v>0.24875983698147827</v>
      </c>
      <c r="BX42" s="180">
        <f t="shared" si="18"/>
        <v>0.22950611641000548</v>
      </c>
      <c r="BY42" s="180">
        <f t="shared" si="18"/>
        <v>0.22483773855317837</v>
      </c>
      <c r="BZ42" s="665">
        <f t="shared" si="18"/>
        <v>0.22930076283814718</v>
      </c>
    </row>
    <row r="43" spans="1:78" s="114" customFormat="1" ht="2.1" customHeight="1" x14ac:dyDescent="0.2">
      <c r="A43"/>
      <c r="B43"/>
      <c r="C43" s="210"/>
      <c r="J43" s="653"/>
      <c r="O43" s="200"/>
      <c r="R43" s="210"/>
      <c r="X43" s="210"/>
      <c r="AB43" s="200"/>
      <c r="AC43" s="210"/>
      <c r="AG43" s="200"/>
      <c r="AH43" s="210"/>
      <c r="AL43" s="200"/>
      <c r="AM43" s="210"/>
      <c r="AQ43" s="200"/>
      <c r="AR43" s="210"/>
      <c r="AW43" s="210"/>
      <c r="BA43" s="200"/>
      <c r="BB43" s="210"/>
      <c r="BF43" s="200"/>
      <c r="BG43" s="210"/>
      <c r="BK43" s="200"/>
      <c r="BL43" s="210"/>
      <c r="BP43" s="200"/>
      <c r="BQ43" s="210"/>
      <c r="BU43" s="200"/>
      <c r="BV43" s="210"/>
      <c r="BZ43" s="200"/>
    </row>
    <row r="44" spans="1:78" s="114" customFormat="1" ht="14.1" customHeight="1" x14ac:dyDescent="0.2">
      <c r="A44"/>
      <c r="B44"/>
      <c r="C44" s="670" t="s">
        <v>184</v>
      </c>
      <c r="D44" s="203"/>
      <c r="E44" s="203"/>
      <c r="F44" s="203"/>
      <c r="G44" s="203"/>
      <c r="H44" s="203"/>
      <c r="I44" s="203"/>
      <c r="J44" s="671"/>
      <c r="K44" s="203"/>
      <c r="L44" s="203"/>
      <c r="M44" s="203"/>
      <c r="N44" s="203"/>
      <c r="O44" s="204"/>
      <c r="R44" s="670" t="s">
        <v>184</v>
      </c>
      <c r="S44" s="203"/>
      <c r="T44" s="203"/>
      <c r="U44" s="203"/>
      <c r="V44" s="203"/>
      <c r="W44" s="203"/>
      <c r="X44" s="634"/>
      <c r="Y44" s="203"/>
      <c r="Z44" s="203"/>
      <c r="AA44" s="203"/>
      <c r="AB44" s="204"/>
      <c r="AC44" s="634"/>
      <c r="AD44" s="203"/>
      <c r="AE44" s="203"/>
      <c r="AF44" s="203"/>
      <c r="AG44" s="204"/>
      <c r="AH44" s="634"/>
      <c r="AI44" s="203"/>
      <c r="AJ44" s="203"/>
      <c r="AK44" s="203"/>
      <c r="AL44" s="204"/>
      <c r="AM44" s="634"/>
      <c r="AN44" s="203"/>
      <c r="AO44" s="203"/>
      <c r="AP44" s="203"/>
      <c r="AQ44" s="204"/>
      <c r="AR44" s="634"/>
      <c r="AS44" s="203"/>
      <c r="AT44" s="203"/>
      <c r="AU44" s="203"/>
      <c r="AV44" s="203"/>
      <c r="AW44" s="634"/>
      <c r="AX44" s="203"/>
      <c r="AY44" s="203"/>
      <c r="AZ44" s="203"/>
      <c r="BA44" s="204"/>
      <c r="BB44" s="634"/>
      <c r="BC44" s="203"/>
      <c r="BD44" s="203"/>
      <c r="BE44" s="203"/>
      <c r="BF44" s="204"/>
      <c r="BG44" s="634"/>
      <c r="BH44" s="203"/>
      <c r="BI44" s="203"/>
      <c r="BJ44" s="203"/>
      <c r="BK44" s="204"/>
      <c r="BL44" s="634"/>
      <c r="BM44" s="203"/>
      <c r="BN44" s="203"/>
      <c r="BO44" s="203"/>
      <c r="BP44" s="204"/>
      <c r="BQ44" s="634"/>
      <c r="BR44" s="203"/>
      <c r="BS44" s="203"/>
      <c r="BT44" s="203"/>
      <c r="BU44" s="204"/>
      <c r="BV44" s="634"/>
      <c r="BW44" s="203"/>
      <c r="BX44" s="203"/>
      <c r="BY44" s="203"/>
      <c r="BZ44" s="204"/>
    </row>
    <row r="45" spans="1:78" s="114" customFormat="1" ht="14.1" customHeight="1" x14ac:dyDescent="0.2">
      <c r="A45"/>
      <c r="B45"/>
    </row>
    <row r="46" spans="1:78" s="114" customFormat="1" ht="14.1" customHeight="1" x14ac:dyDescent="0.2">
      <c r="A46"/>
      <c r="B46"/>
    </row>
    <row r="47" spans="1:78" s="114" customFormat="1" ht="14.1" customHeight="1" x14ac:dyDescent="0.2">
      <c r="A47"/>
      <c r="B47"/>
    </row>
    <row r="48" spans="1:78" s="114" customFormat="1" ht="5.0999999999999996" customHeight="1" x14ac:dyDescent="0.2">
      <c r="A48"/>
      <c r="B48"/>
    </row>
    <row r="49" spans="1:78" ht="18" customHeight="1" x14ac:dyDescent="0.25">
      <c r="C49" s="136" t="str">
        <f>C3</f>
        <v>SAIA, Inc.</v>
      </c>
      <c r="D49" s="133"/>
      <c r="E49" s="133"/>
      <c r="F49" s="133"/>
      <c r="G49" s="133"/>
      <c r="H49" s="133"/>
      <c r="I49" s="133"/>
      <c r="J49" s="133"/>
      <c r="K49" s="133"/>
      <c r="L49" s="133"/>
      <c r="M49" s="133"/>
      <c r="N49" s="67" t="str">
        <f t="shared" ref="N49:O51" si="19">N3</f>
        <v>Model Case:</v>
      </c>
      <c r="O49" s="144" t="str">
        <f t="shared" si="19"/>
        <v>Base</v>
      </c>
      <c r="R49" s="1374" t="str">
        <f>R3</f>
        <v>SAIA, Inc.</v>
      </c>
      <c r="S49" s="1374"/>
      <c r="T49" s="1374"/>
      <c r="U49" s="1374"/>
      <c r="V49" s="1374"/>
      <c r="W49" s="1374"/>
      <c r="X49" s="1374"/>
      <c r="Y49" s="1374"/>
      <c r="Z49" s="1374"/>
      <c r="AA49" s="1374"/>
      <c r="AB49" s="1374"/>
      <c r="AC49" s="1374"/>
      <c r="AD49" s="1374"/>
      <c r="AE49" s="1374"/>
      <c r="AF49" s="1374"/>
      <c r="AG49" s="1374"/>
      <c r="AH49" s="1374"/>
      <c r="AI49" s="1374"/>
      <c r="AJ49" s="1374"/>
      <c r="AK49" s="1374"/>
      <c r="AL49" s="1374"/>
      <c r="AM49" s="1374"/>
      <c r="AN49" s="1374"/>
      <c r="AO49" s="1374"/>
      <c r="AP49" s="1374"/>
      <c r="AQ49" s="1374"/>
      <c r="AR49" s="1374"/>
      <c r="AS49" s="1374"/>
      <c r="AT49" s="1374"/>
      <c r="AU49" s="1374"/>
      <c r="AV49" s="1374"/>
      <c r="AW49" s="1374"/>
      <c r="AX49" s="1374"/>
      <c r="AY49" s="1374"/>
      <c r="AZ49" s="1374"/>
      <c r="BA49" s="47"/>
      <c r="BB49" s="47"/>
      <c r="BC49" s="47"/>
      <c r="BD49" s="47"/>
      <c r="BE49" s="47"/>
      <c r="BF49" s="47"/>
      <c r="BG49" s="47"/>
      <c r="BH49" s="47"/>
      <c r="BI49" s="47"/>
      <c r="BJ49" s="47"/>
      <c r="BK49" s="47"/>
      <c r="BL49" s="47"/>
      <c r="BM49" s="47"/>
      <c r="BN49" s="47"/>
      <c r="BO49" s="47"/>
      <c r="BP49" s="47"/>
      <c r="BQ49" s="47"/>
      <c r="BR49" s="47"/>
      <c r="BS49" s="47"/>
      <c r="BT49" s="47"/>
      <c r="BU49" s="47"/>
      <c r="BV49" s="1147"/>
      <c r="BW49" s="1147"/>
      <c r="BX49" s="1155" t="str">
        <f>BR3</f>
        <v>Model Case:</v>
      </c>
      <c r="BY49" s="1147" t="str">
        <f>BS3</f>
        <v>Base</v>
      </c>
      <c r="BZ49" s="1147"/>
    </row>
    <row r="50" spans="1:78" ht="14.1" customHeight="1" x14ac:dyDescent="0.2">
      <c r="C50" s="133" t="str">
        <f>"Common Statement Analysis (Average Invested Capital)"</f>
        <v>Common Statement Analysis (Average Invested Capital)</v>
      </c>
      <c r="D50" s="133"/>
      <c r="E50" s="133"/>
      <c r="F50" s="133"/>
      <c r="G50" s="133"/>
      <c r="H50" s="133"/>
      <c r="I50" s="133"/>
      <c r="J50" s="133"/>
      <c r="K50" s="133"/>
      <c r="L50" s="133"/>
      <c r="M50" s="133"/>
      <c r="N50" s="67" t="str">
        <f t="shared" si="19"/>
        <v>DCF Share Value as of 12/31/2024:</v>
      </c>
      <c r="O50" s="65">
        <f t="shared" si="19"/>
        <v>520.1066763818468</v>
      </c>
      <c r="R50" s="1387" t="str">
        <f>C50</f>
        <v>Common Statement Analysis (Average Invested Capital)</v>
      </c>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48"/>
      <c r="BC50" s="48"/>
      <c r="BD50" s="48"/>
      <c r="BE50" s="48"/>
      <c r="BF50" s="48"/>
      <c r="BG50" s="48"/>
      <c r="BH50" s="48"/>
      <c r="BI50" s="48"/>
      <c r="BJ50" s="48"/>
      <c r="BK50" s="48"/>
      <c r="BL50" s="48"/>
      <c r="BM50" s="48"/>
      <c r="BN50" s="48"/>
      <c r="BO50" s="48"/>
      <c r="BP50" s="48"/>
      <c r="BQ50" s="48"/>
      <c r="BR50" s="48"/>
      <c r="BS50" s="48"/>
      <c r="BT50" s="48"/>
      <c r="BU50" s="48"/>
      <c r="BV50" s="1147"/>
      <c r="BW50" s="1147"/>
      <c r="BX50" s="1155" t="str">
        <f>BX3</f>
        <v>DCF Share Value as of 12/31/2024:</v>
      </c>
      <c r="BY50" s="65">
        <f>BY3</f>
        <v>520.1066763818468</v>
      </c>
      <c r="BZ50" s="1147"/>
    </row>
    <row r="51" spans="1:78" ht="14.1" customHeight="1" x14ac:dyDescent="0.2">
      <c r="C51" s="151" t="str">
        <f>C5</f>
        <v>($ in millions, fiscal year ending December,31)</v>
      </c>
      <c r="D51" s="133"/>
      <c r="E51" s="133"/>
      <c r="F51" s="133"/>
      <c r="G51" s="133"/>
      <c r="H51" s="133"/>
      <c r="I51" s="133"/>
      <c r="J51" s="133"/>
      <c r="K51" s="133"/>
      <c r="L51" s="133"/>
      <c r="M51" s="133"/>
      <c r="N51" s="67" t="str">
        <f t="shared" si="19"/>
        <v>Market Share Price as of 12/31/2024:</v>
      </c>
      <c r="O51" s="65">
        <f t="shared" si="19"/>
        <v>455.73</v>
      </c>
      <c r="R51" s="144" t="str">
        <f>"Quarterly and Year Basis"</f>
        <v>Quarterly and Year Basis</v>
      </c>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c r="AS51" s="95"/>
      <c r="AT51" s="95"/>
      <c r="AU51" s="95"/>
      <c r="AV51" s="95"/>
      <c r="AW51" s="95"/>
      <c r="AX51" s="95"/>
      <c r="AY51" s="95"/>
      <c r="AZ51" s="95"/>
      <c r="BA51" s="95"/>
      <c r="BB51" s="63"/>
      <c r="BC51" s="63"/>
      <c r="BD51" s="63"/>
      <c r="BE51" s="63"/>
      <c r="BF51" s="63"/>
      <c r="BG51" s="63"/>
      <c r="BH51" s="63"/>
      <c r="BI51" s="63"/>
      <c r="BJ51" s="63"/>
      <c r="BK51" s="63"/>
      <c r="BL51" s="63"/>
      <c r="BM51" s="63"/>
      <c r="BN51" s="63"/>
      <c r="BO51" s="63"/>
      <c r="BP51" s="63"/>
      <c r="BQ51" s="63"/>
      <c r="BR51" s="63"/>
      <c r="BS51" s="63"/>
      <c r="BT51" s="63"/>
      <c r="BU51" s="63"/>
      <c r="BV51" s="1148"/>
      <c r="BW51" s="1148"/>
      <c r="BX51" s="1157" t="str">
        <f>BX4</f>
        <v>Market Share Price as of 12/31/2024:</v>
      </c>
      <c r="BY51" s="322">
        <f>BY4</f>
        <v>455.73</v>
      </c>
      <c r="BZ51" s="1148"/>
    </row>
    <row r="52" spans="1:78" ht="14.1" customHeight="1" x14ac:dyDescent="0.2">
      <c r="C52" s="96"/>
      <c r="D52" s="97">
        <f>D7</f>
        <v>43100</v>
      </c>
      <c r="E52" s="98">
        <f t="shared" ref="E52:O52" si="20">E7</f>
        <v>43465</v>
      </c>
      <c r="F52" s="98">
        <f t="shared" si="20"/>
        <v>43830</v>
      </c>
      <c r="G52" s="98">
        <f t="shared" si="20"/>
        <v>44196</v>
      </c>
      <c r="H52" s="98">
        <f t="shared" si="20"/>
        <v>44561</v>
      </c>
      <c r="I52" s="98">
        <f t="shared" si="20"/>
        <v>44926</v>
      </c>
      <c r="J52" s="98">
        <f t="shared" si="20"/>
        <v>45291</v>
      </c>
      <c r="K52" s="137">
        <f t="shared" si="20"/>
        <v>45657</v>
      </c>
      <c r="L52" s="138">
        <f t="shared" si="20"/>
        <v>46022</v>
      </c>
      <c r="M52" s="138">
        <f t="shared" si="20"/>
        <v>46387</v>
      </c>
      <c r="N52" s="138">
        <f t="shared" si="20"/>
        <v>46752</v>
      </c>
      <c r="O52" s="139">
        <f t="shared" si="20"/>
        <v>47118</v>
      </c>
      <c r="R52" s="96"/>
      <c r="S52" s="1395">
        <f>S5</f>
        <v>43100</v>
      </c>
      <c r="T52" s="1396"/>
      <c r="U52" s="1396"/>
      <c r="V52" s="1396"/>
      <c r="W52" s="1397"/>
      <c r="X52" s="1395">
        <f>X5</f>
        <v>43465</v>
      </c>
      <c r="Y52" s="1396"/>
      <c r="Z52" s="1396"/>
      <c r="AA52" s="1396"/>
      <c r="AB52" s="1397"/>
      <c r="AC52" s="1395">
        <f>AC5</f>
        <v>43830</v>
      </c>
      <c r="AD52" s="1396"/>
      <c r="AE52" s="1396"/>
      <c r="AF52" s="1396"/>
      <c r="AG52" s="1397"/>
      <c r="AH52" s="1395">
        <f>AH5</f>
        <v>44196</v>
      </c>
      <c r="AI52" s="1396"/>
      <c r="AJ52" s="1396"/>
      <c r="AK52" s="1396"/>
      <c r="AL52" s="1397"/>
      <c r="AM52" s="1395">
        <f>AM5</f>
        <v>44561</v>
      </c>
      <c r="AN52" s="1396"/>
      <c r="AO52" s="1396"/>
      <c r="AP52" s="1396"/>
      <c r="AQ52" s="1397"/>
      <c r="AR52" s="1395">
        <f>AR5</f>
        <v>44926</v>
      </c>
      <c r="AS52" s="1396"/>
      <c r="AT52" s="1396"/>
      <c r="AU52" s="1396"/>
      <c r="AV52" s="1397"/>
      <c r="AW52" s="1395">
        <f>AW5</f>
        <v>45291</v>
      </c>
      <c r="AX52" s="1396"/>
      <c r="AY52" s="1396"/>
      <c r="AZ52" s="1396"/>
      <c r="BA52" s="1397"/>
      <c r="BB52" s="1389">
        <f>BB5</f>
        <v>45657</v>
      </c>
      <c r="BC52" s="1390"/>
      <c r="BD52" s="1390"/>
      <c r="BE52" s="1390"/>
      <c r="BF52" s="1391"/>
      <c r="BG52" s="1392">
        <f>BG5</f>
        <v>46022</v>
      </c>
      <c r="BH52" s="1393"/>
      <c r="BI52" s="1393"/>
      <c r="BJ52" s="1393"/>
      <c r="BK52" s="1394"/>
      <c r="BL52" s="1392">
        <f>BL5</f>
        <v>46387</v>
      </c>
      <c r="BM52" s="1393"/>
      <c r="BN52" s="1393"/>
      <c r="BO52" s="1393"/>
      <c r="BP52" s="1394"/>
      <c r="BQ52" s="1392">
        <f>BQ5</f>
        <v>46752</v>
      </c>
      <c r="BR52" s="1393"/>
      <c r="BS52" s="1393"/>
      <c r="BT52" s="1393"/>
      <c r="BU52" s="1394"/>
      <c r="BV52" s="1392">
        <f>BV5</f>
        <v>47118</v>
      </c>
      <c r="BW52" s="1393"/>
      <c r="BX52" s="1393"/>
      <c r="BY52" s="1393"/>
      <c r="BZ52" s="1393"/>
    </row>
    <row r="53" spans="1:78" s="143" customFormat="1" ht="14.1" customHeight="1" x14ac:dyDescent="0.2">
      <c r="A53"/>
      <c r="P53" s="60"/>
      <c r="Q53" s="60"/>
      <c r="R53" s="42"/>
      <c r="S53" s="96" t="str">
        <f t="shared" ref="S53:BZ53" si="21">S7</f>
        <v>2017 Q1</v>
      </c>
      <c r="T53" s="140" t="str">
        <f t="shared" si="21"/>
        <v>2017 Q2</v>
      </c>
      <c r="U53" s="140" t="str">
        <f t="shared" si="21"/>
        <v>2017 Q3</v>
      </c>
      <c r="V53" s="140" t="str">
        <f t="shared" si="21"/>
        <v>2017 Q4</v>
      </c>
      <c r="W53" s="140" t="str">
        <f t="shared" si="21"/>
        <v>2017 FY</v>
      </c>
      <c r="X53" s="140" t="str">
        <f t="shared" si="21"/>
        <v>2018 Q1</v>
      </c>
      <c r="Y53" s="140" t="str">
        <f t="shared" si="21"/>
        <v>2018 Q2</v>
      </c>
      <c r="Z53" s="140" t="str">
        <f t="shared" si="21"/>
        <v>2018 Q3</v>
      </c>
      <c r="AA53" s="140" t="str">
        <f t="shared" si="21"/>
        <v>2018 Q4</v>
      </c>
      <c r="AB53" s="140" t="str">
        <f t="shared" si="21"/>
        <v>2018 FY</v>
      </c>
      <c r="AC53" s="140" t="str">
        <f t="shared" si="21"/>
        <v>2019 Q1</v>
      </c>
      <c r="AD53" s="140" t="str">
        <f t="shared" si="21"/>
        <v>2019 Q2</v>
      </c>
      <c r="AE53" s="140" t="str">
        <f t="shared" si="21"/>
        <v>2019 Q3</v>
      </c>
      <c r="AF53" s="140" t="str">
        <f t="shared" si="21"/>
        <v>2019 Q4</v>
      </c>
      <c r="AG53" s="140" t="str">
        <f t="shared" si="21"/>
        <v>2019 FY</v>
      </c>
      <c r="AH53" s="140" t="str">
        <f t="shared" si="21"/>
        <v>2020 Q1</v>
      </c>
      <c r="AI53" s="140" t="str">
        <f t="shared" si="21"/>
        <v>2020 Q2</v>
      </c>
      <c r="AJ53" s="140" t="str">
        <f t="shared" si="21"/>
        <v>2020 Q3</v>
      </c>
      <c r="AK53" s="140" t="str">
        <f t="shared" si="21"/>
        <v>2020 Q4</v>
      </c>
      <c r="AL53" s="140" t="str">
        <f t="shared" si="21"/>
        <v>2020 FY</v>
      </c>
      <c r="AM53" s="140" t="str">
        <f t="shared" si="21"/>
        <v>2021 Q1</v>
      </c>
      <c r="AN53" s="140" t="str">
        <f t="shared" si="21"/>
        <v>2021 Q2</v>
      </c>
      <c r="AO53" s="140" t="str">
        <f t="shared" si="21"/>
        <v>2021 Q3</v>
      </c>
      <c r="AP53" s="140" t="str">
        <f t="shared" si="21"/>
        <v>2021 Q4</v>
      </c>
      <c r="AQ53" s="140" t="str">
        <f t="shared" si="21"/>
        <v>2021 FY</v>
      </c>
      <c r="AR53" s="140" t="str">
        <f t="shared" si="21"/>
        <v>2022 Q1</v>
      </c>
      <c r="AS53" s="140" t="str">
        <f t="shared" si="21"/>
        <v>2022 Q2</v>
      </c>
      <c r="AT53" s="140" t="str">
        <f t="shared" si="21"/>
        <v>2022 Q3</v>
      </c>
      <c r="AU53" s="140" t="str">
        <f t="shared" si="21"/>
        <v>2022 Q4</v>
      </c>
      <c r="AV53" s="140" t="str">
        <f t="shared" si="21"/>
        <v>2022 FY</v>
      </c>
      <c r="AW53" s="140" t="str">
        <f t="shared" si="21"/>
        <v>2023 Q1</v>
      </c>
      <c r="AX53" s="140" t="str">
        <f t="shared" si="21"/>
        <v>2023 Q2</v>
      </c>
      <c r="AY53" s="140" t="str">
        <f t="shared" si="21"/>
        <v>2023 Q3</v>
      </c>
      <c r="AZ53" s="140" t="str">
        <f t="shared" si="21"/>
        <v>2023 Q4</v>
      </c>
      <c r="BA53" s="140" t="str">
        <f t="shared" si="21"/>
        <v>2023 FY</v>
      </c>
      <c r="BB53" s="140" t="str">
        <f t="shared" si="21"/>
        <v>2024 Q1</v>
      </c>
      <c r="BC53" s="140" t="str">
        <f t="shared" si="21"/>
        <v>2024 Q2</v>
      </c>
      <c r="BD53" s="140" t="str">
        <f t="shared" si="21"/>
        <v>2024 Q3</v>
      </c>
      <c r="BE53" s="141" t="str">
        <f t="shared" si="21"/>
        <v>2024 Q4</v>
      </c>
      <c r="BF53" s="141" t="str">
        <f t="shared" si="21"/>
        <v>2024 FY</v>
      </c>
      <c r="BG53" s="141" t="str">
        <f t="shared" si="21"/>
        <v>2025 Q1</v>
      </c>
      <c r="BH53" s="141" t="str">
        <f t="shared" si="21"/>
        <v>2025 Q2</v>
      </c>
      <c r="BI53" s="141" t="str">
        <f t="shared" si="21"/>
        <v>2025 Q3</v>
      </c>
      <c r="BJ53" s="141" t="str">
        <f t="shared" si="21"/>
        <v>2025 Q4</v>
      </c>
      <c r="BK53" s="141" t="str">
        <f t="shared" si="21"/>
        <v>2025 FY</v>
      </c>
      <c r="BL53" s="141" t="str">
        <f t="shared" si="21"/>
        <v>2026 Q1</v>
      </c>
      <c r="BM53" s="141" t="str">
        <f t="shared" si="21"/>
        <v>2026 Q2</v>
      </c>
      <c r="BN53" s="141" t="str">
        <f t="shared" si="21"/>
        <v>2026 Q3</v>
      </c>
      <c r="BO53" s="141" t="str">
        <f t="shared" si="21"/>
        <v>2026 Q4</v>
      </c>
      <c r="BP53" s="141" t="str">
        <f t="shared" si="21"/>
        <v>2026 FY</v>
      </c>
      <c r="BQ53" s="141" t="str">
        <f t="shared" si="21"/>
        <v>2027 Q1</v>
      </c>
      <c r="BR53" s="141" t="str">
        <f t="shared" si="21"/>
        <v>2027 Q2</v>
      </c>
      <c r="BS53" s="141" t="str">
        <f t="shared" si="21"/>
        <v>2027 Q3</v>
      </c>
      <c r="BT53" s="141" t="str">
        <f t="shared" si="21"/>
        <v>2027 Q4</v>
      </c>
      <c r="BU53" s="141" t="str">
        <f t="shared" si="21"/>
        <v>2027 FY</v>
      </c>
      <c r="BV53" s="141" t="str">
        <f t="shared" si="21"/>
        <v>2028 Q1</v>
      </c>
      <c r="BW53" s="141" t="str">
        <f t="shared" si="21"/>
        <v>2028 Q2</v>
      </c>
      <c r="BX53" s="141" t="str">
        <f t="shared" si="21"/>
        <v>2028 Q3</v>
      </c>
      <c r="BY53" s="141" t="str">
        <f t="shared" si="21"/>
        <v>2028 Q4</v>
      </c>
      <c r="BZ53" s="142" t="str">
        <f t="shared" si="21"/>
        <v>2028 FY</v>
      </c>
    </row>
    <row r="54" spans="1:78" s="114" customFormat="1" ht="14.1" customHeight="1" x14ac:dyDescent="0.2">
      <c r="A54" s="150"/>
      <c r="B54"/>
      <c r="C54" s="216" t="str">
        <f>C22&amp;" Turns"</f>
        <v>Net Operating Working Capital Turns</v>
      </c>
      <c r="D54" s="678"/>
      <c r="E54" s="678">
        <f>IFERROR('Income Statement'!E$8/AVERAGE(D22:E22),"NM")</f>
        <v>50.393802276155213</v>
      </c>
      <c r="F54" s="678">
        <f>IFERROR('Income Statement'!F$8/AVERAGE(E22:F22),"NM")</f>
        <v>72.541564320659347</v>
      </c>
      <c r="G54" s="678">
        <f>IFERROR('Income Statement'!G$8/AVERAGE(F22:G22),"NM")</f>
        <v>89.461034338872352</v>
      </c>
      <c r="H54" s="678">
        <f>IFERROR('Income Statement'!H$8/AVERAGE(G22:H22),"NM")</f>
        <v>112.43663874628484</v>
      </c>
      <c r="I54" s="678">
        <f>IFERROR('Income Statement'!I$8/AVERAGE(H22:I22),"NM")</f>
        <v>40.425047960328691</v>
      </c>
      <c r="J54" s="688">
        <f>IFERROR('Income Statement'!J$8/AVERAGE(I22:J22),"NM")</f>
        <v>32.891568878133427</v>
      </c>
      <c r="K54" s="678">
        <f>IFERROR('Income Statement'!K$8/AVERAGE(J22:K22),"NM")</f>
        <v>38.793345815005345</v>
      </c>
      <c r="L54" s="678">
        <f>IFERROR('Income Statement'!L$8/AVERAGE(K22:L22),"NM")</f>
        <v>36.368529510905418</v>
      </c>
      <c r="M54" s="678">
        <f>IFERROR('Income Statement'!M$8/AVERAGE(L22:M22),"NM")</f>
        <v>41.405552758850732</v>
      </c>
      <c r="N54" s="678">
        <f>IFERROR('Income Statement'!N$8/AVERAGE(M22:N22),"NM")</f>
        <v>40.22279861592348</v>
      </c>
      <c r="O54" s="679">
        <f>IFERROR('Income Statement'!O$8/AVERAGE(N22:O22),"NM")</f>
        <v>35.427088087331889</v>
      </c>
      <c r="R54" s="550" t="str">
        <f>C54</f>
        <v>Net Operating Working Capital Turns</v>
      </c>
      <c r="S54" s="130"/>
      <c r="T54" s="678">
        <f>IFERROR('Income Statement'!T$8/AVERAGE(S22:T22),"NM")</f>
        <v>12.841648590021691</v>
      </c>
      <c r="U54" s="678">
        <f>IFERROR('Income Statement'!U$8/AVERAGE(T22:U22),"NM")</f>
        <v>8.7199402167144111</v>
      </c>
      <c r="V54" s="678">
        <f>IFERROR('Income Statement'!V$8/AVERAGE(U22:V22),"NM")</f>
        <v>9.3608684207227686</v>
      </c>
      <c r="W54" s="693"/>
      <c r="X54" s="678">
        <f>IFERROR('Income Statement'!X$8/AVERAGE(W22:X22),"NM")</f>
        <v>7.3214169221736585</v>
      </c>
      <c r="Y54" s="678">
        <f>IFERROR('Income Statement'!Y$8/AVERAGE(X22:Y22),"NM")</f>
        <v>8.2150665376471856</v>
      </c>
      <c r="Z54" s="678">
        <f>IFERROR('Income Statement'!Z$8/AVERAGE(Y22:Z22),"NM")</f>
        <v>11.384903489880815</v>
      </c>
      <c r="AA54" s="678">
        <f>IFERROR('Income Statement'!AA$8/AVERAGE(Z22:AA22),"NM")</f>
        <v>15.659287776708359</v>
      </c>
      <c r="AB54" s="678">
        <f>E54</f>
        <v>50.393802276155213</v>
      </c>
      <c r="AC54" s="695">
        <f>IFERROR('Income Statement'!AC$8/AVERAGE(AB22:AC22),"NM")</f>
        <v>9.6784489362955988</v>
      </c>
      <c r="AD54" s="678">
        <f>IFERROR('Income Statement'!AD$8/AVERAGE(AC22:AD22),"NM")</f>
        <v>7.4587450791355367</v>
      </c>
      <c r="AE54" s="678">
        <f>IFERROR('Income Statement'!AE$8/AVERAGE(AD22:AE22),"NM")</f>
        <v>9.1278981486889066</v>
      </c>
      <c r="AF54" s="678">
        <f>IFERROR('Income Statement'!AF$8/AVERAGE(AE22:AF22),"NM")</f>
        <v>12.227204989513195</v>
      </c>
      <c r="AG54" s="679">
        <f>F54</f>
        <v>72.541564320659347</v>
      </c>
      <c r="AH54" s="695">
        <f>IFERROR('Income Statement'!AH$8/AVERAGE(AG22:AH22),"NM")</f>
        <v>11.517518963826825</v>
      </c>
      <c r="AI54" s="678">
        <f>IFERROR('Income Statement'!AI$8/AVERAGE(AH22:AI22),"NM")</f>
        <v>10.569377385677093</v>
      </c>
      <c r="AJ54" s="678">
        <f>IFERROR('Income Statement'!AJ$8/AVERAGE(AI22:AJ22),"NM")</f>
        <v>19.138216877050006</v>
      </c>
      <c r="AK54" s="678">
        <f>IFERROR('Income Statement'!AK$8/AVERAGE(AJ22:AK22),"NM")</f>
        <v>30.916298987801699</v>
      </c>
      <c r="AL54" s="679">
        <f>G54</f>
        <v>89.461034338872352</v>
      </c>
      <c r="AM54" s="695">
        <f>IFERROR('Income Statement'!AM$8/AVERAGE(AL22:AM22),"NM")</f>
        <v>23.834855609443824</v>
      </c>
      <c r="AN54" s="678">
        <f>IFERROR('Income Statement'!AN$8/AVERAGE(AM22:AN22),"NM")</f>
        <v>13.175587482415875</v>
      </c>
      <c r="AO54" s="678">
        <f>IFERROR('Income Statement'!AO$8/AVERAGE(AN22:AO22),"NM")</f>
        <v>13.97854048045731</v>
      </c>
      <c r="AP54" s="678">
        <f>IFERROR('Income Statement'!AP$8/AVERAGE(AO22:AP22),"NM")</f>
        <v>20.600954797355946</v>
      </c>
      <c r="AQ54" s="679">
        <f>H54</f>
        <v>112.43663874628484</v>
      </c>
      <c r="AR54" s="695">
        <f>IFERROR('Income Statement'!AR$8/AVERAGE(AQ22:AR22),"NM")</f>
        <v>13.242594780797505</v>
      </c>
      <c r="AS54" s="678">
        <f>IFERROR('Income Statement'!AS$8/AVERAGE(AR22:AS22),"NM")</f>
        <v>8.7697790952078467</v>
      </c>
      <c r="AT54" s="678">
        <f>IFERROR('Income Statement'!AT$8/AVERAGE(AS22:AT22),"NM")</f>
        <v>7.2514486775536957</v>
      </c>
      <c r="AU54" s="678">
        <f>IFERROR('Income Statement'!AU$8/AVERAGE(AT22:AU22),"NM")</f>
        <v>6.2264192150104183</v>
      </c>
      <c r="AV54" s="679">
        <f>I54</f>
        <v>40.425047960328691</v>
      </c>
      <c r="AW54" s="695">
        <f>IFERROR('Income Statement'!AW$8/AVERAGE(AV22:AW22),"NM")</f>
        <v>5.8682663989587835</v>
      </c>
      <c r="AX54" s="678">
        <f>IFERROR('Income Statement'!AX$8/AVERAGE(AW22:AX22),"NM")</f>
        <v>6.0423455318852808</v>
      </c>
      <c r="AY54" s="678">
        <f>IFERROR('Income Statement'!AY$8/AVERAGE(AX22:AY22),"NM")</f>
        <v>6.2378053442025347</v>
      </c>
      <c r="AZ54" s="678">
        <f>IFERROR('Income Statement'!AZ$8/AVERAGE(AY22:AZ22),"NM")</f>
        <v>7.4653335453605782</v>
      </c>
      <c r="BA54" s="679">
        <f>J54</f>
        <v>32.891568878133427</v>
      </c>
      <c r="BB54" s="695">
        <f>IFERROR('Income Statement'!BB$8/AVERAGE(BA22:BB22),"NM")</f>
        <v>9.0632636274668723</v>
      </c>
      <c r="BC54" s="678">
        <f>IFERROR('Income Statement'!BC$8/AVERAGE(BB22:BC22),"NM")</f>
        <v>6.8345378091960809</v>
      </c>
      <c r="BD54" s="678">
        <f>IFERROR('Income Statement'!BD$8/AVERAGE(BC22:BD22),"NM")</f>
        <v>6.7527063653713535</v>
      </c>
      <c r="BE54" s="678">
        <f>IFERROR('Income Statement'!BE$8/AVERAGE(BD22:BE22),"NM")</f>
        <v>7.5935885552622064</v>
      </c>
      <c r="BF54" s="679">
        <f>K54</f>
        <v>38.793345815005345</v>
      </c>
      <c r="BG54" s="695">
        <f>IFERROR('Income Statement'!BG$8/AVERAGE(BF22:BG22),"NM")</f>
        <v>8.600553478529859</v>
      </c>
      <c r="BH54" s="678">
        <f>IFERROR('Income Statement'!BH$8/AVERAGE(BG22:BH22),"NM")</f>
        <v>8.2717924290353881</v>
      </c>
      <c r="BI54" s="678">
        <f>IFERROR('Income Statement'!BI$8/AVERAGE(BH22:BI22),"NM")</f>
        <v>10.578287487789741</v>
      </c>
      <c r="BJ54" s="678">
        <f>IFERROR('Income Statement'!BJ$8/AVERAGE(BI22:BJ22),"NM")</f>
        <v>12.483504388483267</v>
      </c>
      <c r="BK54" s="679">
        <f>L54</f>
        <v>36.368529510905418</v>
      </c>
      <c r="BL54" s="695">
        <f>IFERROR('Income Statement'!BL$8/AVERAGE(BK22:BL22),"NM")</f>
        <v>11.035361687131875</v>
      </c>
      <c r="BM54" s="678">
        <f>IFERROR('Income Statement'!BM$8/AVERAGE(BL22:BM22),"NM")</f>
        <v>10.064130728081466</v>
      </c>
      <c r="BN54" s="678">
        <f>IFERROR('Income Statement'!BN$8/AVERAGE(BM22:BN22),"NM")</f>
        <v>10.477039562873783</v>
      </c>
      <c r="BO54" s="678">
        <f>IFERROR('Income Statement'!BO$8/AVERAGE(BN22:BO22),"NM")</f>
        <v>12.451078368960856</v>
      </c>
      <c r="BP54" s="679">
        <f>M54</f>
        <v>41.405552758850732</v>
      </c>
      <c r="BQ54" s="695">
        <f>IFERROR('Income Statement'!BQ$8/AVERAGE(BP22:BQ22),"NM")</f>
        <v>11.579856815490858</v>
      </c>
      <c r="BR54" s="678">
        <f>IFERROR('Income Statement'!BR$8/AVERAGE(BQ22:BR22),"NM")</f>
        <v>9.6814155453041248</v>
      </c>
      <c r="BS54" s="678">
        <f>IFERROR('Income Statement'!BS$8/AVERAGE(BR22:BS22),"NM")</f>
        <v>10.141122784388754</v>
      </c>
      <c r="BT54" s="678">
        <f>IFERROR('Income Statement'!BT$8/AVERAGE(BS22:BT22),"NM")</f>
        <v>12.043803096355656</v>
      </c>
      <c r="BU54" s="679">
        <f>N54</f>
        <v>40.22279861592348</v>
      </c>
      <c r="BV54" s="695">
        <f>IFERROR('Income Statement'!BV$8/AVERAGE(BU22:BV22),"NM")</f>
        <v>11.412517761543651</v>
      </c>
      <c r="BW54" s="678">
        <f>IFERROR('Income Statement'!BW$8/AVERAGE(BV22:BW22),"NM")</f>
        <v>9.3302208748193234</v>
      </c>
      <c r="BX54" s="678">
        <f>IFERROR('Income Statement'!BX$8/AVERAGE(BW22:BX22),"NM")</f>
        <v>9.8773795347914</v>
      </c>
      <c r="BY54" s="678">
        <f>IFERROR('Income Statement'!BY$8/AVERAGE(BX22:BY22),"NM")</f>
        <v>11.51745054456515</v>
      </c>
      <c r="BZ54" s="679">
        <f>O54</f>
        <v>35.427088087331889</v>
      </c>
    </row>
    <row r="55" spans="1:78" s="114" customFormat="1" ht="14.1" customHeight="1" x14ac:dyDescent="0.2">
      <c r="A55"/>
      <c r="B55" s="150"/>
      <c r="C55" s="680" t="str">
        <f>C15&amp;" Turns"</f>
        <v>Total Current Assets Turns</v>
      </c>
      <c r="D55" s="183"/>
      <c r="E55" s="681">
        <f>IFERROR('Income Statement'!E8/AVERAGE('Invested Capital'!D15:E15),"NM")</f>
        <v>8.0733058666172006</v>
      </c>
      <c r="F55" s="681">
        <f>IFERROR('Income Statement'!F8/AVERAGE('Invested Capital'!E15:F15),"NM")</f>
        <v>8.0608829036114678</v>
      </c>
      <c r="G55" s="681">
        <f>IFERROR('Income Statement'!G8/AVERAGE('Invested Capital'!F15:G15),"NM")</f>
        <v>7.6166923361454817</v>
      </c>
      <c r="H55" s="681">
        <f>IFERROR('Income Statement'!H8/AVERAGE('Invested Capital'!G15:H15),"NM")</f>
        <v>8.2319338914316038</v>
      </c>
      <c r="I55" s="681">
        <f>IFERROR('Income Statement'!I8/AVERAGE('Invested Capital'!H15:I15),"NM")</f>
        <v>8.5493422009513704</v>
      </c>
      <c r="J55" s="689">
        <f>IFERROR('Income Statement'!J8/AVERAGE('Invested Capital'!I15:J15),"NM")</f>
        <v>8.2802773088113799</v>
      </c>
      <c r="K55" s="681">
        <f>IFERROR('Income Statement'!K8/AVERAGE('Invested Capital'!J15:K15),"NM")</f>
        <v>8.5504071079242596</v>
      </c>
      <c r="L55" s="681">
        <f>IFERROR('Income Statement'!L8/AVERAGE('Invested Capital'!K15:L15),"NM")</f>
        <v>8.3961208429140139</v>
      </c>
      <c r="M55" s="681">
        <f>IFERROR('Income Statement'!M8/AVERAGE('Invested Capital'!L15:M15),"NM")</f>
        <v>8.3669177043250613</v>
      </c>
      <c r="N55" s="681">
        <f>IFERROR('Income Statement'!N8/AVERAGE('Invested Capital'!M15:N15),"NM")</f>
        <v>7.8534213973039666</v>
      </c>
      <c r="O55" s="682">
        <f>IFERROR('Income Statement'!O8/AVERAGE('Invested Capital'!N15:O15),"NM")</f>
        <v>7.4362782669222236</v>
      </c>
      <c r="R55" s="680" t="str">
        <f t="shared" ref="R55:R75" si="22">C55</f>
        <v>Total Current Assets Turns</v>
      </c>
      <c r="T55" s="681">
        <f>IFERROR('Income Statement'!T8/AVERAGE('Invested Capital'!S15:T15),"NM")</f>
        <v>1.8792763295974479</v>
      </c>
      <c r="U55" s="681">
        <f>IFERROR('Income Statement'!U8/AVERAGE('Invested Capital'!T15:U15),"NM")</f>
        <v>1.7602156133642071</v>
      </c>
      <c r="V55" s="681">
        <f>IFERROR('Income Statement'!V8/AVERAGE('Invested Capital'!U15:V15),"NM")</f>
        <v>1.8714136430044583</v>
      </c>
      <c r="W55" s="694"/>
      <c r="X55" s="681">
        <f>IFERROR('Income Statement'!X8/AVERAGE('Invested Capital'!W15:X15),"NM")</f>
        <v>1.8527139461172741</v>
      </c>
      <c r="Y55" s="681">
        <f>IFERROR('Income Statement'!Y8/AVERAGE('Invested Capital'!X15:Y15),"NM")</f>
        <v>1.876284734606708</v>
      </c>
      <c r="Z55" s="681">
        <f>IFERROR('Income Statement'!Z8/AVERAGE('Invested Capital'!Y15:Z15),"NM")</f>
        <v>1.8680321140584604</v>
      </c>
      <c r="AA55" s="681">
        <f>IFERROR('Income Statement'!AA8/AVERAGE('Invested Capital'!Z15:AA15),"NM")</f>
        <v>1.8687960450900158</v>
      </c>
      <c r="AB55" s="681">
        <f t="shared" ref="AB55:AB75" si="23">E55</f>
        <v>8.0733058666172006</v>
      </c>
      <c r="AC55" s="696">
        <f>IFERROR('Income Statement'!AC8/AVERAGE('Invested Capital'!AB15:AC15),"NM")</f>
        <v>1.8157993078819641</v>
      </c>
      <c r="AD55" s="681">
        <f>IFERROR('Income Statement'!AD8/AVERAGE('Invested Capital'!AC15:AD15),"NM")</f>
        <v>1.8495961684816173</v>
      </c>
      <c r="AE55" s="681">
        <f>IFERROR('Income Statement'!AE8/AVERAGE('Invested Capital'!AD15:AE15),"NM")</f>
        <v>1.8366994398527168</v>
      </c>
      <c r="AF55" s="681">
        <f>IFERROR('Income Statement'!AF8/AVERAGE('Invested Capital'!AE15:AF15),"NM")</f>
        <v>1.8391117106833388</v>
      </c>
      <c r="AG55" s="682">
        <f t="shared" ref="AG55:AG75" si="24">F55</f>
        <v>8.0608829036114678</v>
      </c>
      <c r="AH55" s="696">
        <f>IFERROR('Income Statement'!AH8/AVERAGE('Invested Capital'!AG15:AH15),"NM")</f>
        <v>1.8178323458147538</v>
      </c>
      <c r="AI55" s="681">
        <f>IFERROR('Income Statement'!AI8/AVERAGE('Invested Capital'!AH15:AI15),"NM")</f>
        <v>1.6745927803877749</v>
      </c>
      <c r="AJ55" s="681">
        <f>IFERROR('Income Statement'!AJ8/AVERAGE('Invested Capital'!AI15:AJ15),"NM")</f>
        <v>1.9449022344957994</v>
      </c>
      <c r="AK55" s="681">
        <f>IFERROR('Income Statement'!AK8/AVERAGE('Invested Capital'!AJ15:AK15),"NM")</f>
        <v>1.9019870827645118</v>
      </c>
      <c r="AL55" s="682">
        <f t="shared" ref="AL55:AL75" si="25">G55</f>
        <v>7.6166923361454817</v>
      </c>
      <c r="AM55" s="696">
        <f>IFERROR('Income Statement'!AM8/AVERAGE('Invested Capital'!AL15:AM15),"NM")</f>
        <v>1.7880884968500841</v>
      </c>
      <c r="AN55" s="681">
        <f>IFERROR('Income Statement'!AN8/AVERAGE('Invested Capital'!AM15:AN15),"NM")</f>
        <v>1.9169803850515705</v>
      </c>
      <c r="AO55" s="681">
        <f>IFERROR('Income Statement'!AO8/AVERAGE('Invested Capital'!AN15:AO15),"NM")</f>
        <v>1.9564648658259354</v>
      </c>
      <c r="AP55" s="681">
        <f>IFERROR('Income Statement'!AP8/AVERAGE('Invested Capital'!AO15:AP15),"NM")</f>
        <v>1.9326843874006774</v>
      </c>
      <c r="AQ55" s="682">
        <f t="shared" ref="AQ55:AQ75" si="26">H55</f>
        <v>8.2319338914316038</v>
      </c>
      <c r="AR55" s="696">
        <f>IFERROR('Income Statement'!AR8/AVERAGE('Invested Capital'!AQ15:AR15),"NM")</f>
        <v>1.9475941373297516</v>
      </c>
      <c r="AS55" s="681">
        <f>IFERROR('Income Statement'!AS8/AVERAGE('Invested Capital'!AR15:AS15),"NM")</f>
        <v>1.9419362736798784</v>
      </c>
      <c r="AT55" s="681">
        <f>IFERROR('Income Statement'!AT8/AVERAGE('Invested Capital'!AS15:AT15),"NM")</f>
        <v>1.8237155691541618</v>
      </c>
      <c r="AU55" s="681">
        <f>IFERROR('Income Statement'!AU8/AVERAGE('Invested Capital'!AT15:AU15),"NM")</f>
        <v>1.7601657824132664</v>
      </c>
      <c r="AV55" s="682">
        <f t="shared" ref="AV55:AV75" si="27">I55</f>
        <v>8.5493422009513704</v>
      </c>
      <c r="AW55" s="696">
        <f>IFERROR('Income Statement'!AW8/AVERAGE('Invested Capital'!AV15:AW15),"NM")</f>
        <v>1.91297233504927</v>
      </c>
      <c r="AX55" s="681">
        <f>IFERROR('Income Statement'!AX8/AVERAGE('Invested Capital'!AW15:AX15),"NM")</f>
        <v>2.0105968354219703</v>
      </c>
      <c r="AY55" s="681">
        <f>IFERROR('Income Statement'!AY8/AVERAGE('Invested Capital'!AX15:AY15),"NM")</f>
        <v>2.0944092363851539</v>
      </c>
      <c r="AZ55" s="681">
        <f>IFERROR('Income Statement'!AZ8/AVERAGE('Invested Capital'!AY15:AZ15),"NM")</f>
        <v>2.0062018402532016</v>
      </c>
      <c r="BA55" s="682">
        <f t="shared" ref="BA55:BA75" si="28">J55</f>
        <v>8.2802773088113799</v>
      </c>
      <c r="BB55" s="696">
        <f>IFERROR('Income Statement'!BB8/AVERAGE('Invested Capital'!BA15:BB15),"NM")</f>
        <v>1.9956215438024087</v>
      </c>
      <c r="BC55" s="681">
        <f>IFERROR('Income Statement'!BC8/AVERAGE('Invested Capital'!BB15:BC15),"NM")</f>
        <v>1.9628059567690774</v>
      </c>
      <c r="BD55" s="681">
        <f>IFERROR('Income Statement'!BD8/AVERAGE('Invested Capital'!BC15:BD15),"NM")</f>
        <v>1.9633239064900665</v>
      </c>
      <c r="BE55" s="681">
        <f>IFERROR('Income Statement'!BE8/AVERAGE('Invested Capital'!BD15:BE15),"NM")</f>
        <v>1.9217800270044694</v>
      </c>
      <c r="BF55" s="682">
        <f t="shared" ref="BF55:BF75" si="29">K55</f>
        <v>8.5504071079242596</v>
      </c>
      <c r="BG55" s="696">
        <f>IFERROR('Income Statement'!BG8/AVERAGE('Invested Capital'!BF15:BG15),"NM")</f>
        <v>1.9750106838204691</v>
      </c>
      <c r="BH55" s="681">
        <f>IFERROR('Income Statement'!BH8/AVERAGE('Invested Capital'!BG15:BH15),"NM")</f>
        <v>1.9781608378907778</v>
      </c>
      <c r="BI55" s="681">
        <f>IFERROR('Income Statement'!BI8/AVERAGE('Invested Capital'!BH15:BI15),"NM")</f>
        <v>2.0247753511254829</v>
      </c>
      <c r="BJ55" s="681">
        <f>IFERROR('Income Statement'!BJ8/AVERAGE('Invested Capital'!BI15:BJ15),"NM")</f>
        <v>2.039406328342753</v>
      </c>
      <c r="BK55" s="682">
        <f t="shared" ref="BK55:BK75" si="30">L55</f>
        <v>8.3961208429140139</v>
      </c>
      <c r="BL55" s="696">
        <f>IFERROR('Income Statement'!BL8/AVERAGE('Invested Capital'!BK15:BL15),"NM")</f>
        <v>2.0107943133036241</v>
      </c>
      <c r="BM55" s="681">
        <f>IFERROR('Income Statement'!BM8/AVERAGE('Invested Capital'!BL15:BM15),"NM")</f>
        <v>2.0383561728141943</v>
      </c>
      <c r="BN55" s="681">
        <f>IFERROR('Income Statement'!BN8/AVERAGE('Invested Capital'!BM15:BN15),"NM")</f>
        <v>2.0397672393333535</v>
      </c>
      <c r="BO55" s="681">
        <f>IFERROR('Income Statement'!BO8/AVERAGE('Invested Capital'!BN15:BO15),"NM")</f>
        <v>2.0488576369989859</v>
      </c>
      <c r="BP55" s="682">
        <f t="shared" ref="BP55:BP75" si="31">M55</f>
        <v>8.3669177043250613</v>
      </c>
      <c r="BQ55" s="696">
        <f>IFERROR('Income Statement'!BQ8/AVERAGE('Invested Capital'!BP15:BQ15),"NM")</f>
        <v>2.0110568450984787</v>
      </c>
      <c r="BR55" s="681">
        <f>IFERROR('Income Statement'!BR8/AVERAGE('Invested Capital'!BQ15:BR15),"NM")</f>
        <v>2.0388100881044342</v>
      </c>
      <c r="BS55" s="681">
        <f>IFERROR('Income Statement'!BS8/AVERAGE('Invested Capital'!BR15:BS15),"NM")</f>
        <v>2.040484587034336</v>
      </c>
      <c r="BT55" s="681">
        <f>IFERROR('Income Statement'!BT8/AVERAGE('Invested Capital'!BS15:BT15),"NM")</f>
        <v>2.0477225116280646</v>
      </c>
      <c r="BU55" s="682">
        <f t="shared" ref="BU55:BU75" si="32">N55</f>
        <v>7.8534213973039666</v>
      </c>
      <c r="BV55" s="696">
        <f>IFERROR('Income Statement'!BV8/AVERAGE('Invested Capital'!BU15:BV15),"NM")</f>
        <v>2.0102657048170016</v>
      </c>
      <c r="BW55" s="681">
        <f>IFERROR('Income Statement'!BW8/AVERAGE('Invested Capital'!BV15:BW15),"NM")</f>
        <v>2.0396084279990765</v>
      </c>
      <c r="BX55" s="681">
        <f>IFERROR('Income Statement'!BX8/AVERAGE('Invested Capital'!BW15:BX15),"NM")</f>
        <v>2.0401223824630343</v>
      </c>
      <c r="BY55" s="681">
        <f>IFERROR('Income Statement'!BY8/AVERAGE('Invested Capital'!BX15:BY15),"NM")</f>
        <v>2.046141374193656</v>
      </c>
      <c r="BZ55" s="682">
        <f t="shared" ref="BZ55:BZ75" si="33">O55</f>
        <v>7.4362782669222236</v>
      </c>
    </row>
    <row r="56" spans="1:78" s="114" customFormat="1" ht="14.1" customHeight="1" x14ac:dyDescent="0.2">
      <c r="A56"/>
      <c r="B56"/>
      <c r="C56" s="683" t="str">
        <f>C10&amp;" Turns"</f>
        <v>Cash and cash equivalents Turns</v>
      </c>
      <c r="D56" s="183"/>
      <c r="E56" s="183" t="str">
        <f>IFERROR('Income Statement'!E$8/AVERAGE('Invested Capital'!D10:E10),"NM")</f>
        <v>NM</v>
      </c>
      <c r="F56" s="183" t="str">
        <f>IFERROR('Income Statement'!F$8/AVERAGE('Invested Capital'!E10:F10),"NM")</f>
        <v>NM</v>
      </c>
      <c r="G56" s="183" t="str">
        <f>IFERROR('Income Statement'!G$8/AVERAGE('Invested Capital'!F10:G10),"NM")</f>
        <v>NM</v>
      </c>
      <c r="H56" s="183" t="str">
        <f>IFERROR('Income Statement'!H$8/AVERAGE('Invested Capital'!G10:H10),"NM")</f>
        <v>NM</v>
      </c>
      <c r="I56" s="183" t="str">
        <f>IFERROR('Income Statement'!I$8/AVERAGE('Invested Capital'!H10:I10),"NM")</f>
        <v>NM</v>
      </c>
      <c r="J56" s="690" t="str">
        <f>IFERROR('Income Statement'!J$8/AVERAGE('Invested Capital'!I10:J10),"NM")</f>
        <v>NM</v>
      </c>
      <c r="K56" s="183" t="str">
        <f>IFERROR('Income Statement'!K$8/AVERAGE('Invested Capital'!J10:K10),"NM")</f>
        <v>NM</v>
      </c>
      <c r="L56" s="183" t="str">
        <f>IFERROR('Income Statement'!L$8/AVERAGE('Invested Capital'!K10:L10),"NM")</f>
        <v>NM</v>
      </c>
      <c r="M56" s="183" t="str">
        <f>IFERROR('Income Statement'!M$8/AVERAGE('Invested Capital'!L10:M10),"NM")</f>
        <v>NM</v>
      </c>
      <c r="N56" s="183" t="str">
        <f>IFERROR('Income Statement'!N$8/AVERAGE('Invested Capital'!M10:N10),"NM")</f>
        <v>NM</v>
      </c>
      <c r="O56" s="684" t="str">
        <f>IFERROR('Income Statement'!O$8/AVERAGE('Invested Capital'!N10:O10),"NM")</f>
        <v>NM</v>
      </c>
      <c r="R56" s="683" t="str">
        <f t="shared" si="22"/>
        <v>Cash and cash equivalents Turns</v>
      </c>
      <c r="T56" s="183" t="str">
        <f>IFERROR('Income Statement'!T$8/AVERAGE('Invested Capital'!S10:T10),"NM")</f>
        <v>NM</v>
      </c>
      <c r="U56" s="183" t="str">
        <f>IFERROR('Income Statement'!U$8/AVERAGE('Invested Capital'!T10:U10),"NM")</f>
        <v>NM</v>
      </c>
      <c r="V56" s="183" t="str">
        <f>IFERROR('Income Statement'!V$8/AVERAGE('Invested Capital'!U10:V10),"NM")</f>
        <v>NM</v>
      </c>
      <c r="W56" s="694"/>
      <c r="X56" s="183" t="str">
        <f>IFERROR('Income Statement'!X$8/AVERAGE('Invested Capital'!W10:X10),"NM")</f>
        <v>NM</v>
      </c>
      <c r="Y56" s="183" t="str">
        <f>IFERROR('Income Statement'!Y$8/AVERAGE('Invested Capital'!X10:Y10),"NM")</f>
        <v>NM</v>
      </c>
      <c r="Z56" s="183" t="str">
        <f>IFERROR('Income Statement'!Z$8/AVERAGE('Invested Capital'!Y10:Z10),"NM")</f>
        <v>NM</v>
      </c>
      <c r="AA56" s="183" t="str">
        <f>IFERROR('Income Statement'!AA$8/AVERAGE('Invested Capital'!Z10:AA10),"NM")</f>
        <v>NM</v>
      </c>
      <c r="AB56" s="183" t="str">
        <f t="shared" si="23"/>
        <v>NM</v>
      </c>
      <c r="AC56" s="697" t="str">
        <f>IFERROR('Income Statement'!AC$8/AVERAGE('Invested Capital'!AB10:AC10),"NM")</f>
        <v>NM</v>
      </c>
      <c r="AD56" s="183" t="str">
        <f>IFERROR('Income Statement'!AD$8/AVERAGE('Invested Capital'!AC10:AD10),"NM")</f>
        <v>NM</v>
      </c>
      <c r="AE56" s="183" t="str">
        <f>IFERROR('Income Statement'!AE$8/AVERAGE('Invested Capital'!AD10:AE10),"NM")</f>
        <v>NM</v>
      </c>
      <c r="AF56" s="183" t="str">
        <f>IFERROR('Income Statement'!AF$8/AVERAGE('Invested Capital'!AE10:AF10),"NM")</f>
        <v>NM</v>
      </c>
      <c r="AG56" s="684" t="str">
        <f t="shared" si="24"/>
        <v>NM</v>
      </c>
      <c r="AH56" s="697" t="str">
        <f>IFERROR('Income Statement'!AH$8/AVERAGE('Invested Capital'!AG10:AH10),"NM")</f>
        <v>NM</v>
      </c>
      <c r="AI56" s="183" t="str">
        <f>IFERROR('Income Statement'!AI$8/AVERAGE('Invested Capital'!AH10:AI10),"NM")</f>
        <v>NM</v>
      </c>
      <c r="AJ56" s="183" t="str">
        <f>IFERROR('Income Statement'!AJ$8/AVERAGE('Invested Capital'!AI10:AJ10),"NM")</f>
        <v>NM</v>
      </c>
      <c r="AK56" s="183" t="str">
        <f>IFERROR('Income Statement'!AK$8/AVERAGE('Invested Capital'!AJ10:AK10),"NM")</f>
        <v>NM</v>
      </c>
      <c r="AL56" s="684" t="str">
        <f t="shared" si="25"/>
        <v>NM</v>
      </c>
      <c r="AM56" s="697" t="str">
        <f>IFERROR('Income Statement'!AM$8/AVERAGE('Invested Capital'!AL10:AM10),"NM")</f>
        <v>NM</v>
      </c>
      <c r="AN56" s="183" t="str">
        <f>IFERROR('Income Statement'!AN$8/AVERAGE('Invested Capital'!AM10:AN10),"NM")</f>
        <v>NM</v>
      </c>
      <c r="AO56" s="183" t="str">
        <f>IFERROR('Income Statement'!AO$8/AVERAGE('Invested Capital'!AN10:AO10),"NM")</f>
        <v>NM</v>
      </c>
      <c r="AP56" s="183" t="str">
        <f>IFERROR('Income Statement'!AP$8/AVERAGE('Invested Capital'!AO10:AP10),"NM")</f>
        <v>NM</v>
      </c>
      <c r="AQ56" s="684" t="str">
        <f t="shared" si="26"/>
        <v>NM</v>
      </c>
      <c r="AR56" s="697" t="str">
        <f>IFERROR('Income Statement'!AR$8/AVERAGE('Invested Capital'!AQ10:AR10),"NM")</f>
        <v>NM</v>
      </c>
      <c r="AS56" s="183" t="str">
        <f>IFERROR('Income Statement'!AS$8/AVERAGE('Invested Capital'!AR10:AS10),"NM")</f>
        <v>NM</v>
      </c>
      <c r="AT56" s="183" t="str">
        <f>IFERROR('Income Statement'!AT$8/AVERAGE('Invested Capital'!AS10:AT10),"NM")</f>
        <v>NM</v>
      </c>
      <c r="AU56" s="183" t="str">
        <f>IFERROR('Income Statement'!AU$8/AVERAGE('Invested Capital'!AT10:AU10),"NM")</f>
        <v>NM</v>
      </c>
      <c r="AV56" s="684" t="str">
        <f t="shared" si="27"/>
        <v>NM</v>
      </c>
      <c r="AW56" s="697" t="str">
        <f>IFERROR('Income Statement'!AW$8/AVERAGE('Invested Capital'!AV10:AW10),"NM")</f>
        <v>NM</v>
      </c>
      <c r="AX56" s="183" t="str">
        <f>IFERROR('Income Statement'!AX$8/AVERAGE('Invested Capital'!AW10:AX10),"NM")</f>
        <v>NM</v>
      </c>
      <c r="AY56" s="183" t="str">
        <f>IFERROR('Income Statement'!AY$8/AVERAGE('Invested Capital'!AX10:AY10),"NM")</f>
        <v>NM</v>
      </c>
      <c r="AZ56" s="183" t="str">
        <f>IFERROR('Income Statement'!AZ$8/AVERAGE('Invested Capital'!AY10:AZ10),"NM")</f>
        <v>NM</v>
      </c>
      <c r="BA56" s="684" t="str">
        <f t="shared" si="28"/>
        <v>NM</v>
      </c>
      <c r="BB56" s="697" t="str">
        <f>IFERROR('Income Statement'!BB$8/AVERAGE('Invested Capital'!BA10:BB10),"NM")</f>
        <v>NM</v>
      </c>
      <c r="BC56" s="183" t="str">
        <f>IFERROR('Income Statement'!BC$8/AVERAGE('Invested Capital'!BB10:BC10),"NM")</f>
        <v>NM</v>
      </c>
      <c r="BD56" s="183" t="str">
        <f>IFERROR('Income Statement'!BD$8/AVERAGE('Invested Capital'!BC10:BD10),"NM")</f>
        <v>NM</v>
      </c>
      <c r="BE56" s="183" t="str">
        <f>IFERROR('Income Statement'!BE$8/AVERAGE('Invested Capital'!BD10:BE10),"NM")</f>
        <v>NM</v>
      </c>
      <c r="BF56" s="684" t="str">
        <f t="shared" si="29"/>
        <v>NM</v>
      </c>
      <c r="BG56" s="697" t="str">
        <f>IFERROR('Income Statement'!BG$8/AVERAGE('Invested Capital'!BF10:BG10),"NM")</f>
        <v>NM</v>
      </c>
      <c r="BH56" s="183" t="str">
        <f>IFERROR('Income Statement'!BH$8/AVERAGE('Invested Capital'!BG10:BH10),"NM")</f>
        <v>NM</v>
      </c>
      <c r="BI56" s="183" t="str">
        <f>IFERROR('Income Statement'!BI$8/AVERAGE('Invested Capital'!BH10:BI10),"NM")</f>
        <v>NM</v>
      </c>
      <c r="BJ56" s="183" t="str">
        <f>IFERROR('Income Statement'!BJ$8/AVERAGE('Invested Capital'!BI10:BJ10),"NM")</f>
        <v>NM</v>
      </c>
      <c r="BK56" s="684" t="str">
        <f t="shared" si="30"/>
        <v>NM</v>
      </c>
      <c r="BL56" s="697" t="str">
        <f>IFERROR('Income Statement'!BL$8/AVERAGE('Invested Capital'!BK10:BL10),"NM")</f>
        <v>NM</v>
      </c>
      <c r="BM56" s="183" t="str">
        <f>IFERROR('Income Statement'!BM$8/AVERAGE('Invested Capital'!BL10:BM10),"NM")</f>
        <v>NM</v>
      </c>
      <c r="BN56" s="183" t="str">
        <f>IFERROR('Income Statement'!BN$8/AVERAGE('Invested Capital'!BM10:BN10),"NM")</f>
        <v>NM</v>
      </c>
      <c r="BO56" s="183" t="str">
        <f>IFERROR('Income Statement'!BO$8/AVERAGE('Invested Capital'!BN10:BO10),"NM")</f>
        <v>NM</v>
      </c>
      <c r="BP56" s="684" t="str">
        <f t="shared" si="31"/>
        <v>NM</v>
      </c>
      <c r="BQ56" s="697" t="str">
        <f>IFERROR('Income Statement'!BQ$8/AVERAGE('Invested Capital'!BP10:BQ10),"NM")</f>
        <v>NM</v>
      </c>
      <c r="BR56" s="183" t="str">
        <f>IFERROR('Income Statement'!BR$8/AVERAGE('Invested Capital'!BQ10:BR10),"NM")</f>
        <v>NM</v>
      </c>
      <c r="BS56" s="183" t="str">
        <f>IFERROR('Income Statement'!BS$8/AVERAGE('Invested Capital'!BR10:BS10),"NM")</f>
        <v>NM</v>
      </c>
      <c r="BT56" s="183" t="str">
        <f>IFERROR('Income Statement'!BT$8/AVERAGE('Invested Capital'!BS10:BT10),"NM")</f>
        <v>NM</v>
      </c>
      <c r="BU56" s="684" t="str">
        <f t="shared" si="32"/>
        <v>NM</v>
      </c>
      <c r="BV56" s="697" t="str">
        <f>IFERROR('Income Statement'!BV$8/AVERAGE('Invested Capital'!BU10:BV10),"NM")</f>
        <v>NM</v>
      </c>
      <c r="BW56" s="183" t="str">
        <f>IFERROR('Income Statement'!BW$8/AVERAGE('Invested Capital'!BV10:BW10),"NM")</f>
        <v>NM</v>
      </c>
      <c r="BX56" s="183" t="str">
        <f>IFERROR('Income Statement'!BX$8/AVERAGE('Invested Capital'!BW10:BX10),"NM")</f>
        <v>NM</v>
      </c>
      <c r="BY56" s="183" t="str">
        <f>IFERROR('Income Statement'!BY$8/AVERAGE('Invested Capital'!BX10:BY10),"NM")</f>
        <v>NM</v>
      </c>
      <c r="BZ56" s="684" t="str">
        <f t="shared" si="33"/>
        <v>NM</v>
      </c>
    </row>
    <row r="57" spans="1:78" s="114" customFormat="1" ht="14.1" customHeight="1" x14ac:dyDescent="0.2">
      <c r="A57"/>
      <c r="B57"/>
      <c r="C57" s="683" t="str">
        <f>C11&amp;" Turns"</f>
        <v>Accounts receivable, net Turns</v>
      </c>
      <c r="D57" s="183"/>
      <c r="E57" s="183">
        <f>IFERROR('Income Statement'!E$8/AVERAGE('Invested Capital'!D11:E11),"NM")</f>
        <v>9.3998067577936286</v>
      </c>
      <c r="F57" s="183">
        <f>IFERROR('Income Statement'!F$8/AVERAGE('Invested Capital'!E11:F11),"NM")</f>
        <v>9.4603567088748335</v>
      </c>
      <c r="G57" s="183">
        <f>IFERROR('Income Statement'!G$8/AVERAGE('Invested Capital'!F11:G11),"NM")</f>
        <v>8.8246323404791074</v>
      </c>
      <c r="H57" s="183">
        <f>IFERROR('Income Statement'!H$8/AVERAGE('Invested Capital'!G11:H11),"NM")</f>
        <v>9.272502603037756</v>
      </c>
      <c r="I57" s="183">
        <f>IFERROR('Income Statement'!I$8/AVERAGE('Invested Capital'!H11:I11),"NM")</f>
        <v>9.8474661456174921</v>
      </c>
      <c r="J57" s="690">
        <f>IFERROR('Income Statement'!J$8/AVERAGE('Invested Capital'!I11:J11),"NM")</f>
        <v>9.572103885404486</v>
      </c>
      <c r="K57" s="183">
        <f>IFERROR('Income Statement'!K$8/AVERAGE('Invested Capital'!J11:K11),"NM")</f>
        <v>9.6697707057147149</v>
      </c>
      <c r="L57" s="183">
        <f>IFERROR('Income Statement'!L$8/AVERAGE('Invested Capital'!K11:L11),"NM")</f>
        <v>9.5580736656078837</v>
      </c>
      <c r="M57" s="183">
        <f>IFERROR('Income Statement'!M$8/AVERAGE('Invested Capital'!L11:M11),"NM")</f>
        <v>9.523134116227487</v>
      </c>
      <c r="N57" s="183">
        <f>IFERROR('Income Statement'!N$8/AVERAGE('Invested Capital'!M11:N11),"NM")</f>
        <v>8.8587759200183438</v>
      </c>
      <c r="O57" s="684">
        <f>IFERROR('Income Statement'!O$8/AVERAGE('Invested Capital'!N11:O11),"NM")</f>
        <v>8.3299301094765479</v>
      </c>
      <c r="R57" s="683" t="str">
        <f t="shared" si="22"/>
        <v>Accounts receivable, net Turns</v>
      </c>
      <c r="T57" s="183">
        <f>IFERROR('Income Statement'!T$8/AVERAGE('Invested Capital'!S11:T11),"NM")</f>
        <v>2.2669789227166275</v>
      </c>
      <c r="U57" s="183">
        <f>IFERROR('Income Statement'!U$8/AVERAGE('Invested Capital'!T11:U11),"NM")</f>
        <v>2.0644647643535983</v>
      </c>
      <c r="V57" s="183">
        <f>IFERROR('Income Statement'!V$8/AVERAGE('Invested Capital'!U11:V11),"NM")</f>
        <v>2.1810413058525633</v>
      </c>
      <c r="W57" s="694"/>
      <c r="X57" s="183">
        <f>IFERROR('Income Statement'!X$8/AVERAGE('Invested Capital'!W11:X11),"NM")</f>
        <v>2.1719032940298302</v>
      </c>
      <c r="Y57" s="183">
        <f>IFERROR('Income Statement'!Y$8/AVERAGE('Invested Capital'!X11:Y11),"NM")</f>
        <v>2.186956266689791</v>
      </c>
      <c r="Z57" s="183">
        <f>IFERROR('Income Statement'!Z$8/AVERAGE('Invested Capital'!Y11:Z11),"NM")</f>
        <v>2.1351924278191849</v>
      </c>
      <c r="AA57" s="183">
        <f>IFERROR('Income Statement'!AA$8/AVERAGE('Invested Capital'!Z11:AA11),"NM")</f>
        <v>2.1431299972338196</v>
      </c>
      <c r="AB57" s="183">
        <f t="shared" si="23"/>
        <v>9.3998067577936286</v>
      </c>
      <c r="AC57" s="697">
        <f>IFERROR('Income Statement'!AC$8/AVERAGE('Invested Capital'!AB11:AC11),"NM")</f>
        <v>2.1398793469621755</v>
      </c>
      <c r="AD57" s="183">
        <f>IFERROR('Income Statement'!AD$8/AVERAGE('Invested Capital'!AC11:AD11),"NM")</f>
        <v>2.1631766698743418</v>
      </c>
      <c r="AE57" s="183">
        <f>IFERROR('Income Statement'!AE$8/AVERAGE('Invested Capital'!AD11:AE11),"NM")</f>
        <v>2.1071574623746758</v>
      </c>
      <c r="AF57" s="183">
        <f>IFERROR('Income Statement'!AF$8/AVERAGE('Invested Capital'!AE11:AF11),"NM")</f>
        <v>2.1397955660088033</v>
      </c>
      <c r="AG57" s="684">
        <f t="shared" si="24"/>
        <v>9.4603567088748335</v>
      </c>
      <c r="AH57" s="697">
        <f>IFERROR('Income Statement'!AH$8/AVERAGE('Invested Capital'!AG11:AH11),"NM")</f>
        <v>2.1935220742335009</v>
      </c>
      <c r="AI57" s="183">
        <f>IFERROR('Income Statement'!AI$8/AVERAGE('Invested Capital'!AH11:AI11),"NM")</f>
        <v>2.010042665705186</v>
      </c>
      <c r="AJ57" s="183">
        <f>IFERROR('Income Statement'!AJ$8/AVERAGE('Invested Capital'!AI11:AJ11),"NM")</f>
        <v>2.2295742552245446</v>
      </c>
      <c r="AK57" s="183">
        <f>IFERROR('Income Statement'!AK$8/AVERAGE('Invested Capital'!AJ11:AK11),"NM")</f>
        <v>2.1483669089400688</v>
      </c>
      <c r="AL57" s="684">
        <f t="shared" si="25"/>
        <v>8.8246323404791074</v>
      </c>
      <c r="AM57" s="697">
        <f>IFERROR('Income Statement'!AM$8/AVERAGE('Invested Capital'!AL11:AM11),"NM")</f>
        <v>2.1056125134299273</v>
      </c>
      <c r="AN57" s="183">
        <f>IFERROR('Income Statement'!AN$8/AVERAGE('Invested Capital'!AM11:AN11),"NM")</f>
        <v>2.2671584578022568</v>
      </c>
      <c r="AO57" s="183">
        <f>IFERROR('Income Statement'!AO$8/AVERAGE('Invested Capital'!AN11:AO11),"NM")</f>
        <v>2.2127240899501772</v>
      </c>
      <c r="AP57" s="183">
        <f>IFERROR('Income Statement'!AP$8/AVERAGE('Invested Capital'!AO11:AP11),"NM")</f>
        <v>2.1553010127187986</v>
      </c>
      <c r="AQ57" s="684">
        <f t="shared" si="26"/>
        <v>9.272502603037756</v>
      </c>
      <c r="AR57" s="697">
        <f>IFERROR('Income Statement'!AR$8/AVERAGE('Invested Capital'!AQ11:AR11),"NM")</f>
        <v>2.2073717488624567</v>
      </c>
      <c r="AS57" s="183">
        <f>IFERROR('Income Statement'!AS$8/AVERAGE('Invested Capital'!AR11:AS11),"NM")</f>
        <v>2.1947585719647629</v>
      </c>
      <c r="AT57" s="183">
        <f>IFERROR('Income Statement'!AT$8/AVERAGE('Invested Capital'!AS11:AT11),"NM")</f>
        <v>2.1065882043811639</v>
      </c>
      <c r="AU57" s="183">
        <f>IFERROR('Income Statement'!AU$8/AVERAGE('Invested Capital'!AT11:AU11),"NM")</f>
        <v>2.0953026117548927</v>
      </c>
      <c r="AV57" s="684">
        <f t="shared" si="27"/>
        <v>9.8474661456174921</v>
      </c>
      <c r="AW57" s="697">
        <f>IFERROR('Income Statement'!AW$8/AVERAGE('Invested Capital'!AV11:AW11),"NM")</f>
        <v>2.2573788111540387</v>
      </c>
      <c r="AX57" s="183">
        <f>IFERROR('Income Statement'!AX$8/AVERAGE('Invested Capital'!AW11:AX11),"NM")</f>
        <v>2.33695337680077</v>
      </c>
      <c r="AY57" s="183">
        <f>IFERROR('Income Statement'!AY$8/AVERAGE('Invested Capital'!AX11:AY11),"NM")</f>
        <v>2.4017190015042815</v>
      </c>
      <c r="AZ57" s="183">
        <f>IFERROR('Income Statement'!AZ$8/AVERAGE('Invested Capital'!AY11:AZ11),"NM")</f>
        <v>2.2841798924100098</v>
      </c>
      <c r="BA57" s="684">
        <f t="shared" si="28"/>
        <v>9.572103885404486</v>
      </c>
      <c r="BB57" s="697">
        <f>IFERROR('Income Statement'!BB$8/AVERAGE('Invested Capital'!BA11:BB11),"NM")</f>
        <v>2.2957189567333285</v>
      </c>
      <c r="BC57" s="183">
        <f>IFERROR('Income Statement'!BC$8/AVERAGE('Invested Capital'!BB11:BC11),"NM")</f>
        <v>2.2814781148326952</v>
      </c>
      <c r="BD57" s="183">
        <f>IFERROR('Income Statement'!BD$8/AVERAGE('Invested Capital'!BC11:BD11),"NM")</f>
        <v>2.2508178931500109</v>
      </c>
      <c r="BE57" s="183">
        <f>IFERROR('Income Statement'!BE$8/AVERAGE('Invested Capital'!BD11:BE11),"NM")</f>
        <v>2.17832418238243</v>
      </c>
      <c r="BF57" s="684">
        <f t="shared" si="29"/>
        <v>9.6697707057147149</v>
      </c>
      <c r="BG57" s="697">
        <f>IFERROR('Income Statement'!BG$8/AVERAGE('Invested Capital'!BF11:BG11),"NM")</f>
        <v>2.2984886649874059</v>
      </c>
      <c r="BH57" s="183">
        <f>IFERROR('Income Statement'!BH$8/AVERAGE('Invested Capital'!BG11:BH11),"NM")</f>
        <v>2.3457583547557839</v>
      </c>
      <c r="BI57" s="183">
        <f>IFERROR('Income Statement'!BI$8/AVERAGE('Invested Capital'!BH11:BI11),"NM")</f>
        <v>2.3639896373056994</v>
      </c>
      <c r="BJ57" s="183">
        <f>IFERROR('Income Statement'!BJ$8/AVERAGE('Invested Capital'!BI11:BJ11),"NM")</f>
        <v>2.3457583547557843</v>
      </c>
      <c r="BK57" s="684">
        <f t="shared" si="30"/>
        <v>9.5580736656078837</v>
      </c>
      <c r="BL57" s="697">
        <f>IFERROR('Income Statement'!BL$8/AVERAGE('Invested Capital'!BK11:BL11),"NM")</f>
        <v>2.2984886649874054</v>
      </c>
      <c r="BM57" s="183">
        <f>IFERROR('Income Statement'!BM$8/AVERAGE('Invested Capital'!BL11:BM11),"NM")</f>
        <v>2.3457583547557839</v>
      </c>
      <c r="BN57" s="183">
        <f>IFERROR('Income Statement'!BN$8/AVERAGE('Invested Capital'!BM11:BN11),"NM")</f>
        <v>2.3639896373056994</v>
      </c>
      <c r="BO57" s="183">
        <f>IFERROR('Income Statement'!BO$8/AVERAGE('Invested Capital'!BN11:BO11),"NM")</f>
        <v>2.3457583547557843</v>
      </c>
      <c r="BP57" s="684">
        <f t="shared" si="31"/>
        <v>9.523134116227487</v>
      </c>
      <c r="BQ57" s="697">
        <f>IFERROR('Income Statement'!BQ$8/AVERAGE('Invested Capital'!BP11:BQ11),"NM")</f>
        <v>2.2984886649874054</v>
      </c>
      <c r="BR57" s="183">
        <f>IFERROR('Income Statement'!BR$8/AVERAGE('Invested Capital'!BQ11:BR11),"NM")</f>
        <v>2.3457583547557843</v>
      </c>
      <c r="BS57" s="183">
        <f>IFERROR('Income Statement'!BS$8/AVERAGE('Invested Capital'!BR11:BS11),"NM")</f>
        <v>2.363989637305699</v>
      </c>
      <c r="BT57" s="183">
        <f>IFERROR('Income Statement'!BT$8/AVERAGE('Invested Capital'!BS11:BT11),"NM")</f>
        <v>2.3457583547557843</v>
      </c>
      <c r="BU57" s="684">
        <f t="shared" si="32"/>
        <v>8.8587759200183438</v>
      </c>
      <c r="BV57" s="697">
        <f>IFERROR('Income Statement'!BV$8/AVERAGE('Invested Capital'!BU11:BV11),"NM")</f>
        <v>2.2984886649874054</v>
      </c>
      <c r="BW57" s="183">
        <f>IFERROR('Income Statement'!BW$8/AVERAGE('Invested Capital'!BV11:BW11),"NM")</f>
        <v>2.3457583547557843</v>
      </c>
      <c r="BX57" s="183">
        <f>IFERROR('Income Statement'!BX$8/AVERAGE('Invested Capital'!BW11:BX11),"NM")</f>
        <v>2.3639896373056994</v>
      </c>
      <c r="BY57" s="183">
        <f>IFERROR('Income Statement'!BY$8/AVERAGE('Invested Capital'!BX11:BY11),"NM")</f>
        <v>2.3457583547557843</v>
      </c>
      <c r="BZ57" s="684">
        <f t="shared" si="33"/>
        <v>8.3299301094765479</v>
      </c>
    </row>
    <row r="58" spans="1:78" s="114" customFormat="1" ht="14.1" customHeight="1" x14ac:dyDescent="0.2">
      <c r="A58"/>
      <c r="B58"/>
      <c r="C58" s="683" t="str">
        <f>C12&amp;" Turns"</f>
        <v>Prepaid expenses Turns</v>
      </c>
      <c r="D58" s="183"/>
      <c r="E58" s="183">
        <f>IFERROR('Income Statement'!E$8/AVERAGE('Invested Capital'!D12:E12),"NM")</f>
        <v>57.208793109412291</v>
      </c>
      <c r="F58" s="183">
        <f>IFERROR('Income Statement'!F$8/AVERAGE('Invested Capital'!E12:F12),"NM")</f>
        <v>62.374020352236826</v>
      </c>
      <c r="G58" s="183">
        <f>IFERROR('Income Statement'!G$8/AVERAGE('Invested Capital'!F12:G12),"NM")</f>
        <v>63.811684787366275</v>
      </c>
      <c r="H58" s="183">
        <f>IFERROR('Income Statement'!H$8/AVERAGE('Invested Capital'!G12:H12),"NM")</f>
        <v>73.467747371800016</v>
      </c>
      <c r="I58" s="183">
        <f>IFERROR('Income Statement'!I$8/AVERAGE('Invested Capital'!H12:I12),"NM")</f>
        <v>100.729007702437</v>
      </c>
      <c r="J58" s="690">
        <f>IFERROR('Income Statement'!J$8/AVERAGE('Invested Capital'!I12:J12),"NM")</f>
        <v>104.45083645986261</v>
      </c>
      <c r="K58" s="183">
        <f>IFERROR('Income Statement'!K$8/AVERAGE('Invested Capital'!J12:K12),"NM")</f>
        <v>98.747346283229561</v>
      </c>
      <c r="L58" s="183">
        <f>IFERROR('Income Statement'!L$8/AVERAGE('Invested Capital'!K12:L12),"NM")</f>
        <v>94.868486165819277</v>
      </c>
      <c r="M58" s="183">
        <f>IFERROR('Income Statement'!M$8/AVERAGE('Invested Capital'!L12:M12),"NM")</f>
        <v>89.009352580279341</v>
      </c>
      <c r="N58" s="183">
        <f>IFERROR('Income Statement'!N$8/AVERAGE('Invested Capital'!M12:N12),"NM")</f>
        <v>86.869542751371327</v>
      </c>
      <c r="O58" s="684">
        <f>IFERROR('Income Statement'!O$8/AVERAGE('Invested Capital'!N12:O12),"NM")</f>
        <v>87.012728833575537</v>
      </c>
      <c r="R58" s="683" t="str">
        <f t="shared" si="22"/>
        <v>Prepaid expenses Turns</v>
      </c>
      <c r="T58" s="183">
        <f>IFERROR('Income Statement'!T$8/AVERAGE('Invested Capital'!S12:T12),"NM")</f>
        <v>10.988525495489968</v>
      </c>
      <c r="U58" s="183">
        <f>IFERROR('Income Statement'!U$8/AVERAGE('Invested Capital'!T12:U12),"NM")</f>
        <v>11.943839776177965</v>
      </c>
      <c r="V58" s="183">
        <f>IFERROR('Income Statement'!V$8/AVERAGE('Invested Capital'!U12:V12),"NM")</f>
        <v>13.182383053839366</v>
      </c>
      <c r="W58" s="694"/>
      <c r="X58" s="183">
        <f>IFERROR('Income Statement'!X$8/AVERAGE('Invested Capital'!W12:X12),"NM")</f>
        <v>12.606672336601568</v>
      </c>
      <c r="Y58" s="183">
        <f>IFERROR('Income Statement'!Y$8/AVERAGE('Invested Capital'!X12:Y12),"NM")</f>
        <v>13.208009858287124</v>
      </c>
      <c r="Z58" s="183">
        <f>IFERROR('Income Statement'!Z$8/AVERAGE('Invested Capital'!Y12:Z12),"NM")</f>
        <v>14.929642687996633</v>
      </c>
      <c r="AA58" s="183">
        <f>IFERROR('Income Statement'!AA$8/AVERAGE('Invested Capital'!Z12:AA12),"NM")</f>
        <v>14.599260615196862</v>
      </c>
      <c r="AB58" s="183">
        <f t="shared" si="23"/>
        <v>57.208793109412291</v>
      </c>
      <c r="AC58" s="697">
        <f>IFERROR('Income Statement'!AC$8/AVERAGE('Invested Capital'!AB12:AC12),"NM")</f>
        <v>11.989604321798801</v>
      </c>
      <c r="AD58" s="183">
        <f>IFERROR('Income Statement'!AD$8/AVERAGE('Invested Capital'!AC12:AD12),"NM")</f>
        <v>12.759094594780313</v>
      </c>
      <c r="AE58" s="183">
        <f>IFERROR('Income Statement'!AE$8/AVERAGE('Invested Capital'!AD12:AE12),"NM")</f>
        <v>14.3098544267098</v>
      </c>
      <c r="AF58" s="183">
        <f>IFERROR('Income Statement'!AF$8/AVERAGE('Invested Capital'!AE12:AF12),"NM")</f>
        <v>14.913494227338511</v>
      </c>
      <c r="AG58" s="684">
        <f t="shared" si="24"/>
        <v>62.374020352236826</v>
      </c>
      <c r="AH58" s="697">
        <f>IFERROR('Income Statement'!AH$8/AVERAGE('Invested Capital'!AG12:AH12),"NM")</f>
        <v>12.885418621097752</v>
      </c>
      <c r="AI58" s="183">
        <f>IFERROR('Income Statement'!AI$8/AVERAGE('Invested Capital'!AH12:AI12),"NM")</f>
        <v>11.05463679027034</v>
      </c>
      <c r="AJ58" s="183">
        <f>IFERROR('Income Statement'!AJ$8/AVERAGE('Invested Capital'!AI12:AJ12),"NM")</f>
        <v>15.514930784974137</v>
      </c>
      <c r="AK58" s="183">
        <f>IFERROR('Income Statement'!AK$8/AVERAGE('Invested Capital'!AJ12:AK12),"NM")</f>
        <v>16.612579318039185</v>
      </c>
      <c r="AL58" s="684">
        <f t="shared" si="25"/>
        <v>63.811684787366275</v>
      </c>
      <c r="AM58" s="697">
        <f>IFERROR('Income Statement'!AM$8/AVERAGE('Invested Capital'!AL12:AM12),"NM")</f>
        <v>11.871396515149659</v>
      </c>
      <c r="AN58" s="183">
        <f>IFERROR('Income Statement'!AN$8/AVERAGE('Invested Capital'!AM12:AN12),"NM")</f>
        <v>12.630330496297114</v>
      </c>
      <c r="AO58" s="183">
        <f>IFERROR('Income Statement'!AO$8/AVERAGE('Invested Capital'!AN12:AO12),"NM")</f>
        <v>17.271837993132927</v>
      </c>
      <c r="AP58" s="183">
        <f>IFERROR('Income Statement'!AP$8/AVERAGE('Invested Capital'!AO12:AP12),"NM")</f>
        <v>18.711615143199364</v>
      </c>
      <c r="AQ58" s="684">
        <f t="shared" si="26"/>
        <v>73.467747371800016</v>
      </c>
      <c r="AR58" s="697">
        <f>IFERROR('Income Statement'!AR$8/AVERAGE('Invested Capital'!AQ12:AR12),"NM")</f>
        <v>16.549017644850458</v>
      </c>
      <c r="AS58" s="183">
        <f>IFERROR('Income Statement'!AS$8/AVERAGE('Invested Capital'!AR12:AS12),"NM")</f>
        <v>18.865471476106734</v>
      </c>
      <c r="AT58" s="183">
        <f>IFERROR('Income Statement'!AT$8/AVERAGE('Invested Capital'!AS12:AT12),"NM")</f>
        <v>16.934241678659305</v>
      </c>
      <c r="AU58" s="183">
        <f>IFERROR('Income Statement'!AU$8/AVERAGE('Invested Capital'!AT12:AU12),"NM")</f>
        <v>17.110061580210825</v>
      </c>
      <c r="AV58" s="684">
        <f t="shared" si="27"/>
        <v>100.729007702437</v>
      </c>
      <c r="AW58" s="697">
        <f>IFERROR('Income Statement'!AW$8/AVERAGE('Invested Capital'!AV12:AW12),"NM")</f>
        <v>21.600228907782864</v>
      </c>
      <c r="AX58" s="183">
        <f>IFERROR('Income Statement'!AX$8/AVERAGE('Invested Capital'!AW12:AX12),"NM")</f>
        <v>18.486280771789751</v>
      </c>
      <c r="AY58" s="183">
        <f>IFERROR('Income Statement'!AY$8/AVERAGE('Invested Capital'!AX12:AY12),"NM")</f>
        <v>23.850584615384616</v>
      </c>
      <c r="AZ58" s="183">
        <f>IFERROR('Income Statement'!AZ$8/AVERAGE('Invested Capital'!AY12:AZ12),"NM")</f>
        <v>24.573699965648668</v>
      </c>
      <c r="BA58" s="684">
        <f t="shared" si="28"/>
        <v>104.45083645986261</v>
      </c>
      <c r="BB58" s="697">
        <f>IFERROR('Income Statement'!BB$8/AVERAGE('Invested Capital'!BA12:BB12),"NM")</f>
        <v>17.996757233634163</v>
      </c>
      <c r="BC58" s="183">
        <f>IFERROR('Income Statement'!BC$8/AVERAGE('Invested Capital'!BB12:BC12),"NM")</f>
        <v>17.517134254678542</v>
      </c>
      <c r="BD58" s="183">
        <f>IFERROR('Income Statement'!BD$8/AVERAGE('Invested Capital'!BC12:BD12),"NM")</f>
        <v>21.452667244102507</v>
      </c>
      <c r="BE58" s="183">
        <f>IFERROR('Income Statement'!BE$8/AVERAGE('Invested Capital'!BD12:BE12),"NM")</f>
        <v>23.173227131909783</v>
      </c>
      <c r="BF58" s="684">
        <f t="shared" si="29"/>
        <v>98.747346283229561</v>
      </c>
      <c r="BG58" s="697">
        <f>IFERROR('Income Statement'!BG$8/AVERAGE('Invested Capital'!BF12:BG12),"NM")</f>
        <v>17.25499232848945</v>
      </c>
      <c r="BH58" s="183">
        <f>IFERROR('Income Statement'!BH$8/AVERAGE('Invested Capital'!BG12:BH12),"NM")</f>
        <v>14.881105848693185</v>
      </c>
      <c r="BI58" s="183">
        <f>IFERROR('Income Statement'!BI$8/AVERAGE('Invested Capital'!BH12:BI12),"NM")</f>
        <v>18.058945227337066</v>
      </c>
      <c r="BJ58" s="183">
        <f>IFERROR('Income Statement'!BJ$8/AVERAGE('Invested Capital'!BI12:BJ12),"NM")</f>
        <v>20.933777346233704</v>
      </c>
      <c r="BK58" s="684">
        <f t="shared" si="30"/>
        <v>94.868486165819277</v>
      </c>
      <c r="BL58" s="697">
        <f>IFERROR('Income Statement'!BL$8/AVERAGE('Invested Capital'!BK12:BL12),"NM")</f>
        <v>20.126571483307096</v>
      </c>
      <c r="BM58" s="183">
        <f>IFERROR('Income Statement'!BM$8/AVERAGE('Invested Capital'!BL12:BM12),"NM")</f>
        <v>19.123536061202373</v>
      </c>
      <c r="BN58" s="183">
        <f>IFERROR('Income Statement'!BN$8/AVERAGE('Invested Capital'!BM12:BN12),"NM")</f>
        <v>20.082901434813209</v>
      </c>
      <c r="BO58" s="183">
        <f>IFERROR('Income Statement'!BO$8/AVERAGE('Invested Capital'!BN12:BO12),"NM")</f>
        <v>21.88691527354905</v>
      </c>
      <c r="BP58" s="684">
        <f t="shared" si="31"/>
        <v>89.009352580279341</v>
      </c>
      <c r="BQ58" s="697">
        <f>IFERROR('Income Statement'!BQ$8/AVERAGE('Invested Capital'!BP12:BQ12),"NM")</f>
        <v>19.591063548794441</v>
      </c>
      <c r="BR58" s="183">
        <f>IFERROR('Income Statement'!BR$8/AVERAGE('Invested Capital'!BQ12:BR12),"NM")</f>
        <v>19.157298531687026</v>
      </c>
      <c r="BS58" s="183">
        <f>IFERROR('Income Statement'!BS$8/AVERAGE('Invested Capital'!BR12:BS12),"NM")</f>
        <v>20.137879017742822</v>
      </c>
      <c r="BT58" s="183">
        <f>IFERROR('Income Statement'!BT$8/AVERAGE('Invested Capital'!BS12:BT12),"NM")</f>
        <v>21.798171423570839</v>
      </c>
      <c r="BU58" s="684">
        <f t="shared" si="32"/>
        <v>86.869542751371327</v>
      </c>
      <c r="BV58" s="697">
        <f>IFERROR('Income Statement'!BV$8/AVERAGE('Invested Capital'!BU12:BV12),"NM")</f>
        <v>19.531413168877087</v>
      </c>
      <c r="BW58" s="183">
        <f>IFERROR('Income Statement'!BW$8/AVERAGE('Invested Capital'!BV12:BW12),"NM")</f>
        <v>19.216932867483777</v>
      </c>
      <c r="BX58" s="183">
        <f>IFERROR('Income Statement'!BX$8/AVERAGE('Invested Capital'!BW12:BX12),"NM")</f>
        <v>20.110086893616536</v>
      </c>
      <c r="BY58" s="183">
        <f>IFERROR('Income Statement'!BY$8/AVERAGE('Invested Capital'!BX12:BY12),"NM")</f>
        <v>21.675589463307571</v>
      </c>
      <c r="BZ58" s="684">
        <f t="shared" si="33"/>
        <v>87.012728833575537</v>
      </c>
    </row>
    <row r="59" spans="1:78" s="114" customFormat="1" ht="14.1" customHeight="1" x14ac:dyDescent="0.2">
      <c r="A59"/>
      <c r="B59"/>
      <c r="C59" s="683" t="str">
        <f>C13&amp;" Turns"</f>
        <v>Income tax receivable Turns</v>
      </c>
      <c r="D59" s="183"/>
      <c r="E59" s="183" t="str">
        <f>IFERROR('Income Statement'!E$8/AVERAGE('Invested Capital'!D13:E13),"NM")</f>
        <v>NM</v>
      </c>
      <c r="F59" s="183">
        <f>IFERROR('Income Statement'!F$8/AVERAGE('Invested Capital'!E13:F13),"NM")</f>
        <v>431.16192084942082</v>
      </c>
      <c r="G59" s="183">
        <f>IFERROR('Income Statement'!G$8/AVERAGE('Invested Capital'!F13:G13),"NM")</f>
        <v>434.72471374045801</v>
      </c>
      <c r="H59" s="183">
        <f>IFERROR('Income Statement'!H$8/AVERAGE('Invested Capital'!G13:H13),"NM")</f>
        <v>47681.333333333336</v>
      </c>
      <c r="I59" s="183">
        <f>IFERROR('Income Statement'!I$8/AVERAGE('Invested Capital'!H13:I13),"NM")</f>
        <v>238.25044799044286</v>
      </c>
      <c r="J59" s="690">
        <f>IFERROR('Income Statement'!J$8/AVERAGE('Invested Capital'!I13:J13),"NM")</f>
        <v>245.87703728987117</v>
      </c>
      <c r="K59" s="183">
        <f>IFERROR('Income Statement'!K$8/AVERAGE('Invested Capital'!J13:K13),"NM")</f>
        <v>813.47979679714547</v>
      </c>
      <c r="L59" s="183">
        <f>IFERROR('Income Statement'!L$8/AVERAGE('Invested Capital'!K13:L13),"NM")</f>
        <v>447.92925274399681</v>
      </c>
      <c r="M59" s="183">
        <f>IFERROR('Income Statement'!M$8/AVERAGE('Invested Capital'!L13:M13),"NM")</f>
        <v>469.37471858580778</v>
      </c>
      <c r="N59" s="183">
        <f>IFERROR('Income Statement'!N$8/AVERAGE('Invested Capital'!M13:N13),"NM")</f>
        <v>453.65205659049474</v>
      </c>
      <c r="O59" s="684">
        <f>IFERROR('Income Statement'!O$8/AVERAGE('Invested Capital'!N13:O13),"NM")</f>
        <v>454.39980613089455</v>
      </c>
      <c r="R59" s="683" t="str">
        <f t="shared" si="22"/>
        <v>Income tax receivable Turns</v>
      </c>
      <c r="T59" s="183" t="str">
        <f>IFERROR('Income Statement'!T$8/AVERAGE('Invested Capital'!S13:T13),"NM")</f>
        <v>NM</v>
      </c>
      <c r="U59" s="183" t="str">
        <f>IFERROR('Income Statement'!U$8/AVERAGE('Invested Capital'!T13:U13),"NM")</f>
        <v>NM</v>
      </c>
      <c r="V59" s="183" t="str">
        <f>IFERROR('Income Statement'!V$8/AVERAGE('Invested Capital'!U13:V13),"NM")</f>
        <v>NM</v>
      </c>
      <c r="W59" s="694"/>
      <c r="X59" s="183" t="str">
        <f>IFERROR('Income Statement'!X$8/AVERAGE('Invested Capital'!W13:X13),"NM")</f>
        <v>NM</v>
      </c>
      <c r="Y59" s="183" t="str">
        <f>IFERROR('Income Statement'!Y$8/AVERAGE('Invested Capital'!X13:Y13),"NM")</f>
        <v>NM</v>
      </c>
      <c r="Z59" s="183" t="str">
        <f>IFERROR('Income Statement'!Z$8/AVERAGE('Invested Capital'!Y13:Z13),"NM")</f>
        <v>NM</v>
      </c>
      <c r="AA59" s="183" t="str">
        <f>IFERROR('Income Statement'!AA$8/AVERAGE('Invested Capital'!Z13:AA13),"NM")</f>
        <v>NM</v>
      </c>
      <c r="AB59" s="183" t="str">
        <f t="shared" si="23"/>
        <v>NM</v>
      </c>
      <c r="AC59" s="697" t="str">
        <f>IFERROR('Income Statement'!AC$8/AVERAGE('Invested Capital'!AB13:AC13),"NM")</f>
        <v>NM</v>
      </c>
      <c r="AD59" s="183" t="str">
        <f>IFERROR('Income Statement'!AD$8/AVERAGE('Invested Capital'!AC13:AD13),"NM")</f>
        <v>NM</v>
      </c>
      <c r="AE59" s="183" t="str">
        <f>IFERROR('Income Statement'!AE$8/AVERAGE('Invested Capital'!AD13:AE13),"NM")</f>
        <v>NM</v>
      </c>
      <c r="AF59" s="183">
        <f>IFERROR('Income Statement'!AF$8/AVERAGE('Invested Capital'!AE13:AF13),"NM")</f>
        <v>106.91722972972968</v>
      </c>
      <c r="AG59" s="684">
        <f t="shared" si="24"/>
        <v>431.16192084942082</v>
      </c>
      <c r="AH59" s="697">
        <f>IFERROR('Income Statement'!AH$8/AVERAGE('Invested Capital'!AG13:AH13),"NM")</f>
        <v>60.201753202966962</v>
      </c>
      <c r="AI59" s="183">
        <f>IFERROR('Income Statement'!AI$8/AVERAGE('Invested Capital'!AH13:AI13),"NM")</f>
        <v>108.71398855954237</v>
      </c>
      <c r="AJ59" s="183">
        <f>IFERROR('Income Statement'!AJ$8/AVERAGE('Invested Capital'!AI13:AJ13),"NM")</f>
        <v>837.17217391304359</v>
      </c>
      <c r="AK59" s="183">
        <f>IFERROR('Income Statement'!AK$8/AVERAGE('Invested Capital'!AJ13:AK13),"NM")</f>
        <v>9926.7083333333321</v>
      </c>
      <c r="AL59" s="684">
        <f t="shared" si="25"/>
        <v>434.72471374045801</v>
      </c>
      <c r="AM59" s="697">
        <f>IFERROR('Income Statement'!AM$8/AVERAGE('Invested Capital'!AL13:AM13),"NM")</f>
        <v>10084.875</v>
      </c>
      <c r="AN59" s="183">
        <f>IFERROR('Income Statement'!AN$8/AVERAGE('Invested Capital'!AM13:AN13),"NM")</f>
        <v>715.06007509386723</v>
      </c>
      <c r="AO59" s="183">
        <f>IFERROR('Income Statement'!AO$8/AVERAGE('Invested Capital'!AN13:AO13),"NM")</f>
        <v>771.23404255319144</v>
      </c>
      <c r="AP59" s="183" t="str">
        <f>IFERROR('Income Statement'!AP$8/AVERAGE('Invested Capital'!AO13:AP13),"NM")</f>
        <v>NM</v>
      </c>
      <c r="AQ59" s="684">
        <f t="shared" si="26"/>
        <v>47681.333333333336</v>
      </c>
      <c r="AR59" s="697" t="str">
        <f>IFERROR('Income Statement'!AR$8/AVERAGE('Invested Capital'!AQ13:AR13),"NM")</f>
        <v>NM</v>
      </c>
      <c r="AS59" s="183">
        <f>IFERROR('Income Statement'!AS$8/AVERAGE('Invested Capital'!AR13:AS13),"NM")</f>
        <v>158.42626434339141</v>
      </c>
      <c r="AT59" s="183">
        <f>IFERROR('Income Statement'!AT$8/AVERAGE('Invested Capital'!AS13:AT13),"NM")</f>
        <v>68.596774951812321</v>
      </c>
      <c r="AU59" s="183">
        <f>IFERROR('Income Statement'!AU$8/AVERAGE('Invested Capital'!AT13:AU13),"NM")</f>
        <v>37.154772360257226</v>
      </c>
      <c r="AV59" s="684">
        <f t="shared" si="27"/>
        <v>238.25044799044286</v>
      </c>
      <c r="AW59" s="697">
        <f>IFERROR('Income Statement'!AW$8/AVERAGE('Invested Capital'!AV13:AW13),"NM")</f>
        <v>44.288108887324412</v>
      </c>
      <c r="AX59" s="183">
        <f>IFERROR('Income Statement'!AX$8/AVERAGE('Invested Capital'!AW13:AX13),"NM")</f>
        <v>177.35784501468146</v>
      </c>
      <c r="AY59" s="183">
        <f>IFERROR('Income Statement'!AY$8/AVERAGE('Invested Capital'!AX13:AY13),"NM")</f>
        <v>97.649785840262041</v>
      </c>
      <c r="AZ59" s="183">
        <f>IFERROR('Income Statement'!AZ$8/AVERAGE('Invested Capital'!AY13:AZ13),"NM")</f>
        <v>104.07814881529723</v>
      </c>
      <c r="BA59" s="684">
        <f t="shared" si="28"/>
        <v>245.87703728987117</v>
      </c>
      <c r="BB59" s="697" t="str">
        <f>IFERROR('Income Statement'!BB$8/AVERAGE('Invested Capital'!BA13:BB13),"NM")</f>
        <v>NM</v>
      </c>
      <c r="BC59" s="183">
        <f>IFERROR('Income Statement'!BC$8/AVERAGE('Invested Capital'!BB13:BC13),"NM")</f>
        <v>229.79595254710398</v>
      </c>
      <c r="BD59" s="183">
        <f>IFERROR('Income Statement'!BD$8/AVERAGE('Invested Capital'!BC13:BD13),"NM")</f>
        <v>108.70052923712404</v>
      </c>
      <c r="BE59" s="183">
        <f>IFERROR('Income Statement'!BE$8/AVERAGE('Invested Capital'!BD13:BE13),"NM")</f>
        <v>97.292146041394872</v>
      </c>
      <c r="BF59" s="684">
        <f t="shared" si="29"/>
        <v>813.47979679714547</v>
      </c>
      <c r="BG59" s="697">
        <f>IFERROR('Income Statement'!BG$8/AVERAGE('Invested Capital'!BF13:BG13),"NM")</f>
        <v>190.66005731812422</v>
      </c>
      <c r="BH59" s="183">
        <f>IFERROR('Income Statement'!BH$8/AVERAGE('Invested Capital'!BG13:BH13),"NM")</f>
        <v>407.84048011188156</v>
      </c>
      <c r="BI59" s="183">
        <f>IFERROR('Income Statement'!BI$8/AVERAGE('Invested Capital'!BH13:BI13),"NM")</f>
        <v>166.71088335223482</v>
      </c>
      <c r="BJ59" s="183">
        <f>IFERROR('Income Statement'!BJ$8/AVERAGE('Invested Capital'!BI13:BJ13),"NM")</f>
        <v>115.82306790025328</v>
      </c>
      <c r="BK59" s="684">
        <f t="shared" si="30"/>
        <v>447.92925274399681</v>
      </c>
      <c r="BL59" s="697">
        <f>IFERROR('Income Statement'!BL$8/AVERAGE('Invested Capital'!BK13:BL13),"NM")</f>
        <v>210.36941419160453</v>
      </c>
      <c r="BM59" s="183">
        <f>IFERROR('Income Statement'!BM$8/AVERAGE('Invested Capital'!BL13:BM13),"NM")</f>
        <v>408.18923020909017</v>
      </c>
      <c r="BN59" s="183">
        <f>IFERROR('Income Statement'!BN$8/AVERAGE('Invested Capital'!BM13:BN13),"NM")</f>
        <v>125.23078026012129</v>
      </c>
      <c r="BO59" s="183">
        <f>IFERROR('Income Statement'!BO$8/AVERAGE('Invested Capital'!BN13:BO13),"NM")</f>
        <v>94.771869873310592</v>
      </c>
      <c r="BP59" s="684">
        <f t="shared" si="31"/>
        <v>469.37471858580778</v>
      </c>
      <c r="BQ59" s="697">
        <f>IFERROR('Income Statement'!BQ$8/AVERAGE('Invested Capital'!BP13:BQ13),"NM")</f>
        <v>195.92057528741134</v>
      </c>
      <c r="BR59" s="183">
        <f>IFERROR('Income Statement'!BR$8/AVERAGE('Invested Capital'!BQ13:BR13),"NM")</f>
        <v>408.47378357143845</v>
      </c>
      <c r="BS59" s="183">
        <f>IFERROR('Income Statement'!BS$8/AVERAGE('Invested Capital'!BR13:BS13),"NM")</f>
        <v>125.38324450695083</v>
      </c>
      <c r="BT59" s="183">
        <f>IFERROR('Income Statement'!BT$8/AVERAGE('Invested Capital'!BS13:BT13),"NM")</f>
        <v>94.318410755409332</v>
      </c>
      <c r="BU59" s="684">
        <f t="shared" si="32"/>
        <v>453.65205659049474</v>
      </c>
      <c r="BV59" s="697">
        <f>IFERROR('Income Statement'!BV$8/AVERAGE('Invested Capital'!BU13:BV13),"NM")</f>
        <v>194.78139175858897</v>
      </c>
      <c r="BW59" s="183">
        <f>IFERROR('Income Statement'!BW$8/AVERAGE('Invested Capital'!BV13:BW13),"NM")</f>
        <v>408.97490749648961</v>
      </c>
      <c r="BX59" s="183">
        <f>IFERROR('Income Statement'!BX$8/AVERAGE('Invested Capital'!BW13:BX13),"NM")</f>
        <v>125.3062289971266</v>
      </c>
      <c r="BY59" s="183">
        <f>IFERROR('Income Statement'!BY$8/AVERAGE('Invested Capital'!BX13:BY13),"NM")</f>
        <v>93.69313956692902</v>
      </c>
      <c r="BZ59" s="684">
        <f t="shared" si="33"/>
        <v>454.39980613089455</v>
      </c>
    </row>
    <row r="60" spans="1:78" s="114" customFormat="1" ht="14.1" customHeight="1" x14ac:dyDescent="0.2">
      <c r="A60"/>
      <c r="B60"/>
      <c r="C60" s="683" t="str">
        <f>C14&amp;" Turns"</f>
        <v>Other current assets Turns</v>
      </c>
      <c r="D60" s="183"/>
      <c r="E60" s="183" t="str">
        <f>IFERROR('Income Statement'!E$8/AVERAGE('Invested Capital'!D14:E14),"NM")</f>
        <v>NM</v>
      </c>
      <c r="F60" s="183" t="str">
        <f>IFERROR('Income Statement'!F$8/AVERAGE('Invested Capital'!E14:F14),"NM")</f>
        <v>NM</v>
      </c>
      <c r="G60" s="183" t="str">
        <f>IFERROR('Income Statement'!G$8/AVERAGE('Invested Capital'!F14:G14),"NM")</f>
        <v>NM</v>
      </c>
      <c r="H60" s="183" t="str">
        <f>IFERROR('Income Statement'!H$8/AVERAGE('Invested Capital'!G14:H14),"NM")</f>
        <v>NM</v>
      </c>
      <c r="I60" s="183">
        <f>IFERROR('Income Statement'!I$8/AVERAGE('Invested Capital'!H14:I14),"NM")</f>
        <v>772.67386190673858</v>
      </c>
      <c r="J60" s="690">
        <f>IFERROR('Income Statement'!J$8/AVERAGE('Invested Capital'!I14:J14),"NM")</f>
        <v>376.26442935492292</v>
      </c>
      <c r="K60" s="183">
        <f>IFERROR('Income Statement'!K$8/AVERAGE('Invested Capital'!J14:K14),"NM")</f>
        <v>458.23511482804588</v>
      </c>
      <c r="L60" s="183">
        <f>IFERROR('Income Statement'!L$8/AVERAGE('Invested Capital'!K14:L14),"NM")</f>
        <v>586.29515982968746</v>
      </c>
      <c r="M60" s="183">
        <f>IFERROR('Income Statement'!M$8/AVERAGE('Invested Capital'!L14:M14),"NM")</f>
        <v>872.89667354464871</v>
      </c>
      <c r="N60" s="183">
        <f>IFERROR('Income Statement'!N$8/AVERAGE('Invested Capital'!M14:N14),"NM")</f>
        <v>1360.9561697714842</v>
      </c>
      <c r="O60" s="684">
        <f>IFERROR('Income Statement'!O$8/AVERAGE('Invested Capital'!N14:O14),"NM")</f>
        <v>1363.1994183926834</v>
      </c>
      <c r="P60" s="183"/>
      <c r="R60" s="683" t="str">
        <f t="shared" si="22"/>
        <v>Other current assets Turns</v>
      </c>
      <c r="T60" s="183" t="str">
        <f>IFERROR('Income Statement'!T$8/AVERAGE('Invested Capital'!S14:T14),"NM")</f>
        <v>NM</v>
      </c>
      <c r="U60" s="183" t="str">
        <f>IFERROR('Income Statement'!U$8/AVERAGE('Invested Capital'!T14:U14),"NM")</f>
        <v>NM</v>
      </c>
      <c r="V60" s="183" t="str">
        <f>IFERROR('Income Statement'!V$8/AVERAGE('Invested Capital'!U14:V14),"NM")</f>
        <v>NM</v>
      </c>
      <c r="W60" s="694"/>
      <c r="X60" s="183" t="str">
        <f>IFERROR('Income Statement'!X$8/AVERAGE('Invested Capital'!W14:X14),"NM")</f>
        <v>NM</v>
      </c>
      <c r="Y60" s="183" t="str">
        <f>IFERROR('Income Statement'!Y$8/AVERAGE('Invested Capital'!X14:Y14),"NM")</f>
        <v>NM</v>
      </c>
      <c r="Z60" s="183" t="str">
        <f>IFERROR('Income Statement'!Z$8/AVERAGE('Invested Capital'!Y14:Z14),"NM")</f>
        <v>NM</v>
      </c>
      <c r="AA60" s="183" t="str">
        <f>IFERROR('Income Statement'!AA$8/AVERAGE('Invested Capital'!Z14:AA14),"NM")</f>
        <v>NM</v>
      </c>
      <c r="AB60" s="183" t="str">
        <f t="shared" si="23"/>
        <v>NM</v>
      </c>
      <c r="AC60" s="697" t="str">
        <f>IFERROR('Income Statement'!AC$8/AVERAGE('Invested Capital'!AB14:AC14),"NM")</f>
        <v>NM</v>
      </c>
      <c r="AD60" s="183" t="str">
        <f>IFERROR('Income Statement'!AD$8/AVERAGE('Invested Capital'!AC14:AD14),"NM")</f>
        <v>NM</v>
      </c>
      <c r="AE60" s="183" t="str">
        <f>IFERROR('Income Statement'!AE$8/AVERAGE('Invested Capital'!AD14:AE14),"NM")</f>
        <v>NM</v>
      </c>
      <c r="AF60" s="183" t="str">
        <f>IFERROR('Income Statement'!AF$8/AVERAGE('Invested Capital'!AE14:AF14),"NM")</f>
        <v>NM</v>
      </c>
      <c r="AG60" s="684" t="str">
        <f t="shared" si="24"/>
        <v>NM</v>
      </c>
      <c r="AH60" s="697" t="str">
        <f>IFERROR('Income Statement'!AH$8/AVERAGE('Invested Capital'!AG14:AH14),"NM")</f>
        <v>NM</v>
      </c>
      <c r="AI60" s="183" t="str">
        <f>IFERROR('Income Statement'!AI$8/AVERAGE('Invested Capital'!AH14:AI14),"NM")</f>
        <v>NM</v>
      </c>
      <c r="AJ60" s="183" t="str">
        <f>IFERROR('Income Statement'!AJ$8/AVERAGE('Invested Capital'!AI14:AJ14),"NM")</f>
        <v>NM</v>
      </c>
      <c r="AK60" s="183" t="str">
        <f>IFERROR('Income Statement'!AK$8/AVERAGE('Invested Capital'!AJ14:AK14),"NM")</f>
        <v>NM</v>
      </c>
      <c r="AL60" s="684" t="str">
        <f t="shared" si="25"/>
        <v>NM</v>
      </c>
      <c r="AM60" s="697" t="str">
        <f>IFERROR('Income Statement'!AM$8/AVERAGE('Invested Capital'!AL14:AM14),"NM")</f>
        <v>NM</v>
      </c>
      <c r="AN60" s="183" t="str">
        <f>IFERROR('Income Statement'!AN$8/AVERAGE('Invested Capital'!AM14:AN14),"NM")</f>
        <v>NM</v>
      </c>
      <c r="AO60" s="183" t="str">
        <f>IFERROR('Income Statement'!AO$8/AVERAGE('Invested Capital'!AN14:AO14),"NM")</f>
        <v>NM</v>
      </c>
      <c r="AP60" s="183" t="str">
        <f>IFERROR('Income Statement'!AP$8/AVERAGE('Invested Capital'!AO14:AP14),"NM")</f>
        <v>NM</v>
      </c>
      <c r="AQ60" s="684" t="str">
        <f t="shared" si="26"/>
        <v>NM</v>
      </c>
      <c r="AR60" s="697" t="str">
        <f>IFERROR('Income Statement'!AR$8/AVERAGE('Invested Capital'!AQ14:AR14),"NM")</f>
        <v>NM</v>
      </c>
      <c r="AS60" s="183" t="str">
        <f>IFERROR('Income Statement'!AS$8/AVERAGE('Invested Capital'!AR14:AS14),"NM")</f>
        <v>NM</v>
      </c>
      <c r="AT60" s="183" t="str">
        <f>IFERROR('Income Statement'!AT$8/AVERAGE('Invested Capital'!AS14:AT14),"NM")</f>
        <v>NM</v>
      </c>
      <c r="AU60" s="183">
        <f>IFERROR('Income Statement'!AU$8/AVERAGE('Invested Capital'!AT14:AU14),"NM")</f>
        <v>181.46561505465604</v>
      </c>
      <c r="AV60" s="684">
        <f t="shared" si="27"/>
        <v>772.67386190673858</v>
      </c>
      <c r="AW60" s="697">
        <f>IFERROR('Income Statement'!AW$8/AVERAGE('Invested Capital'!AV14:AW14),"NM")</f>
        <v>91.913309677868213</v>
      </c>
      <c r="AX60" s="183">
        <f>IFERROR('Income Statement'!AX$8/AVERAGE('Invested Capital'!AW14:AX14),"NM")</f>
        <v>102.83079200592154</v>
      </c>
      <c r="AY60" s="183">
        <f>IFERROR('Income Statement'!AY$8/AVERAGE('Invested Capital'!AX14:AY14),"NM")</f>
        <v>112.04741254697889</v>
      </c>
      <c r="AZ60" s="183">
        <f>IFERROR('Income Statement'!AZ$8/AVERAGE('Invested Capital'!AY14:AZ14),"NM")</f>
        <v>96.540325171904129</v>
      </c>
      <c r="BA60" s="684">
        <f t="shared" si="28"/>
        <v>376.26442935492292</v>
      </c>
      <c r="BB60" s="697">
        <f>IFERROR('Income Statement'!BB$8/AVERAGE('Invested Capital'!BA14:BB14),"NM")</f>
        <v>100.62325023330222</v>
      </c>
      <c r="BC60" s="183">
        <f>IFERROR('Income Statement'!BC$8/AVERAGE('Invested Capital'!BB14:BC14),"NM")</f>
        <v>102.84122423485323</v>
      </c>
      <c r="BD60" s="183">
        <f>IFERROR('Income Statement'!BD$8/AVERAGE('Invested Capital'!BC14:BD14),"NM")</f>
        <v>108.18383864337102</v>
      </c>
      <c r="BE60" s="183">
        <f>IFERROR('Income Statement'!BE$8/AVERAGE('Invested Capital'!BD14:BE14),"NM")</f>
        <v>127.37466168451307</v>
      </c>
      <c r="BF60" s="684">
        <f t="shared" si="29"/>
        <v>458.23511482804588</v>
      </c>
      <c r="BG60" s="697">
        <f>IFERROR('Income Statement'!BG$8/AVERAGE('Invested Capital'!BF14:BG14),"NM")</f>
        <v>124.08945033429123</v>
      </c>
      <c r="BH60" s="183">
        <f>IFERROR('Income Statement'!BH$8/AVERAGE('Invested Capital'!BG14:BH14),"NM")</f>
        <v>104.52104238449785</v>
      </c>
      <c r="BI60" s="183">
        <f>IFERROR('Income Statement'!BI$8/AVERAGE('Invested Capital'!BH14:BI14),"NM")</f>
        <v>105.31167100012907</v>
      </c>
      <c r="BJ60" s="183">
        <f>IFERROR('Income Statement'!BJ$8/AVERAGE('Invested Capital'!BI14:BJ14),"NM")</f>
        <v>130.99535137746267</v>
      </c>
      <c r="BK60" s="684">
        <f t="shared" si="30"/>
        <v>586.29515982968746</v>
      </c>
      <c r="BL60" s="697">
        <f>IFERROR('Income Statement'!BL$8/AVERAGE('Invested Capital'!BK14:BL14),"NM")</f>
        <v>128.06866916185334</v>
      </c>
      <c r="BM60" s="183">
        <f>IFERROR('Income Statement'!BM$8/AVERAGE('Invested Capital'!BL14:BM14),"NM")</f>
        <v>104.72742310544533</v>
      </c>
      <c r="BN60" s="183">
        <f>IFERROR('Income Statement'!BN$8/AVERAGE('Invested Capital'!BM14:BN14),"NM")</f>
        <v>105.71430732793041</v>
      </c>
      <c r="BO60" s="183">
        <f>IFERROR('Income Statement'!BO$8/AVERAGE('Invested Capital'!BN14:BO14),"NM")</f>
        <v>180.6868801755401</v>
      </c>
      <c r="BP60" s="684">
        <f t="shared" si="31"/>
        <v>872.89667354464871</v>
      </c>
      <c r="BQ60" s="697">
        <f>IFERROR('Income Statement'!BQ$8/AVERAGE('Invested Capital'!BP14:BQ14),"NM")</f>
        <v>165.7082365107085</v>
      </c>
      <c r="BR60" s="183">
        <f>IFERROR('Income Statement'!BR$8/AVERAGE('Invested Capital'!BQ14:BR14),"NM")</f>
        <v>104.89615628612336</v>
      </c>
      <c r="BS60" s="183">
        <f>IFERROR('Income Statement'!BS$8/AVERAGE('Invested Capital'!BR14:BS14),"NM")</f>
        <v>106.01356502118644</v>
      </c>
      <c r="BT60" s="183">
        <f>IFERROR('Income Statement'!BT$8/AVERAGE('Invested Capital'!BS14:BT14),"NM")</f>
        <v>179.58944623767172</v>
      </c>
      <c r="BU60" s="684">
        <f t="shared" si="32"/>
        <v>1360.9561697714842</v>
      </c>
      <c r="BV60" s="697">
        <f>IFERROR('Income Statement'!BV$8/AVERAGE('Invested Capital'!BU14:BV14),"NM")</f>
        <v>165.43545331583601</v>
      </c>
      <c r="BW60" s="183">
        <f>IFERROR('Income Statement'!BW$8/AVERAGE('Invested Capital'!BV14:BW14),"NM")</f>
        <v>105.19406114910136</v>
      </c>
      <c r="BX60" s="183">
        <f>IFERROR('Income Statement'!BX$8/AVERAGE('Invested Capital'!BW14:BX14),"NM")</f>
        <v>105.86227809499678</v>
      </c>
      <c r="BY60" s="183">
        <f>IFERROR('Income Statement'!BY$8/AVERAGE('Invested Capital'!BX14:BY14),"NM")</f>
        <v>178.08085722284483</v>
      </c>
      <c r="BZ60" s="684">
        <f t="shared" si="33"/>
        <v>1363.1994183926834</v>
      </c>
    </row>
    <row r="61" spans="1:78" s="114" customFormat="1" ht="14.1" customHeight="1" x14ac:dyDescent="0.2">
      <c r="A61"/>
      <c r="B61"/>
      <c r="C61" s="680" t="str">
        <f>C21&amp;" Turns"</f>
        <v>Total Current Liabilities Turns</v>
      </c>
      <c r="D61" s="183"/>
      <c r="E61" s="681">
        <f>IFERROR('Income Statement'!E8/AVERAGE('Invested Capital'!D21:E21),"NM")</f>
        <v>9.6134169982358273</v>
      </c>
      <c r="F61" s="681">
        <f>IFERROR('Income Statement'!F8/AVERAGE('Invested Capital'!E21:F21),"NM")</f>
        <v>9.0685929922420812</v>
      </c>
      <c r="G61" s="681">
        <f>IFERROR('Income Statement'!G8/AVERAGE('Invested Capital'!F21:G21),"NM")</f>
        <v>8.3255257230833895</v>
      </c>
      <c r="H61" s="681">
        <f>IFERROR('Income Statement'!H8/AVERAGE('Invested Capital'!G21:H21),"NM")</f>
        <v>8.8822378838212916</v>
      </c>
      <c r="I61" s="681">
        <f>IFERROR('Income Statement'!I8/AVERAGE('Invested Capital'!H21:I21),"NM")</f>
        <v>10.842350318817616</v>
      </c>
      <c r="J61" s="689">
        <f>IFERROR('Income Statement'!J8/AVERAGE('Invested Capital'!I21:J21),"NM")</f>
        <v>11.06611210003706</v>
      </c>
      <c r="K61" s="681">
        <f>IFERROR('Income Statement'!K8/AVERAGE('Invested Capital'!J21:K21),"NM")</f>
        <v>10.967813115301572</v>
      </c>
      <c r="L61" s="681">
        <f>IFERROR('Income Statement'!L8/AVERAGE('Invested Capital'!K21:L21),"NM")</f>
        <v>10.916277260100991</v>
      </c>
      <c r="M61" s="681">
        <f>IFERROR('Income Statement'!M8/AVERAGE('Invested Capital'!L21:M21),"NM")</f>
        <v>10.485810078523151</v>
      </c>
      <c r="N61" s="681">
        <f>IFERROR('Income Statement'!N8/AVERAGE('Invested Capital'!M21:N21),"NM")</f>
        <v>9.7588095432382165</v>
      </c>
      <c r="O61" s="682">
        <f>IFERROR('Income Statement'!O8/AVERAGE('Invested Capital'!N21:O21),"NM")</f>
        <v>9.4118636400463256</v>
      </c>
      <c r="P61" s="115"/>
      <c r="Q61" s="115"/>
      <c r="R61" s="680" t="str">
        <f t="shared" si="22"/>
        <v>Total Current Liabilities Turns</v>
      </c>
      <c r="S61" s="115"/>
      <c r="T61" s="681">
        <f>IFERROR('Income Statement'!T8/AVERAGE('Invested Capital'!S21:T21),"NM")</f>
        <v>2.2014401312898184</v>
      </c>
      <c r="U61" s="681">
        <f>IFERROR('Income Statement'!U8/AVERAGE('Invested Capital'!T21:U21),"NM")</f>
        <v>2.2053997524089723</v>
      </c>
      <c r="V61" s="681">
        <f>IFERROR('Income Statement'!V8/AVERAGE('Invested Capital'!U21:V21),"NM")</f>
        <v>2.3390296614151036</v>
      </c>
      <c r="W61" s="185"/>
      <c r="X61" s="681">
        <f>IFERROR('Income Statement'!X8/AVERAGE('Invested Capital'!W21:X21),"NM")</f>
        <v>2.4803854399186682</v>
      </c>
      <c r="Y61" s="681">
        <f>IFERROR('Income Statement'!Y8/AVERAGE('Invested Capital'!X21:Y21),"NM")</f>
        <v>2.4316665910431507</v>
      </c>
      <c r="Z61" s="681">
        <f>IFERROR('Income Statement'!Z8/AVERAGE('Invested Capital'!Y21:Z21),"NM")</f>
        <v>2.2347013524406161</v>
      </c>
      <c r="AA61" s="681">
        <f>IFERROR('Income Statement'!AA8/AVERAGE('Invested Capital'!Z21:AA21),"NM")</f>
        <v>2.1220428999600882</v>
      </c>
      <c r="AB61" s="681">
        <f t="shared" si="23"/>
        <v>9.6134169982358273</v>
      </c>
      <c r="AC61" s="696">
        <f>IFERROR('Income Statement'!AC8/AVERAGE('Invested Capital'!AB21:AC21),"NM")</f>
        <v>2.235139769726993</v>
      </c>
      <c r="AD61" s="681">
        <f>IFERROR('Income Statement'!AD8/AVERAGE('Invested Capital'!AC21:AD21),"NM")</f>
        <v>2.4594936842997628</v>
      </c>
      <c r="AE61" s="681">
        <f>IFERROR('Income Statement'!AE8/AVERAGE('Invested Capital'!AD21:AE21),"NM")</f>
        <v>2.2993757386438864</v>
      </c>
      <c r="AF61" s="681">
        <f>IFERROR('Income Statement'!AF8/AVERAGE('Invested Capital'!AE21:AF21),"NM")</f>
        <v>2.1647086988491582</v>
      </c>
      <c r="AG61" s="682">
        <f t="shared" si="24"/>
        <v>9.0685929922420812</v>
      </c>
      <c r="AH61" s="696">
        <f>IFERROR('Income Statement'!AH8/AVERAGE('Invested Capital'!AG21:AH21),"NM")</f>
        <v>2.1585149438848785</v>
      </c>
      <c r="AI61" s="681">
        <f>IFERROR('Income Statement'!AI8/AVERAGE('Invested Capital'!AH21:AI21),"NM")</f>
        <v>1.9898630319528652</v>
      </c>
      <c r="AJ61" s="681">
        <f>IFERROR('Income Statement'!AJ8/AVERAGE('Invested Capital'!AI21:AJ21),"NM")</f>
        <v>2.1649089510822881</v>
      </c>
      <c r="AK61" s="681">
        <f>IFERROR('Income Statement'!AK8/AVERAGE('Invested Capital'!AJ21:AK21),"NM")</f>
        <v>2.0266688217229674</v>
      </c>
      <c r="AL61" s="682">
        <f t="shared" si="25"/>
        <v>8.3255257230833895</v>
      </c>
      <c r="AM61" s="696">
        <f>IFERROR('Income Statement'!AM8/AVERAGE('Invested Capital'!AL21:AM21),"NM")</f>
        <v>1.933110234333818</v>
      </c>
      <c r="AN61" s="681">
        <f>IFERROR('Income Statement'!AN8/AVERAGE('Invested Capital'!AM21:AN21),"NM")</f>
        <v>2.2433807794247569</v>
      </c>
      <c r="AO61" s="681">
        <f>IFERROR('Income Statement'!AO8/AVERAGE('Invested Capital'!AN21:AO21),"NM")</f>
        <v>2.2748587017915618</v>
      </c>
      <c r="AP61" s="681">
        <f>IFERROR('Income Statement'!AP8/AVERAGE('Invested Capital'!AO21:AP21),"NM")</f>
        <v>2.132770890289045</v>
      </c>
      <c r="AQ61" s="682">
        <f t="shared" si="26"/>
        <v>8.8822378838212916</v>
      </c>
      <c r="AR61" s="696">
        <f>IFERROR('Income Statement'!AR8/AVERAGE('Invested Capital'!AQ21:AR21),"NM")</f>
        <v>2.2834173075528454</v>
      </c>
      <c r="AS61" s="681">
        <f>IFERROR('Income Statement'!AS8/AVERAGE('Invested Capital'!AR21:AS21),"NM")</f>
        <v>2.4942507585920799</v>
      </c>
      <c r="AT61" s="681">
        <f>IFERROR('Income Statement'!AT8/AVERAGE('Invested Capital'!AS21:AT21),"NM")</f>
        <v>2.4364830746212833</v>
      </c>
      <c r="AU61" s="681">
        <f>IFERROR('Income Statement'!AU8/AVERAGE('Invested Capital'!AT21:AU21),"NM")</f>
        <v>2.453853148868173</v>
      </c>
      <c r="AV61" s="682">
        <f t="shared" si="27"/>
        <v>10.842350318817616</v>
      </c>
      <c r="AW61" s="696">
        <f>IFERROR('Income Statement'!AW8/AVERAGE('Invested Capital'!AV21:AW21),"NM")</f>
        <v>2.8381786776206113</v>
      </c>
      <c r="AX61" s="681">
        <f>IFERROR('Income Statement'!AX8/AVERAGE('Invested Capital'!AW21:AX21),"NM")</f>
        <v>3.0132634049318607</v>
      </c>
      <c r="AY61" s="681">
        <f>IFERROR('Income Statement'!AY8/AVERAGE('Invested Capital'!AX21:AY21),"NM")</f>
        <v>3.1530939325403926</v>
      </c>
      <c r="AZ61" s="681">
        <f>IFERROR('Income Statement'!AZ8/AVERAGE('Invested Capital'!AY21:AZ21),"NM")</f>
        <v>2.7434703366461037</v>
      </c>
      <c r="BA61" s="682">
        <f t="shared" si="28"/>
        <v>11.06611210003706</v>
      </c>
      <c r="BB61" s="696">
        <f>IFERROR('Income Statement'!BB8/AVERAGE('Invested Capital'!BA21:BB21),"NM")</f>
        <v>2.55910584294273</v>
      </c>
      <c r="BC61" s="681">
        <f>IFERROR('Income Statement'!BC8/AVERAGE('Invested Capital'!BB21:BC21),"NM")</f>
        <v>2.7536145112277715</v>
      </c>
      <c r="BD61" s="681">
        <f>IFERROR('Income Statement'!BD8/AVERAGE('Invested Capital'!BC21:BD21),"NM")</f>
        <v>2.7681543402441067</v>
      </c>
      <c r="BE61" s="681">
        <f>IFERROR('Income Statement'!BE8/AVERAGE('Invested Capital'!BD21:BE21),"NM")</f>
        <v>2.5729371409643416</v>
      </c>
      <c r="BF61" s="682">
        <f t="shared" si="29"/>
        <v>10.967813115301572</v>
      </c>
      <c r="BG61" s="696">
        <f>IFERROR('Income Statement'!BG8/AVERAGE('Invested Capital'!BF21:BG21),"NM")</f>
        <v>2.5637424031778244</v>
      </c>
      <c r="BH61" s="681">
        <f>IFERROR('Income Statement'!BH8/AVERAGE('Invested Capital'!BG21:BH21),"NM")</f>
        <v>2.5999195544433413</v>
      </c>
      <c r="BI61" s="681">
        <f>IFERROR('Income Statement'!BI8/AVERAGE('Invested Capital'!BH21:BI21),"NM")</f>
        <v>2.5040773217104162</v>
      </c>
      <c r="BJ61" s="681">
        <f>IFERROR('Income Statement'!BJ8/AVERAGE('Invested Capital'!BI21:BJ21),"NM")</f>
        <v>2.4376387221918505</v>
      </c>
      <c r="BK61" s="682">
        <f t="shared" si="30"/>
        <v>10.916277260100991</v>
      </c>
      <c r="BL61" s="696">
        <f>IFERROR('Income Statement'!BL8/AVERAGE('Invested Capital'!BK21:BL21),"NM")</f>
        <v>2.4588261804200435</v>
      </c>
      <c r="BM61" s="681">
        <f>IFERROR('Income Statement'!BM8/AVERAGE('Invested Capital'!BL21:BM21),"NM")</f>
        <v>2.5560502419209437</v>
      </c>
      <c r="BN61" s="681">
        <f>IFERROR('Income Statement'!BN8/AVERAGE('Invested Capital'!BM21:BN21),"NM")</f>
        <v>2.5328946661972678</v>
      </c>
      <c r="BO61" s="681">
        <f>IFERROR('Income Statement'!BO8/AVERAGE('Invested Capital'!BN21:BO21),"NM")</f>
        <v>2.4524077754603679</v>
      </c>
      <c r="BP61" s="682">
        <f t="shared" si="31"/>
        <v>10.485810078523151</v>
      </c>
      <c r="BQ61" s="696">
        <f>IFERROR('Income Statement'!BQ8/AVERAGE('Invested Capital'!BP21:BQ21),"NM")</f>
        <v>2.4337169118499427</v>
      </c>
      <c r="BR61" s="681">
        <f>IFERROR('Income Statement'!BR8/AVERAGE('Invested Capital'!BQ21:BR21),"NM")</f>
        <v>2.582701382589689</v>
      </c>
      <c r="BS61" s="681">
        <f>IFERROR('Income Statement'!BS8/AVERAGE('Invested Capital'!BR21:BS21),"NM")</f>
        <v>2.5544659855967926</v>
      </c>
      <c r="BT61" s="681">
        <f>IFERROR('Income Statement'!BT8/AVERAGE('Invested Capital'!BS21:BT21),"NM")</f>
        <v>2.4672036721776136</v>
      </c>
      <c r="BU61" s="682">
        <f t="shared" si="32"/>
        <v>9.7588095432382165</v>
      </c>
      <c r="BV61" s="696">
        <f>IFERROR('Income Statement'!BV8/AVERAGE('Invested Capital'!BU21:BV21),"NM")</f>
        <v>2.4400742421314447</v>
      </c>
      <c r="BW61" s="681">
        <f>IFERROR('Income Statement'!BW8/AVERAGE('Invested Capital'!BV21:BW21),"NM")</f>
        <v>2.6102055582002879</v>
      </c>
      <c r="BX61" s="681">
        <f>IFERROR('Income Statement'!BX8/AVERAGE('Invested Capital'!BW21:BX21),"NM")</f>
        <v>2.5711881947147268</v>
      </c>
      <c r="BY61" s="681">
        <f>IFERROR('Income Statement'!BY8/AVERAGE('Invested Capital'!BX21:BY21),"NM")</f>
        <v>2.488181059296966</v>
      </c>
      <c r="BZ61" s="682">
        <f t="shared" si="33"/>
        <v>9.4118636400463256</v>
      </c>
    </row>
    <row r="62" spans="1:78" s="114" customFormat="1" ht="14.1" customHeight="1" x14ac:dyDescent="0.2">
      <c r="A62"/>
      <c r="B62"/>
      <c r="C62" s="683" t="str">
        <f>C17&amp;" Turns"</f>
        <v>Accounts payable Turns</v>
      </c>
      <c r="D62" s="184"/>
      <c r="E62" s="184">
        <f>IFERROR('Income Statement'!E$8/AVERAGE('Invested Capital'!D17:E17),"NM")</f>
        <v>24.244297525507207</v>
      </c>
      <c r="F62" s="184">
        <f>IFERROR('Income Statement'!F$8/AVERAGE('Invested Capital'!E17:F17),"NM")</f>
        <v>21.975033053531345</v>
      </c>
      <c r="G62" s="184">
        <f>IFERROR('Income Statement'!G$8/AVERAGE('Invested Capital'!F17:G17),"NM")</f>
        <v>21.067571473162158</v>
      </c>
      <c r="H62" s="184">
        <f>IFERROR('Income Statement'!H$8/AVERAGE('Invested Capital'!G17:H17),"NM")</f>
        <v>22.505459926938752</v>
      </c>
      <c r="I62" s="184">
        <f>IFERROR('Income Statement'!I$8/AVERAGE('Invested Capital'!H17:I17),"NM")</f>
        <v>26.118156050925617</v>
      </c>
      <c r="J62" s="691">
        <f>IFERROR('Income Statement'!J$8/AVERAGE('Invested Capital'!I17:J17),"NM")</f>
        <v>23.846111830644393</v>
      </c>
      <c r="K62" s="184">
        <f>IFERROR('Income Statement'!K$8/AVERAGE('Invested Capital'!J17:K17),"NM")</f>
        <v>21.816827970403367</v>
      </c>
      <c r="L62" s="184">
        <f>IFERROR('Income Statement'!L$8/AVERAGE('Invested Capital'!K17:L17),"NM")</f>
        <v>22.219131709717775</v>
      </c>
      <c r="M62" s="184">
        <f>IFERROR('Income Statement'!M$8/AVERAGE('Invested Capital'!L17:M17),"NM")</f>
        <v>21.678386796584888</v>
      </c>
      <c r="N62" s="184">
        <f>IFERROR('Income Statement'!N$8/AVERAGE('Invested Capital'!M17:N17),"NM")</f>
        <v>19.407323475939382</v>
      </c>
      <c r="O62" s="685">
        <f>IFERROR('Income Statement'!O$8/AVERAGE('Invested Capital'!N17:O17),"NM")</f>
        <v>18.054406083600366</v>
      </c>
      <c r="P62" s="115"/>
      <c r="Q62" s="115"/>
      <c r="R62" s="683" t="str">
        <f t="shared" si="22"/>
        <v>Accounts payable Turns</v>
      </c>
      <c r="S62" s="115"/>
      <c r="T62" s="184">
        <f>IFERROR('Income Statement'!T$8/AVERAGE('Invested Capital'!S17:T17),"NM")</f>
        <v>5.6529116061775451</v>
      </c>
      <c r="U62" s="184">
        <f>IFERROR('Income Statement'!U$8/AVERAGE('Invested Capital'!T17:U17),"NM")</f>
        <v>5.8593666309587578</v>
      </c>
      <c r="V62" s="184">
        <f>IFERROR('Income Statement'!V$8/AVERAGE('Invested Capital'!U17:V17),"NM")</f>
        <v>6.1625845849150034</v>
      </c>
      <c r="W62" s="185"/>
      <c r="X62" s="184">
        <f>IFERROR('Income Statement'!X$8/AVERAGE('Invested Capital'!W17:X17),"NM")</f>
        <v>6.3713261532472591</v>
      </c>
      <c r="Y62" s="184">
        <f>IFERROR('Income Statement'!Y$8/AVERAGE('Invested Capital'!X17:Y17),"NM")</f>
        <v>6.2629299325839414</v>
      </c>
      <c r="Z62" s="184">
        <f>IFERROR('Income Statement'!Z$8/AVERAGE('Invested Capital'!Y17:Z17),"NM")</f>
        <v>6.3960622228902091</v>
      </c>
      <c r="AA62" s="184">
        <f>IFERROR('Income Statement'!AA$8/AVERAGE('Invested Capital'!Z17:AA17),"NM")</f>
        <v>5.768726200015597</v>
      </c>
      <c r="AB62" s="184">
        <f t="shared" si="23"/>
        <v>24.244297525507207</v>
      </c>
      <c r="AC62" s="698">
        <f>IFERROR('Income Statement'!AC$8/AVERAGE('Invested Capital'!AB17:AC17),"NM")</f>
        <v>5.4390271365837179</v>
      </c>
      <c r="AD62" s="184">
        <f>IFERROR('Income Statement'!AD$8/AVERAGE('Invested Capital'!AC17:AD17),"NM")</f>
        <v>6.209800406678081</v>
      </c>
      <c r="AE62" s="184">
        <f>IFERROR('Income Statement'!AE$8/AVERAGE('Invested Capital'!AD17:AE17),"NM")</f>
        <v>5.7753020729409164</v>
      </c>
      <c r="AF62" s="184">
        <f>IFERROR('Income Statement'!AF$8/AVERAGE('Invested Capital'!AE17:AF17),"NM")</f>
        <v>5.2596184665060104</v>
      </c>
      <c r="AG62" s="685">
        <f t="shared" si="24"/>
        <v>21.975033053531345</v>
      </c>
      <c r="AH62" s="698">
        <f>IFERROR('Income Statement'!AH$8/AVERAGE('Invested Capital'!AG17:AH17),"NM")</f>
        <v>5.1012021758010704</v>
      </c>
      <c r="AI62" s="184">
        <f>IFERROR('Income Statement'!AI$8/AVERAGE('Invested Capital'!AH17:AI17),"NM")</f>
        <v>4.8361758361237861</v>
      </c>
      <c r="AJ62" s="184">
        <f>IFERROR('Income Statement'!AJ$8/AVERAGE('Invested Capital'!AI17:AJ17),"NM")</f>
        <v>5.3912507839799293</v>
      </c>
      <c r="AK62" s="184">
        <f>IFERROR('Income Statement'!AK$8/AVERAGE('Invested Capital'!AJ17:AK17),"NM")</f>
        <v>5.1113435349520753</v>
      </c>
      <c r="AL62" s="685">
        <f t="shared" si="25"/>
        <v>21.067571473162158</v>
      </c>
      <c r="AM62" s="698">
        <f>IFERROR('Income Statement'!AM$8/AVERAGE('Invested Capital'!AL17:AM17),"NM")</f>
        <v>4.5885096258661386</v>
      </c>
      <c r="AN62" s="184">
        <f>IFERROR('Income Statement'!AN$8/AVERAGE('Invested Capital'!AM17:AN17),"NM")</f>
        <v>5.1445486961532918</v>
      </c>
      <c r="AO62" s="184">
        <f>IFERROR('Income Statement'!AO$8/AVERAGE('Invested Capital'!AN17:AO17),"NM")</f>
        <v>5.108039440799427</v>
      </c>
      <c r="AP62" s="184">
        <f>IFERROR('Income Statement'!AP$8/AVERAGE('Invested Capital'!AO17:AP17),"NM")</f>
        <v>4.8439540944486321</v>
      </c>
      <c r="AQ62" s="685">
        <f t="shared" si="26"/>
        <v>22.505459926938752</v>
      </c>
      <c r="AR62" s="698">
        <f>IFERROR('Income Statement'!AR$8/AVERAGE('Invested Capital'!AQ17:AR17),"NM")</f>
        <v>5.4159632719424344</v>
      </c>
      <c r="AS62" s="184">
        <f>IFERROR('Income Statement'!AS$8/AVERAGE('Invested Capital'!AR17:AS17),"NM")</f>
        <v>5.4131365238636322</v>
      </c>
      <c r="AT62" s="184">
        <f>IFERROR('Income Statement'!AT$8/AVERAGE('Invested Capital'!AS17:AT17),"NM")</f>
        <v>5.6121156176080307</v>
      </c>
      <c r="AU62" s="184">
        <f>IFERROR('Income Statement'!AU$8/AVERAGE('Invested Capital'!AT17:AU17),"NM")</f>
        <v>6.1143088922975037</v>
      </c>
      <c r="AV62" s="685">
        <f t="shared" si="27"/>
        <v>26.118156050925617</v>
      </c>
      <c r="AW62" s="698">
        <f>IFERROR('Income Statement'!AW$8/AVERAGE('Invested Capital'!AV17:AW17),"NM")</f>
        <v>6.3465991525505157</v>
      </c>
      <c r="AX62" s="184">
        <f>IFERROR('Income Statement'!AX$8/AVERAGE('Invested Capital'!AW17:AX17),"NM")</f>
        <v>6.7239595181282699</v>
      </c>
      <c r="AY62" s="184">
        <f>IFERROR('Income Statement'!AY$8/AVERAGE('Invested Capital'!AX17:AY17),"NM")</f>
        <v>7.3528075392590697</v>
      </c>
      <c r="AZ62" s="184">
        <f>IFERROR('Income Statement'!AZ$8/AVERAGE('Invested Capital'!AY17:AZ17),"NM")</f>
        <v>5.9034781959437428</v>
      </c>
      <c r="BA62" s="685">
        <f t="shared" si="28"/>
        <v>23.846111830644393</v>
      </c>
      <c r="BB62" s="698">
        <f>IFERROR('Income Statement'!BB$8/AVERAGE('Invested Capital'!BA17:BB17),"NM")</f>
        <v>5.1108124212835682</v>
      </c>
      <c r="BC62" s="184">
        <f>IFERROR('Income Statement'!BC$8/AVERAGE('Invested Capital'!BB17:BC17),"NM")</f>
        <v>5.3271126612462272</v>
      </c>
      <c r="BD62" s="184">
        <f>IFERROR('Income Statement'!BD$8/AVERAGE('Invested Capital'!BC17:BD17),"NM")</f>
        <v>5.3157866496649628</v>
      </c>
      <c r="BE62" s="184">
        <f>IFERROR('Income Statement'!BE$8/AVERAGE('Invested Capital'!BD17:BE17),"NM")</f>
        <v>5.0325724635283269</v>
      </c>
      <c r="BF62" s="685">
        <f t="shared" si="29"/>
        <v>21.816827970403367</v>
      </c>
      <c r="BG62" s="698">
        <f>IFERROR('Income Statement'!BG$8/AVERAGE('Invested Capital'!BF17:BG17),"NM")</f>
        <v>5.2548894947128595</v>
      </c>
      <c r="BH62" s="184">
        <f>IFERROR('Income Statement'!BH$8/AVERAGE('Invested Capital'!BG17:BH17),"NM")</f>
        <v>5.4542020367932995</v>
      </c>
      <c r="BI62" s="184">
        <f>IFERROR('Income Statement'!BI$8/AVERAGE('Invested Capital'!BH17:BI17),"NM")</f>
        <v>5.1832631439032903</v>
      </c>
      <c r="BJ62" s="184">
        <f>IFERROR('Income Statement'!BJ$8/AVERAGE('Invested Capital'!BI17:BJ17),"NM")</f>
        <v>5.0842509129364526</v>
      </c>
      <c r="BK62" s="685">
        <f t="shared" si="30"/>
        <v>22.219131709717775</v>
      </c>
      <c r="BL62" s="698">
        <f>IFERROR('Income Statement'!BL$8/AVERAGE('Invested Capital'!BK17:BL17),"NM")</f>
        <v>5.0788742209146083</v>
      </c>
      <c r="BM62" s="184">
        <f>IFERROR('Income Statement'!BM$8/AVERAGE('Invested Capital'!BL17:BM17),"NM")</f>
        <v>5.2517320643997598</v>
      </c>
      <c r="BN62" s="184">
        <f>IFERROR('Income Statement'!BN$8/AVERAGE('Invested Capital'!BM17:BN17),"NM")</f>
        <v>5.2897170798442961</v>
      </c>
      <c r="BO62" s="184">
        <f>IFERROR('Income Statement'!BO$8/AVERAGE('Invested Capital'!BN17:BO17),"NM")</f>
        <v>5.0800108670479052</v>
      </c>
      <c r="BP62" s="685">
        <f t="shared" si="31"/>
        <v>21.678386796584888</v>
      </c>
      <c r="BQ62" s="698">
        <f>IFERROR('Income Statement'!BQ$8/AVERAGE('Invested Capital'!BP17:BQ17),"NM")</f>
        <v>5.1816678553743962</v>
      </c>
      <c r="BR62" s="184">
        <f>IFERROR('Income Statement'!BR$8/AVERAGE('Invested Capital'!BQ17:BR17),"NM")</f>
        <v>5.3545567424578504</v>
      </c>
      <c r="BS62" s="184">
        <f>IFERROR('Income Statement'!BS$8/AVERAGE('Invested Capital'!BR17:BS17),"NM")</f>
        <v>5.3705692803437168</v>
      </c>
      <c r="BT62" s="184">
        <f>IFERROR('Income Statement'!BT$8/AVERAGE('Invested Capital'!BS17:BT17),"NM")</f>
        <v>5.1677347595714949</v>
      </c>
      <c r="BU62" s="685">
        <f t="shared" si="32"/>
        <v>19.407323475939382</v>
      </c>
      <c r="BV62" s="698">
        <f>IFERROR('Income Statement'!BV$8/AVERAGE('Invested Capital'!BU17:BV17),"NM")</f>
        <v>5.2293702061718594</v>
      </c>
      <c r="BW62" s="184">
        <f>IFERROR('Income Statement'!BW$8/AVERAGE('Invested Capital'!BV17:BW17),"NM")</f>
        <v>5.4541726961425114</v>
      </c>
      <c r="BX62" s="184">
        <f>IFERROR('Income Statement'!BX$8/AVERAGE('Invested Capital'!BW17:BX17),"NM")</f>
        <v>5.4523346448812298</v>
      </c>
      <c r="BY62" s="184">
        <f>IFERROR('Income Statement'!BY$8/AVERAGE('Invested Capital'!BX17:BY17),"NM")</f>
        <v>5.2954544399411336</v>
      </c>
      <c r="BZ62" s="685">
        <f t="shared" si="33"/>
        <v>18.054406083600366</v>
      </c>
    </row>
    <row r="63" spans="1:78" s="114" customFormat="1" ht="14.1" customHeight="1" x14ac:dyDescent="0.2">
      <c r="A63"/>
      <c r="B63"/>
      <c r="C63" s="683" t="str">
        <f>C18&amp;" Turns"</f>
        <v>Wages, vacation and employees’ benefits Turns</v>
      </c>
      <c r="D63" s="184"/>
      <c r="E63" s="184">
        <f>IFERROR('Income Statement'!E$8/AVERAGE('Invested Capital'!D18:E18),"NM")</f>
        <v>37.645656924337608</v>
      </c>
      <c r="F63" s="184">
        <f>IFERROR('Income Statement'!F$8/AVERAGE('Invested Capital'!E18:F18),"NM")</f>
        <v>36.544526711936513</v>
      </c>
      <c r="G63" s="184">
        <f>IFERROR('Income Statement'!G$8/AVERAGE('Invested Capital'!F18:G18),"NM")</f>
        <v>34.69190938511327</v>
      </c>
      <c r="H63" s="184">
        <f>IFERROR('Income Statement'!H$8/AVERAGE('Invested Capital'!G18:H18),"NM")</f>
        <v>35.621574929377985</v>
      </c>
      <c r="I63" s="184">
        <f>IFERROR('Income Statement'!I$8/AVERAGE('Invested Capital'!H18:I18),"NM")</f>
        <v>39.945590980950399</v>
      </c>
      <c r="J63" s="691">
        <f>IFERROR('Income Statement'!J$8/AVERAGE('Invested Capital'!I18:J18),"NM")</f>
        <v>40.527053826354809</v>
      </c>
      <c r="K63" s="184">
        <f>IFERROR('Income Statement'!K$8/AVERAGE('Invested Capital'!J18:K18),"NM")</f>
        <v>44.522833300993547</v>
      </c>
      <c r="L63" s="184">
        <f>IFERROR('Income Statement'!L$8/AVERAGE('Invested Capital'!K18:L18),"NM")</f>
        <v>45.692302936669691</v>
      </c>
      <c r="M63" s="184">
        <f>IFERROR('Income Statement'!M$8/AVERAGE('Invested Capital'!L18:M18),"NM")</f>
        <v>43.105841502778262</v>
      </c>
      <c r="N63" s="184">
        <f>IFERROR('Income Statement'!N$8/AVERAGE('Invested Capital'!M18:N18),"NM")</f>
        <v>41.661923564433188</v>
      </c>
      <c r="O63" s="685">
        <f>IFERROR('Income Statement'!O$8/AVERAGE('Invested Capital'!N18:O18),"NM")</f>
        <v>41.730594440592348</v>
      </c>
      <c r="R63" s="683" t="str">
        <f t="shared" si="22"/>
        <v>Wages, vacation and employees’ benefits Turns</v>
      </c>
      <c r="T63" s="184">
        <f>IFERROR('Income Statement'!T$8/AVERAGE('Invested Capital'!S18:T18),"NM")</f>
        <v>9.6839259159118569</v>
      </c>
      <c r="U63" s="184">
        <f>IFERROR('Income Statement'!U$8/AVERAGE('Invested Capital'!T18:U18),"NM")</f>
        <v>8.2355902696089966</v>
      </c>
      <c r="V63" s="184">
        <f>IFERROR('Income Statement'!V$8/AVERAGE('Invested Capital'!U18:V18),"NM")</f>
        <v>8.9021314133129898</v>
      </c>
      <c r="W63" s="694"/>
      <c r="X63" s="184">
        <f>IFERROR('Income Statement'!X$8/AVERAGE('Invested Capital'!W18:X18),"NM")</f>
        <v>9.9839871897518027</v>
      </c>
      <c r="Y63" s="184">
        <f>IFERROR('Income Statement'!Y$8/AVERAGE('Invested Capital'!X18:Y18),"NM")</f>
        <v>10.007983379630712</v>
      </c>
      <c r="Z63" s="184">
        <f>IFERROR('Income Statement'!Z$8/AVERAGE('Invested Capital'!Y18:Z18),"NM")</f>
        <v>8.5185659667313907</v>
      </c>
      <c r="AA63" s="184">
        <f>IFERROR('Income Statement'!AA$8/AVERAGE('Invested Capital'!Z18:AA18),"NM")</f>
        <v>8.0313157141305709</v>
      </c>
      <c r="AB63" s="184">
        <f t="shared" si="23"/>
        <v>37.645656924337608</v>
      </c>
      <c r="AC63" s="698">
        <f>IFERROR('Income Statement'!AC$8/AVERAGE('Invested Capital'!AB18:AC18),"NM")</f>
        <v>9.4441403105232897</v>
      </c>
      <c r="AD63" s="184">
        <f>IFERROR('Income Statement'!AD$8/AVERAGE('Invested Capital'!AC18:AD18),"NM")</f>
        <v>10.804152265242234</v>
      </c>
      <c r="AE63" s="184">
        <f>IFERROR('Income Statement'!AE$8/AVERAGE('Invested Capital'!AD18:AE18),"NM")</f>
        <v>9.3625590287830835</v>
      </c>
      <c r="AF63" s="184">
        <f>IFERROR('Income Statement'!AF$8/AVERAGE('Invested Capital'!AE18:AF18),"NM")</f>
        <v>8.6253114779629314</v>
      </c>
      <c r="AG63" s="685">
        <f t="shared" si="24"/>
        <v>36.544526711936513</v>
      </c>
      <c r="AH63" s="698">
        <f>IFERROR('Income Statement'!AH$8/AVERAGE('Invested Capital'!AG18:AH18),"NM")</f>
        <v>9.2665185892512412</v>
      </c>
      <c r="AI63" s="184">
        <f>IFERROR('Income Statement'!AI$8/AVERAGE('Invested Capital'!AH18:AI18),"NM")</f>
        <v>8.1956621877235794</v>
      </c>
      <c r="AJ63" s="184">
        <f>IFERROR('Income Statement'!AJ$8/AVERAGE('Invested Capital'!AI18:AJ18),"NM")</f>
        <v>8.7282914181066538</v>
      </c>
      <c r="AK63" s="184">
        <f>IFERROR('Income Statement'!AK$8/AVERAGE('Invested Capital'!AJ18:AK18),"NM")</f>
        <v>8.6366923753160716</v>
      </c>
      <c r="AL63" s="685">
        <f t="shared" si="25"/>
        <v>34.69190938511327</v>
      </c>
      <c r="AM63" s="698">
        <f>IFERROR('Income Statement'!AM$8/AVERAGE('Invested Capital'!AL18:AM18),"NM")</f>
        <v>9.2735371028458129</v>
      </c>
      <c r="AN63" s="184">
        <f>IFERROR('Income Statement'!AN$8/AVERAGE('Invested Capital'!AM18:AN18),"NM")</f>
        <v>10.006357601975585</v>
      </c>
      <c r="AO63" s="184">
        <f>IFERROR('Income Statement'!AO$8/AVERAGE('Invested Capital'!AN18:AO18),"NM")</f>
        <v>8.6350113855316177</v>
      </c>
      <c r="AP63" s="184">
        <f>IFERROR('Income Statement'!AP$8/AVERAGE('Invested Capital'!AO18:AP18),"NM")</f>
        <v>8.1924100712261136</v>
      </c>
      <c r="AQ63" s="685">
        <f t="shared" si="26"/>
        <v>35.621574929377985</v>
      </c>
      <c r="AR63" s="698">
        <f>IFERROR('Income Statement'!AR$8/AVERAGE('Invested Capital'!AQ18:AR18),"NM")</f>
        <v>9.7788425987547534</v>
      </c>
      <c r="AS63" s="184">
        <f>IFERROR('Income Statement'!AS$8/AVERAGE('Invested Capital'!AR18:AS18),"NM")</f>
        <v>10.56998653150918</v>
      </c>
      <c r="AT63" s="184">
        <f>IFERROR('Income Statement'!AT$8/AVERAGE('Invested Capital'!AS18:AT18),"NM")</f>
        <v>9.2268904374660128</v>
      </c>
      <c r="AU63" s="184">
        <f>IFERROR('Income Statement'!AU$8/AVERAGE('Invested Capital'!AT18:AU18),"NM")</f>
        <v>8.9901218149536888</v>
      </c>
      <c r="AV63" s="685">
        <f t="shared" si="27"/>
        <v>39.945590980950399</v>
      </c>
      <c r="AW63" s="698">
        <f>IFERROR('Income Statement'!AW$8/AVERAGE('Invested Capital'!AV18:AW18),"NM")</f>
        <v>10.882856907488261</v>
      </c>
      <c r="AX63" s="184">
        <f>IFERROR('Income Statement'!AX$8/AVERAGE('Invested Capital'!AW18:AX18),"NM")</f>
        <v>11.787339108595862</v>
      </c>
      <c r="AY63" s="184">
        <f>IFERROR('Income Statement'!AY$8/AVERAGE('Invested Capital'!AX18:AY18),"NM")</f>
        <v>11.004784417280691</v>
      </c>
      <c r="AZ63" s="184">
        <f>IFERROR('Income Statement'!AZ$8/AVERAGE('Invested Capital'!AY18:AZ18),"NM")</f>
        <v>9.8036610434952856</v>
      </c>
      <c r="BA63" s="685">
        <f t="shared" si="28"/>
        <v>40.527053826354809</v>
      </c>
      <c r="BB63" s="698">
        <f>IFERROR('Income Statement'!BB$8/AVERAGE('Invested Capital'!BA18:BB18),"NM")</f>
        <v>11.538079368961721</v>
      </c>
      <c r="BC63" s="184">
        <f>IFERROR('Income Statement'!BC$8/AVERAGE('Invested Capital'!BB18:BC18),"NM")</f>
        <v>13.961333649899943</v>
      </c>
      <c r="BD63" s="184">
        <f>IFERROR('Income Statement'!BD$8/AVERAGE('Invested Capital'!BC18:BD18),"NM")</f>
        <v>12.641626697291089</v>
      </c>
      <c r="BE63" s="184">
        <f>IFERROR('Income Statement'!BE$8/AVERAGE('Invested Capital'!BD18:BE18),"NM")</f>
        <v>11.331515709754612</v>
      </c>
      <c r="BF63" s="685">
        <f t="shared" si="29"/>
        <v>44.522833300993547</v>
      </c>
      <c r="BG63" s="698">
        <f>IFERROR('Income Statement'!BG$8/AVERAGE('Invested Capital'!BF18:BG18),"NM")</f>
        <v>11.200597362845729</v>
      </c>
      <c r="BH63" s="184">
        <f>IFERROR('Income Statement'!BH$8/AVERAGE('Invested Capital'!BG18:BH18),"NM")</f>
        <v>10.651198405404008</v>
      </c>
      <c r="BI63" s="184">
        <f>IFERROR('Income Statement'!BI$8/AVERAGE('Invested Capital'!BH18:BI18),"NM")</f>
        <v>9.7599236707062165</v>
      </c>
      <c r="BJ63" s="184">
        <f>IFERROR('Income Statement'!BJ$8/AVERAGE('Invested Capital'!BI18:BJ18),"NM")</f>
        <v>9.7332919522876864</v>
      </c>
      <c r="BK63" s="685">
        <f t="shared" si="30"/>
        <v>45.692302936669691</v>
      </c>
      <c r="BL63" s="698">
        <f>IFERROR('Income Statement'!BL$8/AVERAGE('Invested Capital'!BK18:BL18),"NM")</f>
        <v>10.60261508710477</v>
      </c>
      <c r="BM63" s="184">
        <f>IFERROR('Income Statement'!BM$8/AVERAGE('Invested Capital'!BL18:BM18),"NM")</f>
        <v>10.674062917160516</v>
      </c>
      <c r="BN63" s="184">
        <f>IFERROR('Income Statement'!BN$8/AVERAGE('Invested Capital'!BM18:BN18),"NM")</f>
        <v>9.7916583450052137</v>
      </c>
      <c r="BO63" s="184">
        <f>IFERROR('Income Statement'!BO$8/AVERAGE('Invested Capital'!BN18:BO18),"NM")</f>
        <v>9.8572988570205826</v>
      </c>
      <c r="BP63" s="685">
        <f t="shared" si="31"/>
        <v>43.105841502778262</v>
      </c>
      <c r="BQ63" s="698">
        <f>IFERROR('Income Statement'!BQ$8/AVERAGE('Invested Capital'!BP18:BQ18),"NM")</f>
        <v>10.190186283073244</v>
      </c>
      <c r="BR63" s="184">
        <f>IFERROR('Income Statement'!BR$8/AVERAGE('Invested Capital'!BQ18:BR18),"NM")</f>
        <v>10.692762369978611</v>
      </c>
      <c r="BS63" s="184">
        <f>IFERROR('Income Statement'!BS$8/AVERAGE('Invested Capital'!BR18:BS18),"NM")</f>
        <v>9.8152215936075127</v>
      </c>
      <c r="BT63" s="184">
        <f>IFERROR('Income Statement'!BT$8/AVERAGE('Invested Capital'!BS18:BT18),"NM")</f>
        <v>9.8147633060470074</v>
      </c>
      <c r="BU63" s="685">
        <f t="shared" si="32"/>
        <v>41.661923564433188</v>
      </c>
      <c r="BV63" s="698">
        <f>IFERROR('Income Statement'!BV$8/AVERAGE('Invested Capital'!BU18:BV18),"NM")</f>
        <v>10.156544589245811</v>
      </c>
      <c r="BW63" s="184">
        <f>IFERROR('Income Statement'!BW$8/AVERAGE('Invested Capital'!BV18:BW18),"NM")</f>
        <v>10.725789795092144</v>
      </c>
      <c r="BX63" s="184">
        <f>IFERROR('Income Statement'!BX$8/AVERAGE('Invested Capital'!BW18:BX18),"NM")</f>
        <v>9.8033119067560772</v>
      </c>
      <c r="BY63" s="184">
        <f>IFERROR('Income Statement'!BY$8/AVERAGE('Invested Capital'!BX18:BY18),"NM")</f>
        <v>9.7560454903231673</v>
      </c>
      <c r="BZ63" s="685">
        <f t="shared" si="33"/>
        <v>41.730594440592348</v>
      </c>
    </row>
    <row r="64" spans="1:78" s="114" customFormat="1" ht="14.1" customHeight="1" x14ac:dyDescent="0.2">
      <c r="A64"/>
      <c r="B64"/>
      <c r="C64" s="683" t="str">
        <f>C19&amp;" Turns"</f>
        <v>Claims and insurance accruals Turns</v>
      </c>
      <c r="D64" s="183"/>
      <c r="E64" s="184">
        <f>IFERROR('Income Statement'!E$8/AVERAGE('Invested Capital'!D19:E19),"NM")</f>
        <v>43.052167122217881</v>
      </c>
      <c r="F64" s="184">
        <f>IFERROR('Income Statement'!F$8/AVERAGE('Invested Capital'!E19:F19),"NM")</f>
        <v>45.891380284584166</v>
      </c>
      <c r="G64" s="184">
        <f>IFERROR('Income Statement'!G$8/AVERAGE('Invested Capital'!F19:G19),"NM")</f>
        <v>42.135142946324315</v>
      </c>
      <c r="H64" s="184">
        <f>IFERROR('Income Statement'!H$8/AVERAGE('Invested Capital'!G19:H19),"NM")</f>
        <v>43.874321863318322</v>
      </c>
      <c r="I64" s="184">
        <f>IFERROR('Income Statement'!I$8/AVERAGE('Invested Capital'!H19:I19),"NM")</f>
        <v>55.730793029800985</v>
      </c>
      <c r="J64" s="691">
        <f>IFERROR('Income Statement'!J$8/AVERAGE('Invested Capital'!I19:J19),"NM")</f>
        <v>66.147081104657829</v>
      </c>
      <c r="K64" s="184">
        <f>IFERROR('Income Statement'!K$8/AVERAGE('Invested Capital'!J19:K19),"NM")</f>
        <v>79.149099254205652</v>
      </c>
      <c r="L64" s="184">
        <f>IFERROR('Income Statement'!L$8/AVERAGE('Invested Capital'!K19:L19),"NM")</f>
        <v>83.944923095319282</v>
      </c>
      <c r="M64" s="184">
        <f>IFERROR('Income Statement'!M$8/AVERAGE('Invested Capital'!L19:M19),"NM")</f>
        <v>82.830832691613153</v>
      </c>
      <c r="N64" s="184">
        <f>IFERROR('Income Statement'!N$8/AVERAGE('Invested Capital'!M19:N19),"NM")</f>
        <v>80.05624528067554</v>
      </c>
      <c r="O64" s="685">
        <f>IFERROR('Income Statement'!O$8/AVERAGE('Invested Capital'!N19:O19),"NM")</f>
        <v>80.188201081922557</v>
      </c>
      <c r="R64" s="683" t="str">
        <f t="shared" si="22"/>
        <v>Claims and insurance accruals Turns</v>
      </c>
      <c r="T64" s="184">
        <f>IFERROR('Income Statement'!T$8/AVERAGE('Invested Capital'!S19:T19),"NM")</f>
        <v>8.2114771763303303</v>
      </c>
      <c r="U64" s="184">
        <f>IFERROR('Income Statement'!U$8/AVERAGE('Invested Capital'!T19:U19),"NM")</f>
        <v>9.4822780524141663</v>
      </c>
      <c r="V64" s="184">
        <f>IFERROR('Income Statement'!V$8/AVERAGE('Invested Capital'!U19:V19),"NM")</f>
        <v>10.152840090273815</v>
      </c>
      <c r="W64" s="694"/>
      <c r="X64" s="184">
        <f>IFERROR('Income Statement'!X$8/AVERAGE('Invested Capital'!W19:X19),"NM")</f>
        <v>10.488925085782187</v>
      </c>
      <c r="Y64" s="184">
        <f>IFERROR('Income Statement'!Y$8/AVERAGE('Invested Capital'!X19:Y19),"NM")</f>
        <v>10.668292379471229</v>
      </c>
      <c r="Z64" s="184">
        <f>IFERROR('Income Statement'!Z$8/AVERAGE('Invested Capital'!Y19:Z19),"NM")</f>
        <v>10.485438328487657</v>
      </c>
      <c r="AA64" s="184">
        <f>IFERROR('Income Statement'!AA$8/AVERAGE('Invested Capital'!Z19:AA19),"NM")</f>
        <v>10.064830623809165</v>
      </c>
      <c r="AB64" s="184">
        <f t="shared" si="23"/>
        <v>43.052167122217881</v>
      </c>
      <c r="AC64" s="698">
        <f>IFERROR('Income Statement'!AC$8/AVERAGE('Invested Capital'!AB19:AC19),"NM")</f>
        <v>10.12312926847309</v>
      </c>
      <c r="AD64" s="184">
        <f>IFERROR('Income Statement'!AD$8/AVERAGE('Invested Capital'!AC19:AD19),"NM")</f>
        <v>10.623162038149509</v>
      </c>
      <c r="AE64" s="184">
        <f>IFERROR('Income Statement'!AE$8/AVERAGE('Invested Capital'!AD19:AE19),"NM")</f>
        <v>11.295176151761517</v>
      </c>
      <c r="AF64" s="184">
        <f>IFERROR('Income Statement'!AF$8/AVERAGE('Invested Capital'!AE19:AF19),"NM")</f>
        <v>12.195904098653964</v>
      </c>
      <c r="AG64" s="685">
        <f t="shared" si="24"/>
        <v>45.891380284584166</v>
      </c>
      <c r="AH64" s="698">
        <f>IFERROR('Income Statement'!AH$8/AVERAGE('Invested Capital'!AG19:AH19),"NM")</f>
        <v>11.970288533733777</v>
      </c>
      <c r="AI64" s="184">
        <f>IFERROR('Income Statement'!AI$8/AVERAGE('Invested Capital'!AH19:AI19),"NM")</f>
        <v>10.814738176221821</v>
      </c>
      <c r="AJ64" s="184">
        <f>IFERROR('Income Statement'!AJ$8/AVERAGE('Invested Capital'!AI19:AJ19),"NM")</f>
        <v>11.579284133551429</v>
      </c>
      <c r="AK64" s="184">
        <f>IFERROR('Income Statement'!AK$8/AVERAGE('Invested Capital'!AJ19:AK19),"NM")</f>
        <v>10.232621067325244</v>
      </c>
      <c r="AL64" s="685">
        <f t="shared" si="25"/>
        <v>42.135142946324315</v>
      </c>
      <c r="AM64" s="698">
        <f>IFERROR('Income Statement'!AM$8/AVERAGE('Invested Capital'!AL19:AM19),"NM")</f>
        <v>10.024830442661145</v>
      </c>
      <c r="AN64" s="184">
        <f>IFERROR('Income Statement'!AN$8/AVERAGE('Invested Capital'!AM19:AN19),"NM")</f>
        <v>11.965715482485994</v>
      </c>
      <c r="AO64" s="184">
        <f>IFERROR('Income Statement'!AO$8/AVERAGE('Invested Capital'!AN19:AO19),"NM")</f>
        <v>13.520179913334431</v>
      </c>
      <c r="AP64" s="184">
        <f>IFERROR('Income Statement'!AP$8/AVERAGE('Invested Capital'!AO19:AP19),"NM")</f>
        <v>12.679008413893715</v>
      </c>
      <c r="AQ64" s="685">
        <f t="shared" si="26"/>
        <v>43.874321863318322</v>
      </c>
      <c r="AR64" s="698">
        <f>IFERROR('Income Statement'!AR$8/AVERAGE('Invested Capital'!AQ19:AR19),"NM")</f>
        <v>13.281430149643468</v>
      </c>
      <c r="AS64" s="184">
        <f>IFERROR('Income Statement'!AS$8/AVERAGE('Invested Capital'!AR19:AS19),"NM")</f>
        <v>15.850204623970235</v>
      </c>
      <c r="AT64" s="184">
        <f>IFERROR('Income Statement'!AT$8/AVERAGE('Invested Capital'!AS19:AT19),"NM")</f>
        <v>11.765120423154142</v>
      </c>
      <c r="AU64" s="184">
        <f>IFERROR('Income Statement'!AU$8/AVERAGE('Invested Capital'!AT19:AU19),"NM")</f>
        <v>10.903325573661451</v>
      </c>
      <c r="AV64" s="685">
        <f t="shared" si="27"/>
        <v>55.730793029800985</v>
      </c>
      <c r="AW64" s="698">
        <f>IFERROR('Income Statement'!AW$8/AVERAGE('Invested Capital'!AV19:AW19),"NM")</f>
        <v>14.884121815744109</v>
      </c>
      <c r="AX64" s="184">
        <f>IFERROR('Income Statement'!AX$8/AVERAGE('Invested Capital'!AW19:AX19),"NM")</f>
        <v>16.287710741669986</v>
      </c>
      <c r="AY64" s="184">
        <f>IFERROR('Income Statement'!AY$8/AVERAGE('Invested Capital'!AX19:AY19),"NM")</f>
        <v>17.603906205643558</v>
      </c>
      <c r="AZ64" s="184">
        <f>IFERROR('Income Statement'!AZ$8/AVERAGE('Invested Capital'!AY19:AZ19),"NM")</f>
        <v>17.131922269865893</v>
      </c>
      <c r="BA64" s="685">
        <f t="shared" si="28"/>
        <v>66.147081104657829</v>
      </c>
      <c r="BB64" s="698">
        <f>IFERROR('Income Statement'!BB$8/AVERAGE('Invested Capital'!BA19:BB19),"NM")</f>
        <v>19.290634224885945</v>
      </c>
      <c r="BC64" s="184">
        <f>IFERROR('Income Statement'!BC$8/AVERAGE('Invested Capital'!BB19:BC19),"NM")</f>
        <v>21.580832044459587</v>
      </c>
      <c r="BD64" s="184">
        <f>IFERROR('Income Statement'!BD$8/AVERAGE('Invested Capital'!BC19:BD19),"NM")</f>
        <v>20.926752898199574</v>
      </c>
      <c r="BE64" s="184">
        <f>IFERROR('Income Statement'!BE$8/AVERAGE('Invested Capital'!BD19:BE19),"NM")</f>
        <v>19.663565941322524</v>
      </c>
      <c r="BF64" s="685">
        <f t="shared" si="29"/>
        <v>79.149099254205652</v>
      </c>
      <c r="BG64" s="698">
        <f>IFERROR('Income Statement'!BG$8/AVERAGE('Invested Capital'!BF19:BG19),"NM")</f>
        <v>20.73626803462459</v>
      </c>
      <c r="BH64" s="184">
        <f>IFERROR('Income Statement'!BH$8/AVERAGE('Invested Capital'!BG19:BH19),"NM")</f>
        <v>21.670813887823094</v>
      </c>
      <c r="BI64" s="184">
        <f>IFERROR('Income Statement'!BI$8/AVERAGE('Invested Capital'!BH19:BI19),"NM")</f>
        <v>20.626678313931201</v>
      </c>
      <c r="BJ64" s="184">
        <f>IFERROR('Income Statement'!BJ$8/AVERAGE('Invested Capital'!BI19:BJ19),"NM")</f>
        <v>19.67733716145846</v>
      </c>
      <c r="BK64" s="685">
        <f t="shared" si="30"/>
        <v>83.944923095319282</v>
      </c>
      <c r="BL64" s="698">
        <f>IFERROR('Income Statement'!BL$8/AVERAGE('Invested Capital'!BK19:BL19),"NM")</f>
        <v>20.574688572537962</v>
      </c>
      <c r="BM64" s="184">
        <f>IFERROR('Income Statement'!BM$8/AVERAGE('Invested Capital'!BL19:BM19),"NM")</f>
        <v>21.719128239699401</v>
      </c>
      <c r="BN64" s="184">
        <f>IFERROR('Income Statement'!BN$8/AVERAGE('Invested Capital'!BM19:BN19),"NM")</f>
        <v>20.694042002299923</v>
      </c>
      <c r="BO64" s="184">
        <f>IFERROR('Income Statement'!BO$8/AVERAGE('Invested Capital'!BN19:BO19),"NM")</f>
        <v>19.915985860037541</v>
      </c>
      <c r="BP64" s="685">
        <f t="shared" si="31"/>
        <v>82.830832691613153</v>
      </c>
      <c r="BQ64" s="698">
        <f>IFERROR('Income Statement'!BQ$8/AVERAGE('Invested Capital'!BP19:BQ19),"NM")</f>
        <v>19.766771147271371</v>
      </c>
      <c r="BR64" s="184">
        <f>IFERROR('Income Statement'!BR$8/AVERAGE('Invested Capital'!BQ19:BR19),"NM")</f>
        <v>21.758647459030538</v>
      </c>
      <c r="BS64" s="184">
        <f>IFERROR('Income Statement'!BS$8/AVERAGE('Invested Capital'!BR19:BS19),"NM")</f>
        <v>20.74406132218488</v>
      </c>
      <c r="BT64" s="184">
        <f>IFERROR('Income Statement'!BT$8/AVERAGE('Invested Capital'!BS19:BT19),"NM")</f>
        <v>19.834159607480064</v>
      </c>
      <c r="BU64" s="685">
        <f t="shared" si="32"/>
        <v>80.05624528067554</v>
      </c>
      <c r="BV64" s="698">
        <f>IFERROR('Income Statement'!BV$8/AVERAGE('Invested Capital'!BU19:BV19),"NM")</f>
        <v>19.700896912337036</v>
      </c>
      <c r="BW64" s="184">
        <f>IFERROR('Income Statement'!BW$8/AVERAGE('Invested Capital'!BV19:BW19),"NM")</f>
        <v>21.828460308713428</v>
      </c>
      <c r="BX64" s="184">
        <f>IFERROR('Income Statement'!BX$8/AVERAGE('Invested Capital'!BW19:BX19),"NM")</f>
        <v>20.71877968255847</v>
      </c>
      <c r="BY64" s="184">
        <f>IFERROR('Income Statement'!BY$8/AVERAGE('Invested Capital'!BX19:BY19),"NM")</f>
        <v>19.721147500945303</v>
      </c>
      <c r="BZ64" s="685">
        <f t="shared" si="33"/>
        <v>80.188201081922557</v>
      </c>
    </row>
    <row r="65" spans="1:78" s="114" customFormat="1" ht="14.1" customHeight="1" x14ac:dyDescent="0.2">
      <c r="A65"/>
      <c r="B65"/>
      <c r="C65" s="683" t="str">
        <f>C20&amp;" Turns"</f>
        <v>Other current liabilities Turns</v>
      </c>
      <c r="D65" s="183"/>
      <c r="E65" s="184">
        <f>IFERROR('Income Statement'!E$8/AVERAGE('Invested Capital'!D20:E20),"NM")</f>
        <v>77.021725462801257</v>
      </c>
      <c r="F65" s="184">
        <f>IFERROR('Income Statement'!F$8/AVERAGE('Invested Capital'!E20:F20),"NM")</f>
        <v>64.06134595389193</v>
      </c>
      <c r="G65" s="184">
        <f>IFERROR('Income Statement'!G$8/AVERAGE('Invested Capital'!F20:G20),"NM")</f>
        <v>49.781219695417604</v>
      </c>
      <c r="H65" s="184">
        <f>IFERROR('Income Statement'!H$8/AVERAGE('Invested Capital'!G20:H20),"NM")</f>
        <v>57.852531533581057</v>
      </c>
      <c r="I65" s="184">
        <f>IFERROR('Income Statement'!I$8/AVERAGE('Invested Capital'!H20:I20),"NM")</f>
        <v>91.191540785498489</v>
      </c>
      <c r="J65" s="691">
        <f>IFERROR('Income Statement'!J$8/AVERAGE('Invested Capital'!I20:J20),"NM")</f>
        <v>115.77134477078226</v>
      </c>
      <c r="K65" s="184">
        <f>IFERROR('Income Statement'!K$8/AVERAGE('Invested Capital'!J20:K20),"NM")</f>
        <v>97.609225492137028</v>
      </c>
      <c r="L65" s="184">
        <f>IFERROR('Income Statement'!L$8/AVERAGE('Invested Capital'!K20:L20),"NM")</f>
        <v>78.113007962246741</v>
      </c>
      <c r="M65" s="184">
        <f>IFERROR('Income Statement'!M$8/AVERAGE('Invested Capital'!L20:M20),"NM")</f>
        <v>71.599533343597813</v>
      </c>
      <c r="N65" s="184">
        <f>IFERROR('Income Statement'!N$8/AVERAGE('Invested Capital'!M20:N20),"NM")</f>
        <v>69.201161174821223</v>
      </c>
      <c r="O65" s="685">
        <f>IFERROR('Income Statement'!O$8/AVERAGE('Invested Capital'!N20:O20),"NM")</f>
        <v>69.315224664034744</v>
      </c>
      <c r="R65" s="683" t="str">
        <f t="shared" si="22"/>
        <v>Other current liabilities Turns</v>
      </c>
      <c r="T65" s="184">
        <f>IFERROR('Income Statement'!T$8/AVERAGE('Invested Capital'!S20:T20),"NM")</f>
        <v>19.119201409277746</v>
      </c>
      <c r="U65" s="184">
        <f>IFERROR('Income Statement'!U$8/AVERAGE('Invested Capital'!T20:U20),"NM")</f>
        <v>17.895000511195175</v>
      </c>
      <c r="V65" s="184">
        <f>IFERROR('Income Statement'!V$8/AVERAGE('Invested Capital'!U20:V20),"NM")</f>
        <v>18.371924817949228</v>
      </c>
      <c r="W65" s="694"/>
      <c r="X65" s="184">
        <f>IFERROR('Income Statement'!X$8/AVERAGE('Invested Capital'!W20:X20),"NM")</f>
        <v>19.719621476442683</v>
      </c>
      <c r="Y65" s="184">
        <f>IFERROR('Income Statement'!Y$8/AVERAGE('Invested Capital'!X20:Y20),"NM")</f>
        <v>17.266693515908177</v>
      </c>
      <c r="Z65" s="184">
        <f>IFERROR('Income Statement'!Z$8/AVERAGE('Invested Capital'!Y20:Z20),"NM")</f>
        <v>12.758375680172685</v>
      </c>
      <c r="AA65" s="184">
        <f>IFERROR('Income Statement'!AA$8/AVERAGE('Invested Capital'!Z20:AA20),"NM")</f>
        <v>13.508576742332401</v>
      </c>
      <c r="AB65" s="184">
        <f t="shared" si="23"/>
        <v>77.021725462801257</v>
      </c>
      <c r="AC65" s="698">
        <f>IFERROR('Income Statement'!AC$8/AVERAGE('Invested Capital'!AB20:AC20),"NM")</f>
        <v>16.985582790360947</v>
      </c>
      <c r="AD65" s="184">
        <f>IFERROR('Income Statement'!AD$8/AVERAGE('Invested Capital'!AC20:AD20),"NM")</f>
        <v>16.989166636167329</v>
      </c>
      <c r="AE65" s="184">
        <f>IFERROR('Income Statement'!AE$8/AVERAGE('Invested Capital'!AD20:AE20),"NM")</f>
        <v>15.058481598047402</v>
      </c>
      <c r="AF65" s="184">
        <f>IFERROR('Income Statement'!AF$8/AVERAGE('Invested Capital'!AE20:AF20),"NM")</f>
        <v>13.53262778515905</v>
      </c>
      <c r="AG65" s="685">
        <f t="shared" si="24"/>
        <v>64.06134595389193</v>
      </c>
      <c r="AH65" s="698">
        <f>IFERROR('Income Statement'!AH$8/AVERAGE('Invested Capital'!AG20:AH20),"NM")</f>
        <v>13.193710468759235</v>
      </c>
      <c r="AI65" s="184">
        <f>IFERROR('Income Statement'!AI$8/AVERAGE('Invested Capital'!AH20:AI20),"NM")</f>
        <v>12.301631434161553</v>
      </c>
      <c r="AJ65" s="184">
        <f>IFERROR('Income Statement'!AJ$8/AVERAGE('Invested Capital'!AI20:AJ20),"NM")</f>
        <v>13.245666171371967</v>
      </c>
      <c r="AK65" s="184">
        <f>IFERROR('Income Statement'!AK$8/AVERAGE('Invested Capital'!AJ20:AK20),"NM")</f>
        <v>11.867251126995592</v>
      </c>
      <c r="AL65" s="685">
        <f t="shared" si="25"/>
        <v>49.781219695417604</v>
      </c>
      <c r="AM65" s="698">
        <f>IFERROR('Income Statement'!AM$8/AVERAGE('Invested Capital'!AL20:AM20),"NM")</f>
        <v>10.895696407670838</v>
      </c>
      <c r="AN65" s="184">
        <f>IFERROR('Income Statement'!AN$8/AVERAGE('Invested Capital'!AM20:AN20),"NM")</f>
        <v>14.734761247727244</v>
      </c>
      <c r="AO65" s="184">
        <f>IFERROR('Income Statement'!AO$8/AVERAGE('Invested Capital'!AN20:AO20),"NM")</f>
        <v>18.502484649221579</v>
      </c>
      <c r="AP65" s="184">
        <f>IFERROR('Income Statement'!AP$8/AVERAGE('Invested Capital'!AO20:AP20),"NM")</f>
        <v>16.261225888057346</v>
      </c>
      <c r="AQ65" s="685">
        <f t="shared" si="26"/>
        <v>57.852531533581057</v>
      </c>
      <c r="AR65" s="698">
        <f>IFERROR('Income Statement'!AR$8/AVERAGE('Invested Capital'!AQ20:AR20),"NM")</f>
        <v>13.202008605456777</v>
      </c>
      <c r="AS65" s="184">
        <f>IFERROR('Income Statement'!AS$8/AVERAGE('Invested Capital'!AR20:AS20),"NM")</f>
        <v>17.097509517038937</v>
      </c>
      <c r="AT65" s="184">
        <f>IFERROR('Income Statement'!AT$8/AVERAGE('Invested Capital'!AS20:AT20),"NM")</f>
        <v>25.729536236995241</v>
      </c>
      <c r="AU65" s="184">
        <f>IFERROR('Income Statement'!AU$8/AVERAGE('Invested Capital'!AT20:AU20),"NM")</f>
        <v>24.376431226765789</v>
      </c>
      <c r="AV65" s="685">
        <f t="shared" si="27"/>
        <v>91.191540785498489</v>
      </c>
      <c r="AW65" s="698">
        <f>IFERROR('Income Statement'!AW$8/AVERAGE('Invested Capital'!AV20:AW20),"NM")</f>
        <v>28.01072874923139</v>
      </c>
      <c r="AX65" s="184">
        <f>IFERROR('Income Statement'!AX$8/AVERAGE('Invested Capital'!AW20:AX20),"NM")</f>
        <v>27.091869966262994</v>
      </c>
      <c r="AY65" s="184">
        <f>IFERROR('Income Statement'!AY$8/AVERAGE('Invested Capital'!AX20:AY20),"NM")</f>
        <v>29.87643091154365</v>
      </c>
      <c r="AZ65" s="184">
        <f>IFERROR('Income Statement'!AZ$8/AVERAGE('Invested Capital'!AY20:AZ20),"NM")</f>
        <v>28.787827686647251</v>
      </c>
      <c r="BA65" s="685">
        <f t="shared" si="28"/>
        <v>115.77134477078226</v>
      </c>
      <c r="BB65" s="698">
        <f>IFERROR('Income Statement'!BB$8/AVERAGE('Invested Capital'!BA20:BB20),"NM")</f>
        <v>17.671056482294407</v>
      </c>
      <c r="BC65" s="184">
        <f>IFERROR('Income Statement'!BC$8/AVERAGE('Invested Capital'!BB20:BC20),"NM")</f>
        <v>17.398482574973055</v>
      </c>
      <c r="BD65" s="184">
        <f>IFERROR('Income Statement'!BD$8/AVERAGE('Invested Capital'!BC20:BD20),"NM")</f>
        <v>21.624821848156852</v>
      </c>
      <c r="BE65" s="184">
        <f>IFERROR('Income Statement'!BE$8/AVERAGE('Invested Capital'!BD20:BE20),"NM")</f>
        <v>19.6655219560222</v>
      </c>
      <c r="BF65" s="685">
        <f t="shared" si="29"/>
        <v>97.609225492137028</v>
      </c>
      <c r="BG65" s="698">
        <f>IFERROR('Income Statement'!BG$8/AVERAGE('Invested Capital'!BF20:BG20),"NM")</f>
        <v>16.064207588695982</v>
      </c>
      <c r="BH65" s="184">
        <f>IFERROR('Income Statement'!BH$8/AVERAGE('Invested Capital'!BG20:BH20),"NM")</f>
        <v>16.326198484601175</v>
      </c>
      <c r="BI65" s="184">
        <f>IFERROR('Income Statement'!BI$8/AVERAGE('Invested Capital'!BH20:BI20),"NM")</f>
        <v>18.024736834590133</v>
      </c>
      <c r="BJ65" s="184">
        <f>IFERROR('Income Statement'!BJ$8/AVERAGE('Invested Capital'!BI20:BJ20),"NM")</f>
        <v>16.670220825423669</v>
      </c>
      <c r="BK65" s="685">
        <f t="shared" si="30"/>
        <v>78.113007962246741</v>
      </c>
      <c r="BL65" s="698">
        <f>IFERROR('Income Statement'!BL$8/AVERAGE('Invested Capital'!BK20:BL20),"NM")</f>
        <v>14.951183855795406</v>
      </c>
      <c r="BM65" s="184">
        <f>IFERROR('Income Statement'!BM$8/AVERAGE('Invested Capital'!BL20:BM20),"NM")</f>
        <v>16.369868901925159</v>
      </c>
      <c r="BN65" s="184">
        <f>IFERROR('Income Statement'!BN$8/AVERAGE('Invested Capital'!BM20:BN20),"NM")</f>
        <v>18.080454333679548</v>
      </c>
      <c r="BO65" s="184">
        <f>IFERROR('Income Statement'!BO$8/AVERAGE('Invested Capital'!BN20:BO20),"NM")</f>
        <v>16.876507317402577</v>
      </c>
      <c r="BP65" s="685">
        <f t="shared" si="31"/>
        <v>71.599533343597813</v>
      </c>
      <c r="BQ65" s="698">
        <f>IFERROR('Income Statement'!BQ$8/AVERAGE('Invested Capital'!BP20:BQ20),"NM")</f>
        <v>14.454523862059919</v>
      </c>
      <c r="BR65" s="184">
        <f>IFERROR('Income Statement'!BR$8/AVERAGE('Invested Capital'!BQ20:BR20),"NM")</f>
        <v>16.405618437330723</v>
      </c>
      <c r="BS65" s="184">
        <f>IFERROR('Income Statement'!BS$8/AVERAGE('Invested Capital'!BR20:BS20),"NM")</f>
        <v>18.121813499490408</v>
      </c>
      <c r="BT65" s="184">
        <f>IFERROR('Income Statement'!BT$8/AVERAGE('Invested Capital'!BS20:BT20),"NM")</f>
        <v>16.805765882959115</v>
      </c>
      <c r="BU65" s="685">
        <f t="shared" si="32"/>
        <v>69.201161174821223</v>
      </c>
      <c r="BV65" s="698">
        <f>IFERROR('Income Statement'!BV$8/AVERAGE('Invested Capital'!BU20:BV20),"NM")</f>
        <v>14.413752376636445</v>
      </c>
      <c r="BW65" s="184">
        <f>IFERROR('Income Statement'!BW$8/AVERAGE('Invested Capital'!BV20:BW20),"NM")</f>
        <v>16.468835510906835</v>
      </c>
      <c r="BX65" s="184">
        <f>IFERROR('Income Statement'!BX$8/AVERAGE('Invested Capital'!BW20:BX20),"NM")</f>
        <v>18.100910362963855</v>
      </c>
      <c r="BY65" s="184">
        <f>IFERROR('Income Statement'!BY$8/AVERAGE('Invested Capital'!BX20:BY20),"NM")</f>
        <v>16.708082691113162</v>
      </c>
      <c r="BZ65" s="685">
        <f t="shared" si="33"/>
        <v>69.315224664034744</v>
      </c>
    </row>
    <row r="66" spans="1:78" s="114" customFormat="1" ht="14.1" customHeight="1" x14ac:dyDescent="0.2">
      <c r="A66"/>
      <c r="B66"/>
      <c r="C66" s="680" t="str">
        <f>C28&amp;" Turns"</f>
        <v>Net Property and Equipment Turns</v>
      </c>
      <c r="D66" s="183"/>
      <c r="E66" s="681">
        <f>IFERROR('Income Statement'!E8/AVERAGE('Invested Capital'!D28:E28),"NM")</f>
        <v>2.0307102363770984</v>
      </c>
      <c r="F66" s="681">
        <f>IFERROR('Income Statement'!F8/AVERAGE('Invested Capital'!E28:F28),"NM")</f>
        <v>1.7435413776800432</v>
      </c>
      <c r="G66" s="681">
        <f>IFERROR('Income Statement'!G8/AVERAGE('Invested Capital'!F28:G28),"NM")</f>
        <v>1.5147057784560169</v>
      </c>
      <c r="H66" s="681">
        <f>IFERROR('Income Statement'!H8/AVERAGE('Invested Capital'!G28:H28),"NM")</f>
        <v>1.735196326579042</v>
      </c>
      <c r="I66" s="681">
        <f>IFERROR('Income Statement'!I8/AVERAGE('Invested Capital'!H28:I28),"NM")</f>
        <v>1.8667787691680235</v>
      </c>
      <c r="J66" s="689">
        <f>IFERROR('Income Statement'!J8/AVERAGE('Invested Capital'!I28:J28),"NM")</f>
        <v>1.653564571863728</v>
      </c>
      <c r="K66" s="681">
        <f>IFERROR('Income Statement'!K8/AVERAGE('Invested Capital'!J28:K28),"NM")</f>
        <v>1.4083590930821515</v>
      </c>
      <c r="L66" s="681">
        <f>IFERROR('Income Statement'!L8/AVERAGE('Invested Capital'!K28:L28),"NM")</f>
        <v>1.2283650767584626</v>
      </c>
      <c r="M66" s="681">
        <f>IFERROR('Income Statement'!M8/AVERAGE('Invested Capital'!L28:M28),"NM")</f>
        <v>1.2288780200557072</v>
      </c>
      <c r="N66" s="681">
        <f>IFERROR('Income Statement'!N8/AVERAGE('Invested Capital'!M28:N28),"NM")</f>
        <v>1.2109956370373227</v>
      </c>
      <c r="O66" s="682">
        <f>IFERROR('Income Statement'!O8/AVERAGE('Invested Capital'!N28:O28),"NM")</f>
        <v>1.2223832281294371</v>
      </c>
      <c r="R66" s="680" t="str">
        <f t="shared" si="22"/>
        <v>Net Property and Equipment Turns</v>
      </c>
      <c r="T66" s="681">
        <f>IFERROR('Income Statement'!T8/AVERAGE('Invested Capital'!S28:T28),"NM")</f>
        <v>0.50246525875571957</v>
      </c>
      <c r="U66" s="681">
        <f>IFERROR('Income Statement'!U8/AVERAGE('Invested Capital'!T28:U28),"NM")</f>
        <v>0.48754643927814129</v>
      </c>
      <c r="V66" s="681">
        <f>IFERROR('Income Statement'!V8/AVERAGE('Invested Capital'!U28:V28),"NM")</f>
        <v>0.51199564505258932</v>
      </c>
      <c r="W66" s="694"/>
      <c r="X66" s="681">
        <f>IFERROR('Income Statement'!X8/AVERAGE('Invested Capital'!W28:X28),"NM")</f>
        <v>0.5249165128775295</v>
      </c>
      <c r="Y66" s="681">
        <f>IFERROR('Income Statement'!Y8/AVERAGE('Invested Capital'!X28:Y28),"NM")</f>
        <v>0.54080284370173171</v>
      </c>
      <c r="Z66" s="681">
        <f>IFERROR('Income Statement'!Z8/AVERAGE('Invested Capital'!Y28:Z28),"NM")</f>
        <v>0.51259993037847373</v>
      </c>
      <c r="AA66" s="681">
        <f>IFERROR('Income Statement'!AA8/AVERAGE('Invested Capital'!Z28:AA28),"NM")</f>
        <v>0.47056223944821274</v>
      </c>
      <c r="AB66" s="681">
        <f t="shared" si="23"/>
        <v>2.0307102363770984</v>
      </c>
      <c r="AC66" s="696">
        <f>IFERROR('Income Statement'!AC8/AVERAGE('Invested Capital'!AB28:AC28),"NM")</f>
        <v>0.43888131143615772</v>
      </c>
      <c r="AD66" s="681">
        <f>IFERROR('Income Statement'!AD8/AVERAGE('Invested Capital'!AC28:AD28),"NM")</f>
        <v>0.45484965890807466</v>
      </c>
      <c r="AE66" s="681">
        <f>IFERROR('Income Statement'!AE8/AVERAGE('Invested Capital'!AD28:AE28),"NM")</f>
        <v>0.42474396207033366</v>
      </c>
      <c r="AF66" s="681">
        <f>IFERROR('Income Statement'!AF8/AVERAGE('Invested Capital'!AE28:AF28),"NM")</f>
        <v>0.38506246352546392</v>
      </c>
      <c r="AG66" s="682">
        <f t="shared" si="24"/>
        <v>1.7435413776800432</v>
      </c>
      <c r="AH66" s="696">
        <f>IFERROR('Income Statement'!AH8/AVERAGE('Invested Capital'!AG28:AH28),"NM")</f>
        <v>0.37183755118122369</v>
      </c>
      <c r="AI66" s="681">
        <f>IFERROR('Income Statement'!AI8/AVERAGE('Invested Capital'!AH28:AI28),"NM")</f>
        <v>0.33642334656398631</v>
      </c>
      <c r="AJ66" s="681">
        <f>IFERROR('Income Statement'!AJ8/AVERAGE('Invested Capital'!AI28:AJ28),"NM")</f>
        <v>0.38514387668969602</v>
      </c>
      <c r="AK66" s="681">
        <f>IFERROR('Income Statement'!AK8/AVERAGE('Invested Capital'!AJ28:AK28),"NM")</f>
        <v>0.37991698121632245</v>
      </c>
      <c r="AL66" s="682">
        <f t="shared" si="25"/>
        <v>1.5147057784560169</v>
      </c>
      <c r="AM66" s="696">
        <f>IFERROR('Income Statement'!AM8/AVERAGE('Invested Capital'!AL28:AM28),"NM")</f>
        <v>0.38987180896624463</v>
      </c>
      <c r="AN66" s="681">
        <f>IFERROR('Income Statement'!AN8/AVERAGE('Invested Capital'!AM28:AN28),"NM")</f>
        <v>0.45772369122059275</v>
      </c>
      <c r="AO66" s="681">
        <f>IFERROR('Income Statement'!AO8/AVERAGE('Invested Capital'!AN28:AO28),"NM")</f>
        <v>0.47952350825915396</v>
      </c>
      <c r="AP66" s="681">
        <f>IFERROR('Income Statement'!AP8/AVERAGE('Invested Capital'!AO28:AP28),"NM")</f>
        <v>0.45786897020458217</v>
      </c>
      <c r="AQ66" s="682">
        <f t="shared" si="26"/>
        <v>1.735196326579042</v>
      </c>
      <c r="AR66" s="696">
        <f>IFERROR('Income Statement'!AR8/AVERAGE('Invested Capital'!AQ28:AR28),"NM")</f>
        <v>0.47850194594766721</v>
      </c>
      <c r="AS66" s="681">
        <f>IFERROR('Income Statement'!AS8/AVERAGE('Invested Capital'!AR28:AS28),"NM")</f>
        <v>0.5261993724177163</v>
      </c>
      <c r="AT66" s="681">
        <f>IFERROR('Income Statement'!AT8/AVERAGE('Invested Capital'!AS28:AT28),"NM")</f>
        <v>0.48558088455522641</v>
      </c>
      <c r="AU66" s="681">
        <f>IFERROR('Income Statement'!AU8/AVERAGE('Invested Capital'!AT28:AU28),"NM")</f>
        <v>0.41637362288471885</v>
      </c>
      <c r="AV66" s="682">
        <f t="shared" si="27"/>
        <v>1.8667787691680235</v>
      </c>
      <c r="AW66" s="696">
        <f>IFERROR('Income Statement'!AW8/AVERAGE('Invested Capital'!AV28:AW28),"NM")</f>
        <v>0.40192304357363356</v>
      </c>
      <c r="AX66" s="681">
        <f>IFERROR('Income Statement'!AX8/AVERAGE('Invested Capital'!AW28:AX28),"NM")</f>
        <v>0.4083874937201975</v>
      </c>
      <c r="AY66" s="681">
        <f>IFERROR('Income Statement'!AY8/AVERAGE('Invested Capital'!AX28:AY28),"NM")</f>
        <v>0.44072296979590075</v>
      </c>
      <c r="AZ66" s="681">
        <f>IFERROR('Income Statement'!AZ8/AVERAGE('Invested Capital'!AY28:AZ28),"NM")</f>
        <v>0.4080395190977556</v>
      </c>
      <c r="BA66" s="682">
        <f t="shared" si="28"/>
        <v>1.653564571863728</v>
      </c>
      <c r="BB66" s="696">
        <f>IFERROR('Income Statement'!BB8/AVERAGE('Invested Capital'!BA28:BB28),"NM")</f>
        <v>0.36040985324797425</v>
      </c>
      <c r="BC66" s="681">
        <f>IFERROR('Income Statement'!BC8/AVERAGE('Invested Capital'!BB28:BC28),"NM")</f>
        <v>0.34481055804430155</v>
      </c>
      <c r="BD66" s="681">
        <f>IFERROR('Income Statement'!BD8/AVERAGE('Invested Capital'!BC28:BD28),"NM")</f>
        <v>0.33206536944358844</v>
      </c>
      <c r="BE66" s="681">
        <f>IFERROR('Income Statement'!BE8/AVERAGE('Invested Capital'!BD28:BE28),"NM")</f>
        <v>0.29894587319030247</v>
      </c>
      <c r="BF66" s="682">
        <f t="shared" si="29"/>
        <v>1.4083590930821515</v>
      </c>
      <c r="BG66" s="696">
        <f>IFERROR('Income Statement'!BG8/AVERAGE('Invested Capital'!BF28:BG28),"NM")</f>
        <v>0.30459384423388902</v>
      </c>
      <c r="BH66" s="681">
        <f>IFERROR('Income Statement'!BH8/AVERAGE('Invested Capital'!BG28:BH28),"NM")</f>
        <v>0.32357080250520431</v>
      </c>
      <c r="BI66" s="681">
        <f>IFERROR('Income Statement'!BI8/AVERAGE('Invested Capital'!BH28:BI28),"NM")</f>
        <v>0.31147350899814485</v>
      </c>
      <c r="BJ66" s="681">
        <f>IFERROR('Income Statement'!BJ8/AVERAGE('Invested Capital'!BI28:BJ28),"NM")</f>
        <v>0.29039934880882895</v>
      </c>
      <c r="BK66" s="682">
        <f t="shared" si="30"/>
        <v>1.2283650767584626</v>
      </c>
      <c r="BL66" s="696">
        <f>IFERROR('Income Statement'!BL8/AVERAGE('Invested Capital'!BK28:BL28),"NM")</f>
        <v>0.29617881674944724</v>
      </c>
      <c r="BM66" s="681">
        <f>IFERROR('Income Statement'!BM8/AVERAGE('Invested Capital'!BL28:BM28),"NM")</f>
        <v>0.31841440239545937</v>
      </c>
      <c r="BN66" s="681">
        <f>IFERROR('Income Statement'!BN8/AVERAGE('Invested Capital'!BM28:BN28),"NM")</f>
        <v>0.31151002428610985</v>
      </c>
      <c r="BO66" s="681">
        <f>IFERROR('Income Statement'!BO8/AVERAGE('Invested Capital'!BN28:BO28),"NM")</f>
        <v>0.30032213990759188</v>
      </c>
      <c r="BP66" s="682">
        <f t="shared" si="31"/>
        <v>1.2288780200557072</v>
      </c>
      <c r="BQ66" s="696">
        <f>IFERROR('Income Statement'!BQ8/AVERAGE('Invested Capital'!BP28:BQ28),"NM")</f>
        <v>0.28565832911190359</v>
      </c>
      <c r="BR66" s="681">
        <f>IFERROR('Income Statement'!BR8/AVERAGE('Invested Capital'!BQ28:BR28),"NM")</f>
        <v>0.3113396542549659</v>
      </c>
      <c r="BS66" s="681">
        <f>IFERROR('Income Statement'!BS8/AVERAGE('Invested Capital'!BR28:BS28),"NM")</f>
        <v>0.30923962635962232</v>
      </c>
      <c r="BT66" s="681">
        <f>IFERROR('Income Statement'!BT8/AVERAGE('Invested Capital'!BS28:BT28),"NM")</f>
        <v>0.29924550001166023</v>
      </c>
      <c r="BU66" s="682">
        <f t="shared" si="32"/>
        <v>1.2109956370373227</v>
      </c>
      <c r="BV66" s="696">
        <f>IFERROR('Income Statement'!BV8/AVERAGE('Invested Capital'!BU28:BV28),"NM")</f>
        <v>0.28566676942390845</v>
      </c>
      <c r="BW66" s="681">
        <f>IFERROR('Income Statement'!BW8/AVERAGE('Invested Capital'!BV28:BW28),"NM")</f>
        <v>0.31534098240152586</v>
      </c>
      <c r="BX66" s="681">
        <f>IFERROR('Income Statement'!BX8/AVERAGE('Invested Capital'!BW28:BX28),"NM")</f>
        <v>0.31431112256940302</v>
      </c>
      <c r="BY66" s="681">
        <f>IFERROR('Income Statement'!BY8/AVERAGE('Invested Capital'!BX28:BY28),"NM")</f>
        <v>0.30223080746081477</v>
      </c>
      <c r="BZ66" s="682">
        <f t="shared" si="33"/>
        <v>1.2223832281294371</v>
      </c>
    </row>
    <row r="67" spans="1:78" s="114" customFormat="1" ht="14.1" customHeight="1" x14ac:dyDescent="0.2">
      <c r="A67"/>
      <c r="B67"/>
      <c r="C67" s="683" t="str">
        <f>C25&amp;" Tunrs"</f>
        <v>Operating Lease Right-of-Use Assets Tunrs</v>
      </c>
      <c r="D67" s="183"/>
      <c r="E67" s="183" t="str">
        <f>IFERROR('Income Statement'!E$8/AVERAGE('Invested Capital'!D25:E25),"NM")</f>
        <v>NM</v>
      </c>
      <c r="F67" s="183">
        <f>IFERROR('Income Statement'!F$8/AVERAGE('Invested Capital'!E25:F25),"NM")</f>
        <v>34.396669554336313</v>
      </c>
      <c r="G67" s="183">
        <f>IFERROR('Income Statement'!G$8/AVERAGE('Invested Capital'!F25:G25),"NM")</f>
        <v>16.749302635509292</v>
      </c>
      <c r="H67" s="183">
        <f>IFERROR('Income Statement'!H$8/AVERAGE('Invested Capital'!G25:H25),"NM")</f>
        <v>20.665872069924514</v>
      </c>
      <c r="I67" s="183">
        <f>IFERROR('Income Statement'!I$8/AVERAGE('Invested Capital'!H25:I25),"NM")</f>
        <v>24.466403196691143</v>
      </c>
      <c r="J67" s="690">
        <f>IFERROR('Income Statement'!J$8/AVERAGE('Invested Capital'!I25:J25),"NM")</f>
        <v>24.093357135988697</v>
      </c>
      <c r="K67" s="183">
        <f>IFERROR('Income Statement'!K$8/AVERAGE('Invested Capital'!J25:K25),"NM")</f>
        <v>27.623326778437637</v>
      </c>
      <c r="L67" s="183">
        <f>IFERROR('Income Statement'!L$8/AVERAGE('Invested Capital'!K25:L25),"NM")</f>
        <v>29.456674452501186</v>
      </c>
      <c r="M67" s="183">
        <f>IFERROR('Income Statement'!M$8/AVERAGE('Invested Capital'!L25:M25),"NM")</f>
        <v>29.335919911612987</v>
      </c>
      <c r="N67" s="183">
        <f>IFERROR('Income Statement'!N$8/AVERAGE('Invested Capital'!M25:N25),"NM")</f>
        <v>28.353253536905921</v>
      </c>
      <c r="O67" s="684">
        <f>IFERROR('Income Statement'!O$8/AVERAGE('Invested Capital'!N25:O25),"NM")</f>
        <v>28.399987883180909</v>
      </c>
      <c r="R67" s="683" t="str">
        <f t="shared" si="22"/>
        <v>Operating Lease Right-of-Use Assets Tunrs</v>
      </c>
      <c r="T67" s="183" t="str">
        <f>IFERROR('Income Statement'!T$8/AVERAGE('Invested Capital'!S25:T25),"NM")</f>
        <v>NM</v>
      </c>
      <c r="U67" s="183" t="str">
        <f>IFERROR('Income Statement'!U$8/AVERAGE('Invested Capital'!T25:U25),"NM")</f>
        <v>NM</v>
      </c>
      <c r="V67" s="183" t="str">
        <f>IFERROR('Income Statement'!V$8/AVERAGE('Invested Capital'!U25:V25),"NM")</f>
        <v>NM</v>
      </c>
      <c r="W67" s="694"/>
      <c r="X67" s="183" t="str">
        <f>IFERROR('Income Statement'!X$8/AVERAGE('Invested Capital'!W25:X25),"NM")</f>
        <v>NM</v>
      </c>
      <c r="Y67" s="183" t="str">
        <f>IFERROR('Income Statement'!Y$8/AVERAGE('Invested Capital'!X25:Y25),"NM")</f>
        <v>NM</v>
      </c>
      <c r="Z67" s="183" t="str">
        <f>IFERROR('Income Statement'!Z$8/AVERAGE('Invested Capital'!Y25:Z25),"NM")</f>
        <v>NM</v>
      </c>
      <c r="AA67" s="183" t="str">
        <f>IFERROR('Income Statement'!AA$8/AVERAGE('Invested Capital'!Z25:AA25),"NM")</f>
        <v>NM</v>
      </c>
      <c r="AB67" s="183" t="str">
        <f t="shared" si="23"/>
        <v>NM</v>
      </c>
      <c r="AC67" s="697">
        <f>IFERROR('Income Statement'!AC$8/AVERAGE('Invested Capital'!AB25:AC25),"NM")</f>
        <v>11.332707700800443</v>
      </c>
      <c r="AD67" s="183">
        <f>IFERROR('Income Statement'!AD$8/AVERAGE('Invested Capital'!AC25:AD25),"NM")</f>
        <v>6.4370948171260185</v>
      </c>
      <c r="AE67" s="183">
        <f>IFERROR('Income Statement'!AE$8/AVERAGE('Invested Capital'!AD25:AE25),"NM")</f>
        <v>5.3460764472821589</v>
      </c>
      <c r="AF67" s="183">
        <f>IFERROR('Income Statement'!AF$8/AVERAGE('Invested Capital'!AE25:AF25),"NM")</f>
        <v>4.2696829526838176</v>
      </c>
      <c r="AG67" s="684">
        <f t="shared" si="24"/>
        <v>34.396669554336313</v>
      </c>
      <c r="AH67" s="697">
        <f>IFERROR('Income Statement'!AH$8/AVERAGE('Invested Capital'!AG25:AH25),"NM")</f>
        <v>3.9409557609626473</v>
      </c>
      <c r="AI67" s="183">
        <f>IFERROR('Income Statement'!AI$8/AVERAGE('Invested Capital'!AH25:AI25),"NM")</f>
        <v>3.4124373094799898</v>
      </c>
      <c r="AJ67" s="183">
        <f>IFERROR('Income Statement'!AJ$8/AVERAGE('Invested Capital'!AI25:AJ25),"NM")</f>
        <v>4.0133228840125401</v>
      </c>
      <c r="AK67" s="183">
        <f>IFERROR('Income Statement'!AK$8/AVERAGE('Invested Capital'!AJ25:AK25),"NM")</f>
        <v>4.1217809534519594</v>
      </c>
      <c r="AL67" s="684">
        <f t="shared" si="25"/>
        <v>16.749302635509292</v>
      </c>
      <c r="AM67" s="697">
        <f>IFERROR('Income Statement'!AM$8/AVERAGE('Invested Capital'!AL25:AM25),"NM")</f>
        <v>4.2942533222149279</v>
      </c>
      <c r="AN67" s="183">
        <f>IFERROR('Income Statement'!AN$8/AVERAGE('Invested Capital'!AM25:AN25),"NM")</f>
        <v>5.2487620692506267</v>
      </c>
      <c r="AO67" s="183">
        <f>IFERROR('Income Statement'!AO$8/AVERAGE('Invested Capital'!AN25:AO25),"NM")</f>
        <v>5.8421836040084569</v>
      </c>
      <c r="AP67" s="183">
        <f>IFERROR('Income Statement'!AP$8/AVERAGE('Invested Capital'!AO25:AP25),"NM")</f>
        <v>5.8004511914273635</v>
      </c>
      <c r="AQ67" s="684">
        <f t="shared" si="26"/>
        <v>20.665872069924514</v>
      </c>
      <c r="AR67" s="697">
        <f>IFERROR('Income Statement'!AR$8/AVERAGE('Invested Capital'!AQ25:AR25),"NM")</f>
        <v>6.2475233024523673</v>
      </c>
      <c r="AS67" s="183">
        <f>IFERROR('Income Statement'!AS$8/AVERAGE('Invested Capital'!AR25:AS25),"NM")</f>
        <v>7.1253512242674466</v>
      </c>
      <c r="AT67" s="183">
        <f>IFERROR('Income Statement'!AT$8/AVERAGE('Invested Capital'!AS25:AT25),"NM")</f>
        <v>6.8557453766350926</v>
      </c>
      <c r="AU67" s="183">
        <f>IFERROR('Income Statement'!AU$8/AVERAGE('Invested Capital'!AT25:AU25),"NM")</f>
        <v>5.7542286243314242</v>
      </c>
      <c r="AV67" s="684">
        <f t="shared" si="27"/>
        <v>24.466403196691143</v>
      </c>
      <c r="AW67" s="697">
        <f>IFERROR('Income Statement'!AW$8/AVERAGE('Invested Capital'!AV25:AW25),"NM")</f>
        <v>5.5992014885203378</v>
      </c>
      <c r="AX67" s="183">
        <f>IFERROR('Income Statement'!AX$8/AVERAGE('Invested Capital'!AW25:AX25),"NM")</f>
        <v>6.1494918375296574</v>
      </c>
      <c r="AY67" s="183">
        <f>IFERROR('Income Statement'!AY$8/AVERAGE('Invested Capital'!AX25:AY25),"NM")</f>
        <v>6.5537433946311561</v>
      </c>
      <c r="AZ67" s="183">
        <f>IFERROR('Income Statement'!AZ$8/AVERAGE('Invested Capital'!AY25:AZ25),"NM")</f>
        <v>6.1352958473551809</v>
      </c>
      <c r="BA67" s="684">
        <f t="shared" si="28"/>
        <v>24.093357135988697</v>
      </c>
      <c r="BB67" s="697">
        <f>IFERROR('Income Statement'!BB$8/AVERAGE('Invested Capital'!BA25:BB25),"NM")</f>
        <v>6.0806673809888254</v>
      </c>
      <c r="BC67" s="183">
        <f>IFERROR('Income Statement'!BC$8/AVERAGE('Invested Capital'!BB25:BC25),"NM")</f>
        <v>6.4075404438805892</v>
      </c>
      <c r="BD67" s="183">
        <f>IFERROR('Income Statement'!BD$8/AVERAGE('Invested Capital'!BC25:BD25),"NM")</f>
        <v>6.7699425589986211</v>
      </c>
      <c r="BE67" s="183">
        <f>IFERROR('Income Statement'!BE$8/AVERAGE('Invested Capital'!BD25:BE25),"NM")</f>
        <v>6.7161854817457796</v>
      </c>
      <c r="BF67" s="684">
        <f t="shared" si="29"/>
        <v>27.623326778437637</v>
      </c>
      <c r="BG67" s="697">
        <f>IFERROR('Income Statement'!BG$8/AVERAGE('Invested Capital'!BF25:BG25),"NM")</f>
        <v>6.4881349193798279</v>
      </c>
      <c r="BH67" s="183">
        <f>IFERROR('Income Statement'!BH$8/AVERAGE('Invested Capital'!BG25:BH25),"NM")</f>
        <v>6.4534938017515913</v>
      </c>
      <c r="BI67" s="183">
        <f>IFERROR('Income Statement'!BI$8/AVERAGE('Invested Capital'!BH25:BI25),"NM")</f>
        <v>6.6941764300756379</v>
      </c>
      <c r="BJ67" s="183">
        <f>IFERROR('Income Statement'!BJ$8/AVERAGE('Invested Capital'!BI25:BJ25),"NM")</f>
        <v>6.8280660492162397</v>
      </c>
      <c r="BK67" s="684">
        <f t="shared" si="30"/>
        <v>29.456674452501186</v>
      </c>
      <c r="BL67" s="697">
        <f>IFERROR('Income Statement'!BL$8/AVERAGE('Invested Capital'!BK25:BL25),"NM")</f>
        <v>6.4995380725969039</v>
      </c>
      <c r="BM67" s="183">
        <f>IFERROR('Income Statement'!BM$8/AVERAGE('Invested Capital'!BL25:BM25),"NM")</f>
        <v>6.4685003323109367</v>
      </c>
      <c r="BN67" s="183">
        <f>IFERROR('Income Statement'!BN$8/AVERAGE('Invested Capital'!BM25:BN25),"NM")</f>
        <v>6.7170622841828802</v>
      </c>
      <c r="BO67" s="183">
        <f>IFERROR('Income Statement'!BO$8/AVERAGE('Invested Capital'!BN25:BO25),"NM")</f>
        <v>6.9125856726708435</v>
      </c>
      <c r="BP67" s="684">
        <f t="shared" si="31"/>
        <v>29.335919911612987</v>
      </c>
      <c r="BQ67" s="697">
        <f>IFERROR('Income Statement'!BQ$8/AVERAGE('Invested Capital'!BP25:BQ25),"NM")</f>
        <v>6.2709233113957534</v>
      </c>
      <c r="BR67" s="183">
        <f>IFERROR('Income Statement'!BR$8/AVERAGE('Invested Capital'!BQ25:BR25),"NM")</f>
        <v>6.4807772124963936</v>
      </c>
      <c r="BS67" s="183">
        <f>IFERROR('Income Statement'!BS$8/AVERAGE('Invested Capital'!BR25:BS25),"NM")</f>
        <v>6.7340601499067283</v>
      </c>
      <c r="BT67" s="183">
        <f>IFERROR('Income Statement'!BT$8/AVERAGE('Invested Capital'!BS25:BT25),"NM")</f>
        <v>6.8836014490043027</v>
      </c>
      <c r="BU67" s="684">
        <f t="shared" si="32"/>
        <v>28.353253536905921</v>
      </c>
      <c r="BV67" s="697">
        <f>IFERROR('Income Statement'!BV$8/AVERAGE('Invested Capital'!BU25:BV25),"NM")</f>
        <v>6.2521970829632574</v>
      </c>
      <c r="BW67" s="183">
        <f>IFERROR('Income Statement'!BW$8/AVERAGE('Invested Capital'!BV25:BW25),"NM")</f>
        <v>6.5024696844109302</v>
      </c>
      <c r="BX67" s="183">
        <f>IFERROR('Income Statement'!BX$8/AVERAGE('Invested Capital'!BW25:BX25),"NM")</f>
        <v>6.725468310366483</v>
      </c>
      <c r="BY67" s="183">
        <f>IFERROR('Income Statement'!BY$8/AVERAGE('Invested Capital'!BX25:BY25),"NM")</f>
        <v>6.8435787520113784</v>
      </c>
      <c r="BZ67" s="684">
        <f t="shared" si="33"/>
        <v>28.399987883180909</v>
      </c>
    </row>
    <row r="68" spans="1:78" s="114" customFormat="1" ht="14.1" customHeight="1" x14ac:dyDescent="0.2">
      <c r="A68"/>
      <c r="B68"/>
      <c r="C68" s="683" t="str">
        <f>C26&amp;" Tunrs"</f>
        <v>Property and Equipment Tunrs</v>
      </c>
      <c r="D68" s="183"/>
      <c r="E68" s="183">
        <f>IFERROR('Income Statement'!E$8/AVERAGE('Invested Capital'!D26:E26),"NM")</f>
        <v>1.1765577563684158</v>
      </c>
      <c r="F68" s="183">
        <f>IFERROR('Income Statement'!F$8/AVERAGE('Invested Capital'!E26:F26),"NM")</f>
        <v>1.0959671688601016</v>
      </c>
      <c r="G68" s="183">
        <f>IFERROR('Income Statement'!G$8/AVERAGE('Invested Capital'!F26:G26),"NM")</f>
        <v>1.0011718280022393</v>
      </c>
      <c r="H68" s="183">
        <f>IFERROR('Income Statement'!H$8/AVERAGE('Invested Capital'!G26:H26),"NM")</f>
        <v>1.1314053288222867</v>
      </c>
      <c r="I68" s="183">
        <f>IFERROR('Income Statement'!I$8/AVERAGE('Invested Capital'!H26:I26),"NM")</f>
        <v>1.2078063707889859</v>
      </c>
      <c r="J68" s="690">
        <f>IFERROR('Income Statement'!J$8/AVERAGE('Invested Capital'!I26:J26),"NM")</f>
        <v>1.0750364136712443</v>
      </c>
      <c r="K68" s="183">
        <f>IFERROR('Income Statement'!K$8/AVERAGE('Invested Capital'!J26:K26),"NM")</f>
        <v>0.95732531816091027</v>
      </c>
      <c r="L68" s="183">
        <f>IFERROR('Income Statement'!L$8/AVERAGE('Invested Capital'!K26:L26),"NM")</f>
        <v>0.86440203755136447</v>
      </c>
      <c r="M68" s="183">
        <f>IFERROR('Income Statement'!M$8/AVERAGE('Invested Capital'!L26:M26),"NM")</f>
        <v>0.86814734142966576</v>
      </c>
      <c r="N68" s="183">
        <f>IFERROR('Income Statement'!N$8/AVERAGE('Invested Capital'!M26:N26),"NM")</f>
        <v>0.84616368035360878</v>
      </c>
      <c r="O68" s="684">
        <f>IFERROR('Income Statement'!O$8/AVERAGE('Invested Capital'!N26:O26),"NM")</f>
        <v>0.83404077558286516</v>
      </c>
      <c r="R68" s="683" t="str">
        <f t="shared" si="22"/>
        <v>Property and Equipment Tunrs</v>
      </c>
      <c r="T68" s="183">
        <f>IFERROR('Income Statement'!T$8/AVERAGE('Invested Capital'!S26:T26),"NM")</f>
        <v>0.29230189784858263</v>
      </c>
      <c r="U68" s="183">
        <f>IFERROR('Income Statement'!U$8/AVERAGE('Invested Capital'!T26:U26),"NM")</f>
        <v>0.28063759188251231</v>
      </c>
      <c r="V68" s="183">
        <f>IFERROR('Income Statement'!V$8/AVERAGE('Invested Capital'!U26:V26),"NM")</f>
        <v>0.29275810024109616</v>
      </c>
      <c r="W68" s="694"/>
      <c r="X68" s="183">
        <f>IFERROR('Income Statement'!X$8/AVERAGE('Invested Capital'!W26:X26),"NM")</f>
        <v>0.29933119988904772</v>
      </c>
      <c r="Y68" s="183">
        <f>IFERROR('Income Statement'!Y$8/AVERAGE('Invested Capital'!X26:Y26),"NM")</f>
        <v>0.31136171183144296</v>
      </c>
      <c r="Z68" s="183">
        <f>IFERROR('Income Statement'!Z$8/AVERAGE('Invested Capital'!Y26:Z26),"NM")</f>
        <v>0.29713783790577319</v>
      </c>
      <c r="AA68" s="183">
        <f>IFERROR('Income Statement'!AA$8/AVERAGE('Invested Capital'!Z26:AA26),"NM")</f>
        <v>0.27423905824925232</v>
      </c>
      <c r="AB68" s="183">
        <f t="shared" si="23"/>
        <v>1.1765577563684158</v>
      </c>
      <c r="AC68" s="697">
        <f>IFERROR('Income Statement'!AC$8/AVERAGE('Invested Capital'!AB26:AC26),"NM")</f>
        <v>0.26702227667798595</v>
      </c>
      <c r="AD68" s="183">
        <f>IFERROR('Income Statement'!AD$8/AVERAGE('Invested Capital'!AC26:AD26),"NM")</f>
        <v>0.28836510073784866</v>
      </c>
      <c r="AE68" s="183">
        <f>IFERROR('Income Statement'!AE$8/AVERAGE('Invested Capital'!AD26:AE26),"NM")</f>
        <v>0.27577151635487634</v>
      </c>
      <c r="AF68" s="183">
        <f>IFERROR('Income Statement'!AF$8/AVERAGE('Invested Capital'!AE26:AF26),"NM")</f>
        <v>0.25505714773385024</v>
      </c>
      <c r="AG68" s="684">
        <f t="shared" si="24"/>
        <v>1.0959671688601016</v>
      </c>
      <c r="AH68" s="697">
        <f>IFERROR('Income Statement'!AH$8/AVERAGE('Invested Capital'!AG26:AH26),"NM")</f>
        <v>0.24980260157415105</v>
      </c>
      <c r="AI68" s="183">
        <f>IFERROR('Income Statement'!AI$8/AVERAGE('Invested Capital'!AH26:AI26),"NM")</f>
        <v>0.22620222375146612</v>
      </c>
      <c r="AJ68" s="183">
        <f>IFERROR('Income Statement'!AJ$8/AVERAGE('Invested Capital'!AI26:AJ26),"NM")</f>
        <v>0.25568069100190655</v>
      </c>
      <c r="AK68" s="183">
        <f>IFERROR('Income Statement'!AK$8/AVERAGE('Invested Capital'!AJ26:AK26),"NM")</f>
        <v>0.25047501371356506</v>
      </c>
      <c r="AL68" s="684">
        <f t="shared" si="25"/>
        <v>1.0011718280022393</v>
      </c>
      <c r="AM68" s="697">
        <f>IFERROR('Income Statement'!AM$8/AVERAGE('Invested Capital'!AL26:AM26),"NM")</f>
        <v>0.25347353583156851</v>
      </c>
      <c r="AN68" s="183">
        <f>IFERROR('Income Statement'!AN$8/AVERAGE('Invested Capital'!AM26:AN26),"NM")</f>
        <v>0.29282594801601758</v>
      </c>
      <c r="AO68" s="183">
        <f>IFERROR('Income Statement'!AO$8/AVERAGE('Invested Capital'!AN26:AO26),"NM")</f>
        <v>0.30563677386491528</v>
      </c>
      <c r="AP68" s="183">
        <f>IFERROR('Income Statement'!AP$8/AVERAGE('Invested Capital'!AO26:AP26),"NM")</f>
        <v>0.294342380192261</v>
      </c>
      <c r="AQ68" s="684">
        <f t="shared" si="26"/>
        <v>1.1314053288222867</v>
      </c>
      <c r="AR68" s="697">
        <f>IFERROR('Income Statement'!AR$8/AVERAGE('Invested Capital'!AQ26:AR26),"NM")</f>
        <v>0.30704106319450569</v>
      </c>
      <c r="AS68" s="183">
        <f>IFERROR('Income Statement'!AS$8/AVERAGE('Invested Capital'!AR26:AS26),"NM")</f>
        <v>0.33583369800894991</v>
      </c>
      <c r="AT68" s="183">
        <f>IFERROR('Income Statement'!AT$8/AVERAGE('Invested Capital'!AS26:AT26),"NM")</f>
        <v>0.31169635153503494</v>
      </c>
      <c r="AU68" s="183">
        <f>IFERROR('Income Statement'!AU$8/AVERAGE('Invested Capital'!AT26:AU26),"NM")</f>
        <v>0.26860112982501255</v>
      </c>
      <c r="AV68" s="684">
        <f t="shared" si="27"/>
        <v>1.2078063707889859</v>
      </c>
      <c r="AW68" s="697">
        <f>IFERROR('Income Statement'!AW$8/AVERAGE('Invested Capital'!AV26:AW26),"NM")</f>
        <v>0.25996170244837097</v>
      </c>
      <c r="AX68" s="183">
        <f>IFERROR('Income Statement'!AX$8/AVERAGE('Invested Capital'!AW26:AX26),"NM")</f>
        <v>0.26280803343829301</v>
      </c>
      <c r="AY68" s="183">
        <f>IFERROR('Income Statement'!AY$8/AVERAGE('Invested Capital'!AX26:AY26),"NM")</f>
        <v>0.28328444386701701</v>
      </c>
      <c r="AZ68" s="183">
        <f>IFERROR('Income Statement'!AZ$8/AVERAGE('Invested Capital'!AY26:AZ26),"NM")</f>
        <v>0.26489550544976981</v>
      </c>
      <c r="BA68" s="684">
        <f t="shared" si="28"/>
        <v>1.0750364136712443</v>
      </c>
      <c r="BB68" s="697">
        <f>IFERROR('Income Statement'!BB$8/AVERAGE('Invested Capital'!BA26:BB26),"NM")</f>
        <v>0.24275954831977201</v>
      </c>
      <c r="BC68" s="183">
        <f>IFERROR('Income Statement'!BC$8/AVERAGE('Invested Capital'!BB26:BC26),"NM")</f>
        <v>0.23959545689360373</v>
      </c>
      <c r="BD68" s="183">
        <f>IFERROR('Income Statement'!BD$8/AVERAGE('Invested Capital'!BC26:BD26),"NM")</f>
        <v>0.23263355662870674</v>
      </c>
      <c r="BE68" s="183">
        <f>IFERROR('Income Statement'!BE$8/AVERAGE('Invested Capital'!BD26:BE26),"NM")</f>
        <v>0.20964620900960196</v>
      </c>
      <c r="BF68" s="684">
        <f t="shared" si="29"/>
        <v>0.95732531816091027</v>
      </c>
      <c r="BG68" s="697">
        <f>IFERROR('Income Statement'!BG$8/AVERAGE('Invested Capital'!BF26:BG26),"NM")</f>
        <v>0.2141184353509421</v>
      </c>
      <c r="BH68" s="183">
        <f>IFERROR('Income Statement'!BH$8/AVERAGE('Invested Capital'!BG26:BH26),"NM")</f>
        <v>0.22872834136591208</v>
      </c>
      <c r="BI68" s="183">
        <f>IFERROR('Income Statement'!BI$8/AVERAGE('Invested Capital'!BH26:BI26),"NM")</f>
        <v>0.22029754744134164</v>
      </c>
      <c r="BJ68" s="183">
        <f>IFERROR('Income Statement'!BJ$8/AVERAGE('Invested Capital'!BI26:BJ26),"NM")</f>
        <v>0.20529009559694739</v>
      </c>
      <c r="BK68" s="684">
        <f t="shared" si="30"/>
        <v>0.86440203755136447</v>
      </c>
      <c r="BL68" s="697">
        <f>IFERROR('Income Statement'!BL$8/AVERAGE('Invested Capital'!BK26:BL26),"NM")</f>
        <v>0.2101400699919036</v>
      </c>
      <c r="BM68" s="183">
        <f>IFERROR('Income Statement'!BM$8/AVERAGE('Invested Capital'!BL26:BM26),"NM")</f>
        <v>0.22653064791036404</v>
      </c>
      <c r="BN68" s="183">
        <f>IFERROR('Income Statement'!BN$8/AVERAGE('Invested Capital'!BM26:BN26),"NM")</f>
        <v>0.22096279341674346</v>
      </c>
      <c r="BO68" s="183">
        <f>IFERROR('Income Statement'!BO$8/AVERAGE('Invested Capital'!BN26:BO26),"NM")</f>
        <v>0.21227514630242736</v>
      </c>
      <c r="BP68" s="684">
        <f t="shared" si="31"/>
        <v>0.86814734142966576</v>
      </c>
      <c r="BQ68" s="697">
        <f>IFERROR('Income Statement'!BQ$8/AVERAGE('Invested Capital'!BP26:BQ26),"NM")</f>
        <v>0.20177114460462708</v>
      </c>
      <c r="BR68" s="183">
        <f>IFERROR('Income Statement'!BR$8/AVERAGE('Invested Capital'!BQ26:BR26),"NM")</f>
        <v>0.21948805324841245</v>
      </c>
      <c r="BS68" s="183">
        <f>IFERROR('Income Statement'!BS$8/AVERAGE('Invested Capital'!BR26:BS26),"NM")</f>
        <v>0.21659390012865382</v>
      </c>
      <c r="BT68" s="183">
        <f>IFERROR('Income Statement'!BT$8/AVERAGE('Invested Capital'!BS26:BT26),"NM")</f>
        <v>0.2079370120754902</v>
      </c>
      <c r="BU68" s="684">
        <f t="shared" si="32"/>
        <v>0.84616368035360878</v>
      </c>
      <c r="BV68" s="697">
        <f>IFERROR('Income Statement'!BV$8/AVERAGE('Invested Capital'!BU26:BV26),"NM")</f>
        <v>0.19760508078391328</v>
      </c>
      <c r="BW68" s="183">
        <f>IFERROR('Income Statement'!BW$8/AVERAGE('Invested Capital'!BV26:BW26),"NM")</f>
        <v>0.21726448724318914</v>
      </c>
      <c r="BX68" s="183">
        <f>IFERROR('Income Statement'!BX$8/AVERAGE('Invested Capital'!BW26:BX26),"NM")</f>
        <v>0.21471955657874625</v>
      </c>
      <c r="BY68" s="183">
        <f>IFERROR('Income Statement'!BY$8/AVERAGE('Invested Capital'!BX26:BY26),"NM")</f>
        <v>0.20442491643276839</v>
      </c>
      <c r="BZ68" s="684">
        <f t="shared" si="33"/>
        <v>0.83404077558286516</v>
      </c>
    </row>
    <row r="69" spans="1:78" s="114" customFormat="1" ht="14.1" customHeight="1" x14ac:dyDescent="0.2">
      <c r="A69"/>
      <c r="B69"/>
      <c r="C69" s="683" t="str">
        <f>C27&amp;" Tunrs"</f>
        <v>Less: Accumulated Depreciation Tunrs</v>
      </c>
      <c r="D69" s="183"/>
      <c r="E69" s="183">
        <f>IFERROR('Income Statement'!E$8/AVERAGE('Invested Capital'!D27:E27),"NM")</f>
        <v>2.7972147075214564</v>
      </c>
      <c r="F69" s="183">
        <f>IFERROR('Income Statement'!F$8/AVERAGE('Invested Capital'!E27:F27),"NM")</f>
        <v>2.717661946937652</v>
      </c>
      <c r="G69" s="183">
        <f>IFERROR('Income Statement'!G$8/AVERAGE('Invested Capital'!F27:G27),"NM")</f>
        <v>2.5104226361031516</v>
      </c>
      <c r="H69" s="183">
        <f>IFERROR('Income Statement'!H$8/AVERAGE('Invested Capital'!G27:H27),"NM")</f>
        <v>2.809447790480645</v>
      </c>
      <c r="I69" s="183">
        <f>IFERROR('Income Statement'!I$8/AVERAGE('Invested Capital'!H27:I27),"NM")</f>
        <v>3.0017631773315601</v>
      </c>
      <c r="J69" s="690">
        <f>IFERROR('Income Statement'!J$8/AVERAGE('Invested Capital'!I27:J27),"NM")</f>
        <v>2.7251510382579816</v>
      </c>
      <c r="K69" s="183">
        <f>IFERROR('Income Statement'!K$8/AVERAGE('Invested Capital'!J27:K27),"NM")</f>
        <v>2.6973656057588746</v>
      </c>
      <c r="L69" s="183">
        <f>IFERROR('Income Statement'!L$8/AVERAGE('Invested Capital'!K27:L27),"NM")</f>
        <v>2.6544418539195873</v>
      </c>
      <c r="M69" s="183">
        <f>IFERROR('Income Statement'!M$8/AVERAGE('Invested Capital'!L27:M27),"NM")</f>
        <v>2.6866143067305481</v>
      </c>
      <c r="N69" s="183">
        <f>IFERROR('Income Statement'!N$8/AVERAGE('Invested Capital'!M27:N27),"NM")</f>
        <v>2.5555384894079167</v>
      </c>
      <c r="O69" s="684">
        <f>IFERROR('Income Statement'!O$8/AVERAGE('Invested Capital'!N27:O27),"NM")</f>
        <v>2.4031565269995827</v>
      </c>
      <c r="R69" s="683" t="str">
        <f t="shared" si="22"/>
        <v>Less: Accumulated Depreciation Tunrs</v>
      </c>
      <c r="T69" s="183">
        <f>IFERROR('Income Statement'!T$8/AVERAGE('Invested Capital'!S27:T27),"NM")</f>
        <v>0.69884468968962132</v>
      </c>
      <c r="U69" s="183">
        <f>IFERROR('Income Statement'!U$8/AVERAGE('Invested Capital'!T27:U27),"NM")</f>
        <v>0.66127601778328526</v>
      </c>
      <c r="V69" s="183">
        <f>IFERROR('Income Statement'!V$8/AVERAGE('Invested Capital'!U27:V27),"NM")</f>
        <v>0.68369162091370439</v>
      </c>
      <c r="W69" s="694"/>
      <c r="X69" s="183">
        <f>IFERROR('Income Statement'!X$8/AVERAGE('Invested Capital'!W27:X27),"NM")</f>
        <v>0.69651648664391674</v>
      </c>
      <c r="Y69" s="183">
        <f>IFERROR('Income Statement'!Y$8/AVERAGE('Invested Capital'!X27:Y27),"NM")</f>
        <v>0.73389325534480743</v>
      </c>
      <c r="Z69" s="183">
        <f>IFERROR('Income Statement'!Z$8/AVERAGE('Invested Capital'!Y27:Z27),"NM")</f>
        <v>0.70691244698929079</v>
      </c>
      <c r="AA69" s="183">
        <f>IFERROR('Income Statement'!AA$8/AVERAGE('Invested Capital'!Z27:AA27),"NM")</f>
        <v>0.65731690270012977</v>
      </c>
      <c r="AB69" s="183">
        <f t="shared" si="23"/>
        <v>2.7972147075214564</v>
      </c>
      <c r="AC69" s="697">
        <f>IFERROR('Income Statement'!AC$8/AVERAGE('Invested Capital'!AB27:AC27),"NM")</f>
        <v>0.64320027320628093</v>
      </c>
      <c r="AD69" s="183">
        <f>IFERROR('Income Statement'!AD$8/AVERAGE('Invested Capital'!AC27:AD27),"NM")</f>
        <v>0.70192828217760384</v>
      </c>
      <c r="AE69" s="183">
        <f>IFERROR('Income Statement'!AE$8/AVERAGE('Invested Capital'!AD27:AE27),"NM")</f>
        <v>0.68545553553612093</v>
      </c>
      <c r="AF69" s="183">
        <f>IFERROR('Income Statement'!AF$8/AVERAGE('Invested Capital'!AE27:AF27),"NM")</f>
        <v>0.64188224999601573</v>
      </c>
      <c r="AG69" s="684">
        <f t="shared" si="24"/>
        <v>2.717661946937652</v>
      </c>
      <c r="AH69" s="697">
        <f>IFERROR('Income Statement'!AH$8/AVERAGE('Invested Capital'!AG27:AH27),"NM")</f>
        <v>0.63793412670908645</v>
      </c>
      <c r="AI69" s="183">
        <f>IFERROR('Income Statement'!AI$8/AVERAGE('Invested Capital'!AH27:AI27),"NM")</f>
        <v>0.5742428893297542</v>
      </c>
      <c r="AJ69" s="183">
        <f>IFERROR('Income Statement'!AJ$8/AVERAGE('Invested Capital'!AI27:AJ27),"NM")</f>
        <v>0.63944091726337982</v>
      </c>
      <c r="AK69" s="183">
        <f>IFERROR('Income Statement'!AK$8/AVERAGE('Invested Capital'!AJ27:AK27),"NM")</f>
        <v>0.62387944596364864</v>
      </c>
      <c r="AL69" s="684">
        <f t="shared" si="25"/>
        <v>2.5104226361031516</v>
      </c>
      <c r="AM69" s="697">
        <f>IFERROR('Income Statement'!AM$8/AVERAGE('Invested Capital'!AL27:AM27),"NM")</f>
        <v>0.61992101057290383</v>
      </c>
      <c r="AN69" s="183">
        <f>IFERROR('Income Statement'!AN$8/AVERAGE('Invested Capital'!AM27:AN27),"NM")</f>
        <v>0.7038313661768999</v>
      </c>
      <c r="AO69" s="183">
        <f>IFERROR('Income Statement'!AO$8/AVERAGE('Invested Capital'!AN27:AO27),"NM")</f>
        <v>0.73658152330475302</v>
      </c>
      <c r="AP69" s="183">
        <f>IFERROR('Income Statement'!AP$8/AVERAGE('Invested Capital'!AO27:AP27),"NM")</f>
        <v>0.7216186459556948</v>
      </c>
      <c r="AQ69" s="684">
        <f t="shared" si="26"/>
        <v>2.809447790480645</v>
      </c>
      <c r="AR69" s="697">
        <f>IFERROR('Income Statement'!AR$8/AVERAGE('Invested Capital'!AQ27:AR27),"NM")</f>
        <v>0.75352207776519786</v>
      </c>
      <c r="AS69" s="183">
        <f>IFERROR('Income Statement'!AS$8/AVERAGE('Invested Capital'!AR27:AS27),"NM")</f>
        <v>0.82129596734882715</v>
      </c>
      <c r="AT69" s="183">
        <f>IFERROR('Income Statement'!AT$8/AVERAGE('Invested Capital'!AS27:AT27),"NM")</f>
        <v>0.77236508693541739</v>
      </c>
      <c r="AU69" s="183">
        <f>IFERROR('Income Statement'!AU$8/AVERAGE('Invested Capital'!AT27:AU27),"NM")</f>
        <v>0.66885665951119366</v>
      </c>
      <c r="AV69" s="684">
        <f t="shared" si="27"/>
        <v>3.0017631773315601</v>
      </c>
      <c r="AW69" s="697">
        <f>IFERROR('Income Statement'!AW$8/AVERAGE('Invested Capital'!AV27:AW27),"NM")</f>
        <v>0.65050006081188549</v>
      </c>
      <c r="AX69" s="183">
        <f>IFERROR('Income Statement'!AX$8/AVERAGE('Invested Capital'!AW27:AX27),"NM")</f>
        <v>0.6583196227244813</v>
      </c>
      <c r="AY69" s="183">
        <f>IFERROR('Income Statement'!AY$8/AVERAGE('Invested Capital'!AX27:AY27),"NM")</f>
        <v>0.70741050523911286</v>
      </c>
      <c r="AZ69" s="183">
        <f>IFERROR('Income Statement'!AZ$8/AVERAGE('Invested Capital'!AY27:AZ27),"NM")</f>
        <v>0.67234945286101111</v>
      </c>
      <c r="BA69" s="684">
        <f t="shared" si="28"/>
        <v>2.7251510382579816</v>
      </c>
      <c r="BB69" s="697">
        <f>IFERROR('Income Statement'!BB$8/AVERAGE('Invested Capital'!BA27:BB27),"NM")</f>
        <v>0.66262942135207037</v>
      </c>
      <c r="BC69" s="183">
        <f>IFERROR('Income Statement'!BC$8/AVERAGE('Invested Capital'!BB27:BC27),"NM")</f>
        <v>0.6994842513998285</v>
      </c>
      <c r="BD69" s="183">
        <f>IFERROR('Income Statement'!BD$8/AVERAGE('Invested Capital'!BC27:BD27),"NM")</f>
        <v>0.69693089972539968</v>
      </c>
      <c r="BE69" s="183">
        <f>IFERROR('Income Statement'!BE$8/AVERAGE('Invested Capital'!BD27:BE27),"NM")</f>
        <v>0.63542588532608502</v>
      </c>
      <c r="BF69" s="684">
        <f t="shared" si="29"/>
        <v>2.6973656057588746</v>
      </c>
      <c r="BG69" s="697">
        <f>IFERROR('Income Statement'!BG$8/AVERAGE('Invested Capital'!BF27:BG27),"NM")</f>
        <v>0.64876948047258354</v>
      </c>
      <c r="BH69" s="183">
        <f>IFERROR('Income Statement'!BH$8/AVERAGE('Invested Capital'!BG27:BH27),"NM")</f>
        <v>0.69616563176137936</v>
      </c>
      <c r="BI69" s="183">
        <f>IFERROR('Income Statement'!BI$8/AVERAGE('Invested Capital'!BH27:BI27),"NM")</f>
        <v>0.67652002765963193</v>
      </c>
      <c r="BJ69" s="183">
        <f>IFERROR('Income Statement'!BJ$8/AVERAGE('Invested Capital'!BI27:BJ27),"NM")</f>
        <v>0.63529331330985617</v>
      </c>
      <c r="BK69" s="684">
        <f t="shared" si="30"/>
        <v>2.6544418539195873</v>
      </c>
      <c r="BL69" s="697">
        <f>IFERROR('Income Statement'!BL$8/AVERAGE('Invested Capital'!BK27:BL27),"NM")</f>
        <v>0.65093610979603933</v>
      </c>
      <c r="BM69" s="183">
        <f>IFERROR('Income Statement'!BM$8/AVERAGE('Invested Capital'!BL27:BM27),"NM")</f>
        <v>0.70006068144595668</v>
      </c>
      <c r="BN69" s="183">
        <f>IFERROR('Income Statement'!BN$8/AVERAGE('Invested Capital'!BM27:BN27),"NM")</f>
        <v>0.68289506036706693</v>
      </c>
      <c r="BO69" s="183">
        <f>IFERROR('Income Statement'!BO$8/AVERAGE('Invested Capital'!BN27:BO27),"NM")</f>
        <v>0.6554055263597377</v>
      </c>
      <c r="BP69" s="684">
        <f t="shared" si="31"/>
        <v>2.6866143067305481</v>
      </c>
      <c r="BQ69" s="697">
        <f>IFERROR('Income Statement'!BQ$8/AVERAGE('Invested Capital'!BP27:BQ27),"NM")</f>
        <v>0.61923698976585539</v>
      </c>
      <c r="BR69" s="183">
        <f>IFERROR('Income Statement'!BR$8/AVERAGE('Invested Capital'!BQ27:BR27),"NM")</f>
        <v>0.66736389025551468</v>
      </c>
      <c r="BS69" s="183">
        <f>IFERROR('Income Statement'!BS$8/AVERAGE('Invested Capital'!BR27:BS27),"NM")</f>
        <v>0.65287115485175806</v>
      </c>
      <c r="BT69" s="183">
        <f>IFERROR('Income Statement'!BT$8/AVERAGE('Invested Capital'!BS27:BT27),"NM")</f>
        <v>0.62008442272490327</v>
      </c>
      <c r="BU69" s="684">
        <f t="shared" si="32"/>
        <v>2.5555384894079167</v>
      </c>
      <c r="BV69" s="697">
        <f>IFERROR('Income Statement'!BV$8/AVERAGE('Invested Capital'!BU27:BV27),"NM")</f>
        <v>0.58140879306438953</v>
      </c>
      <c r="BW69" s="183">
        <f>IFERROR('Income Statement'!BW$8/AVERAGE('Invested Capital'!BV27:BW27),"NM")</f>
        <v>0.63079451615306215</v>
      </c>
      <c r="BX69" s="183">
        <f>IFERROR('Income Statement'!BX$8/AVERAGE('Invested Capital'!BW27:BX27),"NM")</f>
        <v>0.61562510843432861</v>
      </c>
      <c r="BY69" s="183">
        <f>IFERROR('Income Statement'!BY$8/AVERAGE('Invested Capital'!BX27:BY27),"NM")</f>
        <v>0.57831399872331601</v>
      </c>
      <c r="BZ69" s="684">
        <f t="shared" si="33"/>
        <v>2.4031565269995827</v>
      </c>
    </row>
    <row r="70" spans="1:78" s="114" customFormat="1" ht="14.1" customHeight="1" x14ac:dyDescent="0.2">
      <c r="A70"/>
      <c r="B70"/>
      <c r="C70" s="680" t="str">
        <f>C35&amp;" Turns"</f>
        <v>Other Assets Net Turns</v>
      </c>
      <c r="D70" s="183"/>
      <c r="E70" s="681">
        <f>IFERROR('Income Statement'!E8/AVERAGE('Invested Capital'!D35:E35),"NM")</f>
        <v>-19.776259147653892</v>
      </c>
      <c r="F70" s="681">
        <f>IFERROR('Income Statement'!F8/AVERAGE('Invested Capital'!E35:F35),"NM")</f>
        <v>-15.839006790418948</v>
      </c>
      <c r="G70" s="681">
        <f>IFERROR('Income Statement'!G8/AVERAGE('Invested Capital'!F35:G35),"NM")</f>
        <v>-13.608937379349488</v>
      </c>
      <c r="H70" s="681">
        <f>IFERROR('Income Statement'!H8/AVERAGE('Invested Capital'!G35:H35),"NM")</f>
        <v>-16.227397289411837</v>
      </c>
      <c r="I70" s="681">
        <f>IFERROR('Income Statement'!I8/AVERAGE('Invested Capital'!H35:I35),"NM")</f>
        <v>-18.07993343197661</v>
      </c>
      <c r="J70" s="689">
        <f>IFERROR('Income Statement'!J8/AVERAGE('Invested Capital'!I35:J35),"NM")</f>
        <v>-17.469900628724904</v>
      </c>
      <c r="K70" s="681">
        <f>IFERROR('Income Statement'!K8/AVERAGE('Invested Capital'!J35:K35),"NM")</f>
        <v>-19.206661498900665</v>
      </c>
      <c r="L70" s="681">
        <f>IFERROR('Income Statement'!L8/AVERAGE('Invested Capital'!K35:L35),"NM")</f>
        <v>-17.972053055040799</v>
      </c>
      <c r="M70" s="681">
        <f>IFERROR('Income Statement'!M8/AVERAGE('Invested Capital'!L35:M35),"NM")</f>
        <v>-16.307595571275122</v>
      </c>
      <c r="N70" s="681">
        <f>IFERROR('Income Statement'!N8/AVERAGE('Invested Capital'!M35:N35),"NM")</f>
        <v>-15.472336325043216</v>
      </c>
      <c r="O70" s="682">
        <f>IFERROR('Income Statement'!O8/AVERAGE('Invested Capital'!N35:O35),"NM")</f>
        <v>-15.400262564144114</v>
      </c>
      <c r="R70" s="680" t="str">
        <f t="shared" si="22"/>
        <v>Other Assets Net Turns</v>
      </c>
      <c r="T70" s="681">
        <f>IFERROR('Income Statement'!T8/AVERAGE('Invested Capital'!S35:T35),"NM")</f>
        <v>-3.8526534322241286</v>
      </c>
      <c r="U70" s="681">
        <f>IFERROR('Income Statement'!U8/AVERAGE('Invested Capital'!T35:U35),"NM")</f>
        <v>-3.6008866898797005</v>
      </c>
      <c r="V70" s="681">
        <f>IFERROR('Income Statement'!V8/AVERAGE('Invested Capital'!U35:V35),"NM")</f>
        <v>-4.4252961428833872</v>
      </c>
      <c r="W70" s="694"/>
      <c r="X70" s="681">
        <f>IFERROR('Income Statement'!X8/AVERAGE('Invested Capital'!W35:X35),"NM")</f>
        <v>-5.4639727361246351</v>
      </c>
      <c r="Y70" s="681">
        <f>IFERROR('Income Statement'!Y8/AVERAGE('Invested Capital'!X35:Y35),"NM")</f>
        <v>-5.8466112096004377</v>
      </c>
      <c r="Z70" s="681">
        <f>IFERROR('Income Statement'!Z8/AVERAGE('Invested Capital'!Y35:Z35),"NM")</f>
        <v>-5.6261129950225079</v>
      </c>
      <c r="AA70" s="681">
        <f>IFERROR('Income Statement'!AA8/AVERAGE('Invested Capital'!Z35:AA35),"NM")</f>
        <v>-4.6724677637058063</v>
      </c>
      <c r="AB70" s="681">
        <f t="shared" si="23"/>
        <v>-19.776259147653892</v>
      </c>
      <c r="AC70" s="696">
        <f>IFERROR('Income Statement'!AC8/AVERAGE('Invested Capital'!AB35:AC35),"NM")</f>
        <v>-4.1590340454411932</v>
      </c>
      <c r="AD70" s="681">
        <f>IFERROR('Income Statement'!AD8/AVERAGE('Invested Capital'!AC35:AD35),"NM")</f>
        <v>-4.3406847733085216</v>
      </c>
      <c r="AE70" s="681">
        <f>IFERROR('Income Statement'!AE8/AVERAGE('Invested Capital'!AD35:AE35),"NM")</f>
        <v>-3.9340123669130547</v>
      </c>
      <c r="AF70" s="681">
        <f>IFERROR('Income Statement'!AF8/AVERAGE('Invested Capital'!AE35:AF35),"NM")</f>
        <v>-3.4806022208169165</v>
      </c>
      <c r="AG70" s="682">
        <f t="shared" si="24"/>
        <v>-15.839006790418948</v>
      </c>
      <c r="AH70" s="696">
        <f>IFERROR('Income Statement'!AH8/AVERAGE('Invested Capital'!AG35:AH35),"NM")</f>
        <v>-3.3606564782052244</v>
      </c>
      <c r="AI70" s="681">
        <f>IFERROR('Income Statement'!AI8/AVERAGE('Invested Capital'!AH35:AI35),"NM")</f>
        <v>-3.0077871815438399</v>
      </c>
      <c r="AJ70" s="681">
        <f>IFERROR('Income Statement'!AJ8/AVERAGE('Invested Capital'!AI35:AJ35),"NM")</f>
        <v>-3.3615620166271531</v>
      </c>
      <c r="AK70" s="681">
        <f>IFERROR('Income Statement'!AK8/AVERAGE('Invested Capital'!AJ35:AK35),"NM")</f>
        <v>-3.3603227160049793</v>
      </c>
      <c r="AL70" s="682">
        <f t="shared" si="25"/>
        <v>-13.608937379349488</v>
      </c>
      <c r="AM70" s="696">
        <f>IFERROR('Income Statement'!AM8/AVERAGE('Invested Capital'!AL35:AM35),"NM")</f>
        <v>-3.4913001301825082</v>
      </c>
      <c r="AN70" s="681">
        <f>IFERROR('Income Statement'!AN8/AVERAGE('Invested Capital'!AM35:AN35),"NM")</f>
        <v>-4.084408618869765</v>
      </c>
      <c r="AO70" s="681">
        <f>IFERROR('Income Statement'!AO8/AVERAGE('Invested Capital'!AN35:AO35),"NM")</f>
        <v>-4.1959859987627537</v>
      </c>
      <c r="AP70" s="681">
        <f>IFERROR('Income Statement'!AP8/AVERAGE('Invested Capital'!AO35:AP35),"NM")</f>
        <v>-4.170001554253588</v>
      </c>
      <c r="AQ70" s="682">
        <f t="shared" si="26"/>
        <v>-16.227397289411837</v>
      </c>
      <c r="AR70" s="696">
        <f>IFERROR('Income Statement'!AR8/AVERAGE('Invested Capital'!AQ35:AR35),"NM")</f>
        <v>-4.5864269463403806</v>
      </c>
      <c r="AS70" s="681">
        <f>IFERROR('Income Statement'!AS8/AVERAGE('Invested Capital'!AR35:AS35),"NM")</f>
        <v>-5.1452646979661969</v>
      </c>
      <c r="AT70" s="681">
        <f>IFERROR('Income Statement'!AT8/AVERAGE('Invested Capital'!AS35:AT35),"NM")</f>
        <v>-5.0036761427934566</v>
      </c>
      <c r="AU70" s="681">
        <f>IFERROR('Income Statement'!AU8/AVERAGE('Invested Capital'!AT35:AU35),"NM")</f>
        <v>-4.2004503278168688</v>
      </c>
      <c r="AV70" s="682">
        <f t="shared" si="27"/>
        <v>-18.07993343197661</v>
      </c>
      <c r="AW70" s="696">
        <f>IFERROR('Income Statement'!AW8/AVERAGE('Invested Capital'!AV35:AW35),"NM")</f>
        <v>-3.9363835461331025</v>
      </c>
      <c r="AX70" s="681">
        <f>IFERROR('Income Statement'!AX8/AVERAGE('Invested Capital'!AW35:AX35),"NM")</f>
        <v>-3.9101581520500095</v>
      </c>
      <c r="AY70" s="681">
        <f>IFERROR('Income Statement'!AY8/AVERAGE('Invested Capital'!AX35:AY35),"NM")</f>
        <v>-4.1802174927129423</v>
      </c>
      <c r="AZ70" s="681">
        <f>IFERROR('Income Statement'!AZ8/AVERAGE('Invested Capital'!AY35:AZ35),"NM")</f>
        <v>-4.2906995010296445</v>
      </c>
      <c r="BA70" s="682">
        <f t="shared" si="28"/>
        <v>-17.469900628724904</v>
      </c>
      <c r="BB70" s="696">
        <f>IFERROR('Income Statement'!BB8/AVERAGE('Invested Capital'!BA35:BB35),"NM")</f>
        <v>-4.3679108796296289</v>
      </c>
      <c r="BC70" s="681">
        <f>IFERROR('Income Statement'!BC8/AVERAGE('Invested Capital'!BB35:BC35),"NM")</f>
        <v>-4.5056550282272516</v>
      </c>
      <c r="BD70" s="681">
        <f>IFERROR('Income Statement'!BD8/AVERAGE('Invested Capital'!BC35:BD35),"NM")</f>
        <v>-4.550161829784245</v>
      </c>
      <c r="BE70" s="681">
        <f>IFERROR('Income Statement'!BE8/AVERAGE('Invested Capital'!BD35:BE35),"NM")</f>
        <v>-4.43668562234613</v>
      </c>
      <c r="BF70" s="682">
        <f t="shared" si="29"/>
        <v>-19.206661498900665</v>
      </c>
      <c r="BG70" s="696">
        <f>IFERROR('Income Statement'!BG8/AVERAGE('Invested Capital'!BF35:BG35),"NM")</f>
        <v>-4.3481744728289371</v>
      </c>
      <c r="BH70" s="681">
        <f>IFERROR('Income Statement'!BH8/AVERAGE('Invested Capital'!BG35:BH35),"NM")</f>
        <v>-4.1170784165122551</v>
      </c>
      <c r="BI70" s="681">
        <f>IFERROR('Income Statement'!BI8/AVERAGE('Invested Capital'!BH35:BI35),"NM")</f>
        <v>-3.9547734610591712</v>
      </c>
      <c r="BJ70" s="681">
        <f>IFERROR('Income Statement'!BJ8/AVERAGE('Invested Capital'!BI35:BJ35),"NM")</f>
        <v>-3.8892255850622375</v>
      </c>
      <c r="BK70" s="682">
        <f t="shared" si="30"/>
        <v>-17.972053055040799</v>
      </c>
      <c r="BL70" s="696">
        <f>IFERROR('Income Statement'!BL8/AVERAGE('Invested Capital'!BK35:BL35),"NM")</f>
        <v>-4.0036646416175605</v>
      </c>
      <c r="BM70" s="681">
        <f>IFERROR('Income Statement'!BM8/AVERAGE('Invested Capital'!BL35:BM35),"NM")</f>
        <v>-4.0772434798508987</v>
      </c>
      <c r="BN70" s="681">
        <f>IFERROR('Income Statement'!BN8/AVERAGE('Invested Capital'!BM35:BN35),"NM")</f>
        <v>-3.9218998351527623</v>
      </c>
      <c r="BO70" s="681">
        <f>IFERROR('Income Statement'!BO8/AVERAGE('Invested Capital'!BN35:BO35),"NM")</f>
        <v>-3.8503375637810482</v>
      </c>
      <c r="BP70" s="682">
        <f t="shared" si="31"/>
        <v>-16.307595571275122</v>
      </c>
      <c r="BQ70" s="696">
        <f>IFERROR('Income Statement'!BQ8/AVERAGE('Invested Capital'!BP35:BQ35),"NM")</f>
        <v>-3.7729225913937761</v>
      </c>
      <c r="BR70" s="681">
        <f>IFERROR('Income Statement'!BR8/AVERAGE('Invested Capital'!BQ35:BR35),"NM")</f>
        <v>-4.052919107610518</v>
      </c>
      <c r="BS70" s="681">
        <f>IFERROR('Income Statement'!BS8/AVERAGE('Invested Capital'!BR35:BS35),"NM")</f>
        <v>-3.9018358376197608</v>
      </c>
      <c r="BT70" s="681">
        <f>IFERROR('Income Statement'!BT8/AVERAGE('Invested Capital'!BS35:BT35),"NM")</f>
        <v>-3.8063199011630955</v>
      </c>
      <c r="BU70" s="682">
        <f t="shared" si="32"/>
        <v>-15.472336325043216</v>
      </c>
      <c r="BV70" s="696">
        <f>IFERROR('Income Statement'!BV8/AVERAGE('Invested Capital'!BU35:BV35),"NM")</f>
        <v>-3.7344091522258038</v>
      </c>
      <c r="BW70" s="681">
        <f>IFERROR('Income Statement'!BW8/AVERAGE('Invested Capital'!BV35:BW35),"NM")</f>
        <v>-4.0388284900688394</v>
      </c>
      <c r="BX70" s="681">
        <f>IFERROR('Income Statement'!BX8/AVERAGE('Invested Capital'!BW35:BX35),"NM")</f>
        <v>-3.8722471321663616</v>
      </c>
      <c r="BY70" s="681">
        <f>IFERROR('Income Statement'!BY8/AVERAGE('Invested Capital'!BX35:BY35),"NM")</f>
        <v>-3.7619632215821173</v>
      </c>
      <c r="BZ70" s="682">
        <f t="shared" si="33"/>
        <v>-15.400262564144114</v>
      </c>
    </row>
    <row r="71" spans="1:78" s="114" customFormat="1" ht="14.1" customHeight="1" x14ac:dyDescent="0.2">
      <c r="A71"/>
      <c r="B71"/>
      <c r="C71" s="683" t="str">
        <f>C31&amp;" Turns"</f>
        <v>Goodwill and Identifiable Intangibles, net Turns</v>
      </c>
      <c r="D71" s="183"/>
      <c r="E71" s="183">
        <f>IFERROR('Income Statement'!E$8/AVERAGE('Invested Capital'!D31:E31),"NM")</f>
        <v>70.842303655950815</v>
      </c>
      <c r="F71" s="183">
        <f>IFERROR('Income Statement'!F$8/AVERAGE('Invested Capital'!E31:F31),"NM")</f>
        <v>80.942964573706618</v>
      </c>
      <c r="G71" s="183">
        <f>IFERROR('Income Statement'!G$8/AVERAGE('Invested Capital'!F31:G31),"NM")</f>
        <v>87.18411673244826</v>
      </c>
      <c r="H71" s="183">
        <f>IFERROR('Income Statement'!H$8/AVERAGE('Invested Capital'!G31:H31),"NM")</f>
        <v>115.94832564972897</v>
      </c>
      <c r="I71" s="183">
        <f>IFERROR('Income Statement'!I$8/AVERAGE('Invested Capital'!H31:I31),"NM")</f>
        <v>149.68407226719563</v>
      </c>
      <c r="J71" s="690">
        <f>IFERROR('Income Statement'!J$8/AVERAGE('Invested Capital'!I31:J31),"NM")</f>
        <v>162.58614755254621</v>
      </c>
      <c r="K71" s="183">
        <f>IFERROR('Income Statement'!K$8/AVERAGE('Invested Capital'!J31:K31),"NM")</f>
        <v>190.23111587332193</v>
      </c>
      <c r="L71" s="183">
        <f>IFERROR('Income Statement'!L$8/AVERAGE('Invested Capital'!K31:L31),"NM")</f>
        <v>222.42506136684821</v>
      </c>
      <c r="M71" s="183">
        <f>IFERROR('Income Statement'!M$8/AVERAGE('Invested Capital'!L31:M31),"NM")</f>
        <v>269.80044532848996</v>
      </c>
      <c r="N71" s="183">
        <f>IFERROR('Income Statement'!N$8/AVERAGE('Invested Capital'!M31:N31),"NM")</f>
        <v>311.23778918414394</v>
      </c>
      <c r="O71" s="684">
        <f>IFERROR('Income Statement'!O$8/AVERAGE('Invested Capital'!N31:O31),"NM")</f>
        <v>357.28875028275348</v>
      </c>
      <c r="R71" s="683" t="str">
        <f t="shared" si="22"/>
        <v>Goodwill and Identifiable Intangibles, net Turns</v>
      </c>
      <c r="T71" s="183">
        <f>IFERROR('Income Statement'!T$8/AVERAGE('Invested Capital'!S31:T31),"NM")</f>
        <v>14.39463054880132</v>
      </c>
      <c r="U71" s="183">
        <f>IFERROR('Income Statement'!U$8/AVERAGE('Invested Capital'!T31:U31),"NM")</f>
        <v>14.265827169549892</v>
      </c>
      <c r="V71" s="183">
        <f>IFERROR('Income Statement'!V$8/AVERAGE('Invested Capital'!U31:V31),"NM")</f>
        <v>15.430974274201885</v>
      </c>
      <c r="W71" s="694"/>
      <c r="X71" s="183">
        <f>IFERROR('Income Statement'!X$8/AVERAGE('Invested Capital'!W31:X31),"NM")</f>
        <v>16.465323915913903</v>
      </c>
      <c r="Y71" s="183">
        <f>IFERROR('Income Statement'!Y$8/AVERAGE('Invested Capital'!X31:Y31),"NM")</f>
        <v>18.23150195611499</v>
      </c>
      <c r="Z71" s="183">
        <f>IFERROR('Income Statement'!Z$8/AVERAGE('Invested Capital'!Y31:Z31),"NM")</f>
        <v>18.362581174084703</v>
      </c>
      <c r="AA71" s="183">
        <f>IFERROR('Income Statement'!AA$8/AVERAGE('Invested Capital'!Z31:AA31),"NM")</f>
        <v>17.812958461976386</v>
      </c>
      <c r="AB71" s="183">
        <f t="shared" si="23"/>
        <v>70.842303655950815</v>
      </c>
      <c r="AC71" s="697">
        <f>IFERROR('Income Statement'!AC$8/AVERAGE('Invested Capital'!AB31:AC31),"NM")</f>
        <v>18.240071079520213</v>
      </c>
      <c r="AD71" s="183">
        <f>IFERROR('Income Statement'!AD$8/AVERAGE('Invested Capital'!AC31:AD31),"NM")</f>
        <v>20.899329161226419</v>
      </c>
      <c r="AE71" s="183">
        <f>IFERROR('Income Statement'!AE$8/AVERAGE('Invested Capital'!AD31:AE31),"NM")</f>
        <v>21.39052485116672</v>
      </c>
      <c r="AF71" s="183">
        <f>IFERROR('Income Statement'!AF$8/AVERAGE('Invested Capital'!AE31:AF31),"NM")</f>
        <v>20.484292285998283</v>
      </c>
      <c r="AG71" s="684">
        <f t="shared" si="24"/>
        <v>80.942964573706618</v>
      </c>
      <c r="AH71" s="697">
        <f>IFERROR('Income Statement'!AH$8/AVERAGE('Invested Capital'!AG31:AH31),"NM")</f>
        <v>20.919745999015859</v>
      </c>
      <c r="AI71" s="183">
        <f>IFERROR('Income Statement'!AI$8/AVERAGE('Invested Capital'!AH31:AI31),"NM")</f>
        <v>19.865257156431881</v>
      </c>
      <c r="AJ71" s="183">
        <f>IFERROR('Income Statement'!AJ$8/AVERAGE('Invested Capital'!AI31:AJ31),"NM")</f>
        <v>23.191482186303084</v>
      </c>
      <c r="AK71" s="183">
        <f>IFERROR('Income Statement'!AK$8/AVERAGE('Invested Capital'!AJ31:AK31),"NM")</f>
        <v>23.281637838366066</v>
      </c>
      <c r="AL71" s="684">
        <f t="shared" si="25"/>
        <v>87.18411673244826</v>
      </c>
      <c r="AM71" s="697">
        <f>IFERROR('Income Statement'!AM$8/AVERAGE('Invested Capital'!AL31:AM31),"NM")</f>
        <v>23.993160020817328</v>
      </c>
      <c r="AN71" s="183">
        <f>IFERROR('Income Statement'!AN$8/AVERAGE('Invested Capital'!AM31:AN31),"NM")</f>
        <v>28.732580653272645</v>
      </c>
      <c r="AO71" s="183">
        <f>IFERROR('Income Statement'!AO$8/AVERAGE('Invested Capital'!AN31:AO31),"NM")</f>
        <v>31.450021690866873</v>
      </c>
      <c r="AP71" s="183">
        <f>IFERROR('Income Statement'!AP$8/AVERAGE('Invested Capital'!AO31:AP31),"NM")</f>
        <v>31.968967750291416</v>
      </c>
      <c r="AQ71" s="684">
        <f t="shared" si="26"/>
        <v>115.94832564972897</v>
      </c>
      <c r="AR71" s="697">
        <f>IFERROR('Income Statement'!AR$8/AVERAGE('Invested Capital'!AQ31:AR31),"NM")</f>
        <v>34.779791179023228</v>
      </c>
      <c r="AS71" s="183">
        <f>IFERROR('Income Statement'!AS$8/AVERAGE('Invested Capital'!AR31:AS31),"NM")</f>
        <v>39.824475188291224</v>
      </c>
      <c r="AT71" s="183">
        <f>IFERROR('Income Statement'!AT$8/AVERAGE('Invested Capital'!AS31:AT31),"NM")</f>
        <v>39.501922139801827</v>
      </c>
      <c r="AU71" s="183">
        <f>IFERROR('Income Statement'!AU$8/AVERAGE('Invested Capital'!AT31:AU31),"NM")</f>
        <v>35.91936676618004</v>
      </c>
      <c r="AV71" s="684">
        <f t="shared" si="27"/>
        <v>149.68407226719563</v>
      </c>
      <c r="AW71" s="697">
        <f>IFERROR('Income Statement'!AW$8/AVERAGE('Invested Capital'!AV31:AW31),"NM")</f>
        <v>36.609948732160177</v>
      </c>
      <c r="AX71" s="183">
        <f>IFERROR('Income Statement'!AX$8/AVERAGE('Invested Capital'!AW31:AX31),"NM")</f>
        <v>38.960233327724488</v>
      </c>
      <c r="AY71" s="183">
        <f>IFERROR('Income Statement'!AY$8/AVERAGE('Invested Capital'!AX31:AY31),"NM")</f>
        <v>44.003519627600689</v>
      </c>
      <c r="AZ71" s="183">
        <f>IFERROR('Income Statement'!AZ$8/AVERAGE('Invested Capital'!AY31:AZ31),"NM")</f>
        <v>43.162304266628361</v>
      </c>
      <c r="BA71" s="684">
        <f t="shared" si="28"/>
        <v>162.58614755254621</v>
      </c>
      <c r="BB71" s="697">
        <f>IFERROR('Income Statement'!BB$8/AVERAGE('Invested Capital'!BA31:BB31),"NM")</f>
        <v>43.910349642213042</v>
      </c>
      <c r="BC71" s="183">
        <f>IFERROR('Income Statement'!BC$8/AVERAGE('Invested Capital'!BB31:BC31),"NM")</f>
        <v>48.496008954080885</v>
      </c>
      <c r="BD71" s="183">
        <f>IFERROR('Income Statement'!BD$8/AVERAGE('Invested Capital'!BC31:BD31),"NM")</f>
        <v>50.237315436241609</v>
      </c>
      <c r="BE71" s="183">
        <f>IFERROR('Income Statement'!BE$8/AVERAGE('Invested Capital'!BD31:BE31),"NM")</f>
        <v>47.674057175443643</v>
      </c>
      <c r="BF71" s="684">
        <f t="shared" si="29"/>
        <v>190.23111587332193</v>
      </c>
      <c r="BG71" s="697">
        <f>IFERROR('Income Statement'!BG$8/AVERAGE('Invested Capital'!BF31:BG31),"NM")</f>
        <v>50.893323661438302</v>
      </c>
      <c r="BH71" s="183">
        <f>IFERROR('Income Statement'!BH$8/AVERAGE('Invested Capital'!BG31:BH31),"NM")</f>
        <v>57.05113483307133</v>
      </c>
      <c r="BI71" s="183">
        <f>IFERROR('Income Statement'!BI$8/AVERAGE('Invested Capital'!BH31:BI31),"NM")</f>
        <v>57.860987751533408</v>
      </c>
      <c r="BJ71" s="183">
        <f>IFERROR('Income Statement'!BJ$8/AVERAGE('Invested Capital'!BI31:BJ31),"NM")</f>
        <v>56.747131785407866</v>
      </c>
      <c r="BK71" s="684">
        <f t="shared" si="30"/>
        <v>222.42506136684821</v>
      </c>
      <c r="BL71" s="697">
        <f>IFERROR('Income Statement'!BL$8/AVERAGE('Invested Capital'!BK31:BL31),"NM")</f>
        <v>60.862997796896174</v>
      </c>
      <c r="BM71" s="183">
        <f>IFERROR('Income Statement'!BM$8/AVERAGE('Invested Capital'!BL31:BM31),"NM")</f>
        <v>68.594857623452555</v>
      </c>
      <c r="BN71" s="183">
        <f>IFERROR('Income Statement'!BN$8/AVERAGE('Invested Capital'!BM31:BN31),"NM")</f>
        <v>70.081847920276957</v>
      </c>
      <c r="BO71" s="183">
        <f>IFERROR('Income Statement'!BO$8/AVERAGE('Invested Capital'!BN31:BO31),"NM")</f>
        <v>70.480731374423485</v>
      </c>
      <c r="BP71" s="684">
        <f t="shared" si="31"/>
        <v>269.80044532848996</v>
      </c>
      <c r="BQ71" s="697">
        <f>IFERROR('Income Statement'!BQ$8/AVERAGE('Invested Capital'!BP31:BQ31),"NM")</f>
        <v>69.892294159304271</v>
      </c>
      <c r="BR71" s="183">
        <f>IFERROR('Income Statement'!BR$8/AVERAGE('Invested Capital'!BQ31:BR31),"NM")</f>
        <v>79.135704523354335</v>
      </c>
      <c r="BS71" s="183">
        <f>IFERROR('Income Statement'!BS$8/AVERAGE('Invested Capital'!BR31:BS31),"NM")</f>
        <v>81.316652528407289</v>
      </c>
      <c r="BT71" s="183">
        <f>IFERROR('Income Statement'!BT$8/AVERAGE('Invested Capital'!BS31:BT31),"NM")</f>
        <v>81.169590802394438</v>
      </c>
      <c r="BU71" s="684">
        <f t="shared" si="32"/>
        <v>311.23778918414394</v>
      </c>
      <c r="BV71" s="697">
        <f>IFERROR('Income Statement'!BV$8/AVERAGE('Invested Capital'!BU31:BV31),"NM")</f>
        <v>80.044612493079725</v>
      </c>
      <c r="BW71" s="183">
        <f>IFERROR('Income Statement'!BW$8/AVERAGE('Invested Capital'!BV31:BW31),"NM")</f>
        <v>91.325179760406002</v>
      </c>
      <c r="BX71" s="183">
        <f>IFERROR('Income Statement'!BX$8/AVERAGE('Invested Capital'!BW31:BX31),"NM")</f>
        <v>93.698158657162452</v>
      </c>
      <c r="BY71" s="183">
        <f>IFERROR('Income Statement'!BY$8/AVERAGE('Invested Capital'!BX31:BY31),"NM")</f>
        <v>92.546708870049926</v>
      </c>
      <c r="BZ71" s="684">
        <f t="shared" si="33"/>
        <v>357.28875028275348</v>
      </c>
    </row>
    <row r="72" spans="1:78" s="114" customFormat="1" ht="14.1" customHeight="1" x14ac:dyDescent="0.2">
      <c r="A72"/>
      <c r="B72"/>
      <c r="C72" s="683" t="str">
        <f>C32&amp;" Turns"</f>
        <v>Other Noncurrent Assets Turns</v>
      </c>
      <c r="D72" s="183"/>
      <c r="E72" s="183">
        <f>IFERROR('Income Statement'!E$8/AVERAGE('Invested Capital'!D32:E32),"NM")</f>
        <v>371.35938026271469</v>
      </c>
      <c r="F72" s="183">
        <f>IFERROR('Income Statement'!F$8/AVERAGE('Invested Capital'!E32:F32),"NM")</f>
        <v>357.74051456602257</v>
      </c>
      <c r="G72" s="183">
        <f>IFERROR('Income Statement'!G$8/AVERAGE('Invested Capital'!F32:G32),"NM")</f>
        <v>294.9766914859178</v>
      </c>
      <c r="H72" s="183">
        <f>IFERROR('Income Statement'!H$8/AVERAGE('Invested Capital'!G32:H32),"NM")</f>
        <v>159.94856384093927</v>
      </c>
      <c r="I72" s="183">
        <f>IFERROR('Income Statement'!I$8/AVERAGE('Invested Capital'!H32:I32),"NM")</f>
        <v>126.32884645838516</v>
      </c>
      <c r="J72" s="690">
        <f>IFERROR('Income Statement'!J$8/AVERAGE('Invested Capital'!I32:J32),"NM")</f>
        <v>99.132437685995896</v>
      </c>
      <c r="K72" s="183">
        <f>IFERROR('Income Statement'!K$8/AVERAGE('Invested Capital'!J32:K32),"NM")</f>
        <v>102.92453817206709</v>
      </c>
      <c r="L72" s="183">
        <f>IFERROR('Income Statement'!L$8/AVERAGE('Invested Capital'!K32:L32),"NM")</f>
        <v>120.98378463266533</v>
      </c>
      <c r="M72" s="183">
        <f>IFERROR('Income Statement'!M$8/AVERAGE('Invested Capital'!L32:M32),"NM")</f>
        <v>126.86047298947683</v>
      </c>
      <c r="N72" s="183">
        <f>IFERROR('Income Statement'!N$8/AVERAGE('Invested Capital'!M32:N32),"NM")</f>
        <v>131.7054357843372</v>
      </c>
      <c r="O72" s="684">
        <f>IFERROR('Income Statement'!O$8/AVERAGE('Invested Capital'!N32:O32),"NM")</f>
        <v>131.92252436058226</v>
      </c>
      <c r="R72" s="683" t="str">
        <f t="shared" si="22"/>
        <v>Other Noncurrent Assets Turns</v>
      </c>
      <c r="T72" s="183">
        <f>IFERROR('Income Statement'!T$8/AVERAGE('Invested Capital'!S32:T32),"NM")</f>
        <v>72.546080615758555</v>
      </c>
      <c r="U72" s="183">
        <f>IFERROR('Income Statement'!U$8/AVERAGE('Invested Capital'!T32:U32),"NM")</f>
        <v>71.969983552631575</v>
      </c>
      <c r="V72" s="183">
        <f>IFERROR('Income Statement'!V$8/AVERAGE('Invested Capital'!U32:V32),"NM")</f>
        <v>80.99587852494578</v>
      </c>
      <c r="W72" s="694"/>
      <c r="X72" s="183">
        <f>IFERROR('Income Statement'!X$8/AVERAGE('Invested Capital'!W32:X32),"NM")</f>
        <v>84.811616107092732</v>
      </c>
      <c r="Y72" s="183">
        <f>IFERROR('Income Statement'!Y$8/AVERAGE('Invested Capital'!X32:Y32),"NM")</f>
        <v>83.671350507416093</v>
      </c>
      <c r="Z72" s="183">
        <f>IFERROR('Income Statement'!Z$8/AVERAGE('Invested Capital'!Y32:Z32),"NM")</f>
        <v>85.548698361644384</v>
      </c>
      <c r="AA72" s="183">
        <f>IFERROR('Income Statement'!AA$8/AVERAGE('Invested Capital'!Z32:AA32),"NM")</f>
        <v>86.977440393456604</v>
      </c>
      <c r="AB72" s="183">
        <f t="shared" si="23"/>
        <v>371.35938026271469</v>
      </c>
      <c r="AC72" s="697">
        <f>IFERROR('Income Statement'!AC$8/AVERAGE('Invested Capital'!AB32:AC32),"NM")</f>
        <v>81.529785544082614</v>
      </c>
      <c r="AD72" s="183">
        <f>IFERROR('Income Statement'!AD$8/AVERAGE('Invested Capital'!AC32:AD32),"NM")</f>
        <v>84.498953308455441</v>
      </c>
      <c r="AE72" s="183">
        <f>IFERROR('Income Statement'!AE$8/AVERAGE('Invested Capital'!AD32:AE32),"NM")</f>
        <v>81.003887017362018</v>
      </c>
      <c r="AF72" s="183">
        <f>IFERROR('Income Statement'!AF$8/AVERAGE('Invested Capital'!AE32:AF32),"NM")</f>
        <v>78.038749449581644</v>
      </c>
      <c r="AG72" s="684">
        <f t="shared" si="24"/>
        <v>357.74051456602257</v>
      </c>
      <c r="AH72" s="697">
        <f>IFERROR('Income Statement'!AH$8/AVERAGE('Invested Capital'!AG32:AH32),"NM")</f>
        <v>81.45169236383542</v>
      </c>
      <c r="AI72" s="183">
        <f>IFERROR('Income Statement'!AI$8/AVERAGE('Invested Capital'!AH32:AI32),"NM")</f>
        <v>68.706597650152005</v>
      </c>
      <c r="AJ72" s="183">
        <f>IFERROR('Income Statement'!AJ$8/AVERAGE('Invested Capital'!AI32:AJ32),"NM")</f>
        <v>74.648988136775998</v>
      </c>
      <c r="AK72" s="183">
        <f>IFERROR('Income Statement'!AK$8/AVERAGE('Invested Capital'!AJ32:AK32),"NM")</f>
        <v>71.324302073198112</v>
      </c>
      <c r="AL72" s="684">
        <f t="shared" si="25"/>
        <v>294.9766914859178</v>
      </c>
      <c r="AM72" s="697">
        <f>IFERROR('Income Statement'!AM$8/AVERAGE('Invested Capital'!AL32:AM32),"NM")</f>
        <v>61.469714285714289</v>
      </c>
      <c r="AN72" s="183">
        <f>IFERROR('Income Statement'!AN$8/AVERAGE('Invested Capital'!AM32:AN32),"NM")</f>
        <v>58.284119948380777</v>
      </c>
      <c r="AO72" s="183">
        <f>IFERROR('Income Statement'!AO$8/AVERAGE('Invested Capital'!AN32:AO32),"NM")</f>
        <v>53.914283589467651</v>
      </c>
      <c r="AP72" s="183">
        <f>IFERROR('Income Statement'!AP$8/AVERAGE('Invested Capital'!AO32:AP32),"NM")</f>
        <v>36.73975946653966</v>
      </c>
      <c r="AQ72" s="684">
        <f t="shared" si="26"/>
        <v>159.94856384093927</v>
      </c>
      <c r="AR72" s="697">
        <f>IFERROR('Income Statement'!AR$8/AVERAGE('Invested Capital'!AQ32:AR32),"NM")</f>
        <v>27.008802565202295</v>
      </c>
      <c r="AS72" s="183">
        <f>IFERROR('Income Statement'!AS$8/AVERAGE('Invested Capital'!AR32:AS32),"NM")</f>
        <v>24.054784797057494</v>
      </c>
      <c r="AT72" s="183">
        <f>IFERROR('Income Statement'!AT$8/AVERAGE('Invested Capital'!AS32:AT32),"NM")</f>
        <v>24.915424414732851</v>
      </c>
      <c r="AU72" s="183">
        <f>IFERROR('Income Statement'!AU$8/AVERAGE('Invested Capital'!AT32:AU32),"NM")</f>
        <v>28.182056516600397</v>
      </c>
      <c r="AV72" s="684">
        <f t="shared" si="27"/>
        <v>126.32884645838516</v>
      </c>
      <c r="AW72" s="697">
        <f>IFERROR('Income Statement'!AW$8/AVERAGE('Invested Capital'!AV32:AW32),"NM")</f>
        <v>26.341847620187036</v>
      </c>
      <c r="AX72" s="183">
        <f>IFERROR('Income Statement'!AX$8/AVERAGE('Invested Capital'!AW32:AX32),"NM")</f>
        <v>27.734957077260926</v>
      </c>
      <c r="AY72" s="183">
        <f>IFERROR('Income Statement'!AY$8/AVERAGE('Invested Capital'!AX32:AY32),"NM")</f>
        <v>34.34780104132048</v>
      </c>
      <c r="AZ72" s="183">
        <f>IFERROR('Income Statement'!AZ$8/AVERAGE('Invested Capital'!AY32:AZ32),"NM")</f>
        <v>25.843623664608028</v>
      </c>
      <c r="BA72" s="684">
        <f t="shared" si="28"/>
        <v>99.132437685995896</v>
      </c>
      <c r="BB72" s="697">
        <f>IFERROR('Income Statement'!BB$8/AVERAGE('Invested Capital'!BA32:BB32),"NM")</f>
        <v>24.537149916288747</v>
      </c>
      <c r="BC72" s="183">
        <f>IFERROR('Income Statement'!BC$8/AVERAGE('Invested Capital'!BB32:BC32),"NM")</f>
        <v>31.962572554500809</v>
      </c>
      <c r="BD72" s="183">
        <f>IFERROR('Income Statement'!BD$8/AVERAGE('Invested Capital'!BC32:BD32),"NM")</f>
        <v>33.415459703979998</v>
      </c>
      <c r="BE72" s="183">
        <f>IFERROR('Income Statement'!BE$8/AVERAGE('Invested Capital'!BD32:BE32),"NM")</f>
        <v>30.52013412638264</v>
      </c>
      <c r="BF72" s="684">
        <f t="shared" si="29"/>
        <v>102.92453817206709</v>
      </c>
      <c r="BG72" s="697">
        <f>IFERROR('Income Statement'!BG$8/AVERAGE('Invested Capital'!BF32:BG32),"NM")</f>
        <v>28.064041922872544</v>
      </c>
      <c r="BH72" s="183">
        <f>IFERROR('Income Statement'!BH$8/AVERAGE('Invested Capital'!BG32:BH32),"NM")</f>
        <v>28.880346778697348</v>
      </c>
      <c r="BI72" s="183">
        <f>IFERROR('Income Statement'!BI$8/AVERAGE('Invested Capital'!BH32:BI32),"NM")</f>
        <v>30.087428094118113</v>
      </c>
      <c r="BJ72" s="183">
        <f>IFERROR('Income Statement'!BJ$8/AVERAGE('Invested Capital'!BI32:BJ32),"NM")</f>
        <v>28.740751933634833</v>
      </c>
      <c r="BK72" s="684">
        <f t="shared" si="30"/>
        <v>120.98378463266533</v>
      </c>
      <c r="BL72" s="697">
        <f>IFERROR('Income Statement'!BL$8/AVERAGE('Invested Capital'!BK32:BL32),"NM")</f>
        <v>27.38662756171707</v>
      </c>
      <c r="BM72" s="183">
        <f>IFERROR('Income Statement'!BM$8/AVERAGE('Invested Capital'!BL32:BM32),"NM")</f>
        <v>28.948652617909865</v>
      </c>
      <c r="BN72" s="183">
        <f>IFERROR('Income Statement'!BN$8/AVERAGE('Invested Capital'!BM32:BN32),"NM")</f>
        <v>30.188964596554392</v>
      </c>
      <c r="BO72" s="183">
        <f>IFERROR('Income Statement'!BO$8/AVERAGE('Invested Capital'!BN32:BO32),"NM")</f>
        <v>31.357893863661356</v>
      </c>
      <c r="BP72" s="684">
        <f t="shared" si="31"/>
        <v>126.86047298947683</v>
      </c>
      <c r="BQ72" s="697">
        <f>IFERROR('Income Statement'!BQ$8/AVERAGE('Invested Capital'!BP32:BQ32),"NM")</f>
        <v>28.281664202611182</v>
      </c>
      <c r="BR72" s="183">
        <f>IFERROR('Income Statement'!BR$8/AVERAGE('Invested Capital'!BQ32:BR32),"NM")</f>
        <v>29.004537829947502</v>
      </c>
      <c r="BS72" s="183">
        <f>IFERROR('Income Statement'!BS$8/AVERAGE('Invested Capital'!BR32:BS32),"NM")</f>
        <v>30.264372390968397</v>
      </c>
      <c r="BT72" s="183">
        <f>IFERROR('Income Statement'!BT$8/AVERAGE('Invested Capital'!BS32:BT32),"NM")</f>
        <v>31.223372572501045</v>
      </c>
      <c r="BU72" s="684">
        <f t="shared" si="32"/>
        <v>131.7054357843372</v>
      </c>
      <c r="BV72" s="697">
        <f>IFERROR('Income Statement'!BV$8/AVERAGE('Invested Capital'!BU32:BV32),"NM")</f>
        <v>28.199660359048512</v>
      </c>
      <c r="BW72" s="183">
        <f>IFERROR('Income Statement'!BW$8/AVERAGE('Invested Capital'!BV32:BW32),"NM")</f>
        <v>29.103292346032518</v>
      </c>
      <c r="BX72" s="183">
        <f>IFERROR('Income Statement'!BX$8/AVERAGE('Invested Capital'!BW32:BX32),"NM")</f>
        <v>30.226256945644799</v>
      </c>
      <c r="BY72" s="183">
        <f>IFERROR('Income Statement'!BY$8/AVERAGE('Invested Capital'!BX32:BY32),"NM")</f>
        <v>31.037662659741088</v>
      </c>
      <c r="BZ72" s="684">
        <f t="shared" si="33"/>
        <v>131.92252436058226</v>
      </c>
    </row>
    <row r="73" spans="1:78" s="114" customFormat="1" ht="14.1" customHeight="1" x14ac:dyDescent="0.2">
      <c r="A73"/>
      <c r="B73"/>
      <c r="C73" s="683" t="str">
        <f>C33&amp;" Turns"</f>
        <v>Deferred income taxes Turns</v>
      </c>
      <c r="D73" s="183"/>
      <c r="E73" s="183">
        <f>IFERROR('Income Statement'!E$8/AVERAGE('Invested Capital'!D33:E33),"NM")</f>
        <v>22.606536537357499</v>
      </c>
      <c r="F73" s="183">
        <f>IFERROR('Income Statement'!F$8/AVERAGE('Invested Capital'!E33:F33),"NM")</f>
        <v>18.007084979440457</v>
      </c>
      <c r="G73" s="183">
        <f>IFERROR('Income Statement'!G$8/AVERAGE('Invested Capital'!F33:G33),"NM")</f>
        <v>15.752624549969099</v>
      </c>
      <c r="H73" s="183">
        <f>IFERROR('Income Statement'!H$8/AVERAGE('Invested Capital'!G33:H33),"NM")</f>
        <v>18.763329302535308</v>
      </c>
      <c r="I73" s="183">
        <f>IFERROR('Income Statement'!I$8/AVERAGE('Invested Capital'!H33:I33),"NM")</f>
        <v>20.688953272967083</v>
      </c>
      <c r="J73" s="690">
        <f>IFERROR('Income Statement'!J$8/AVERAGE('Invested Capital'!I33:J33),"NM")</f>
        <v>19.106885667679006</v>
      </c>
      <c r="K73" s="183">
        <f>IFERROR('Income Statement'!K$8/AVERAGE('Invested Capital'!J33:K33),"NM")</f>
        <v>20.884070682417597</v>
      </c>
      <c r="L73" s="183">
        <f>IFERROR('Income Statement'!L$8/AVERAGE('Invested Capital'!K33:L33),"NM")</f>
        <v>21.101725726271042</v>
      </c>
      <c r="M73" s="183">
        <f>IFERROR('Income Statement'!M$8/AVERAGE('Invested Capital'!L33:M33),"NM")</f>
        <v>20.212308455848181</v>
      </c>
      <c r="N73" s="183">
        <f>IFERROR('Income Statement'!N$8/AVERAGE('Invested Capital'!M33:N33),"NM")</f>
        <v>19.535256025428001</v>
      </c>
      <c r="O73" s="684">
        <f>IFERROR('Income Statement'!O$8/AVERAGE('Invested Capital'!N33:O33),"NM")</f>
        <v>19.567455766402155</v>
      </c>
      <c r="R73" s="683" t="str">
        <f t="shared" si="22"/>
        <v>Deferred income taxes Turns</v>
      </c>
      <c r="T73" s="183">
        <f>IFERROR('Income Statement'!T$8/AVERAGE('Invested Capital'!S33:T33),"NM")</f>
        <v>4.2182871747157176</v>
      </c>
      <c r="U73" s="183">
        <f>IFERROR('Income Statement'!U$8/AVERAGE('Invested Capital'!T33:U33),"NM")</f>
        <v>3.9523989635258188</v>
      </c>
      <c r="V73" s="183">
        <f>IFERROR('Income Statement'!V$8/AVERAGE('Invested Capital'!U33:V33),"NM")</f>
        <v>4.9956317271736017</v>
      </c>
      <c r="W73" s="694"/>
      <c r="X73" s="183">
        <f>IFERROR('Income Statement'!X$8/AVERAGE('Invested Capital'!W33:X33),"NM")</f>
        <v>6.5220748169425669</v>
      </c>
      <c r="Y73" s="183">
        <f>IFERROR('Income Statement'!Y$8/AVERAGE('Invested Capital'!X33:Y33),"NM")</f>
        <v>6.8900281237444769</v>
      </c>
      <c r="Z73" s="183">
        <f>IFERROR('Income Statement'!Z$8/AVERAGE('Invested Capital'!Y33:Z33),"NM")</f>
        <v>6.5818395533352927</v>
      </c>
      <c r="AA73" s="183">
        <f>IFERROR('Income Statement'!AA$8/AVERAGE('Invested Capital'!Z33:AA33),"NM")</f>
        <v>5.3243710239023976</v>
      </c>
      <c r="AB73" s="183">
        <f t="shared" si="23"/>
        <v>22.606536537357499</v>
      </c>
      <c r="AC73" s="697">
        <f>IFERROR('Income Statement'!AC$8/AVERAGE('Invested Capital'!AB33:AC33),"NM")</f>
        <v>4.5849436909900003</v>
      </c>
      <c r="AD73" s="183">
        <f>IFERROR('Income Statement'!AD$8/AVERAGE('Invested Capital'!AC33:AD33),"NM")</f>
        <v>4.8240080643485133</v>
      </c>
      <c r="AE73" s="183">
        <f>IFERROR('Income Statement'!AE$8/AVERAGE('Invested Capital'!AD33:AE33),"NM")</f>
        <v>4.487961522815918</v>
      </c>
      <c r="AF73" s="183">
        <f>IFERROR('Income Statement'!AF$8/AVERAGE('Invested Capital'!AE33:AF33),"NM")</f>
        <v>4.0229994642840907</v>
      </c>
      <c r="AG73" s="684">
        <f t="shared" si="24"/>
        <v>18.007084979440457</v>
      </c>
      <c r="AH73" s="697">
        <f>IFERROR('Income Statement'!AH$8/AVERAGE('Invested Capital'!AG33:AH33),"NM")</f>
        <v>3.8786857185060324</v>
      </c>
      <c r="AI73" s="183">
        <f>IFERROR('Income Statement'!AI$8/AVERAGE('Invested Capital'!AH33:AI33),"NM")</f>
        <v>3.5172724175496004</v>
      </c>
      <c r="AJ73" s="183">
        <f>IFERROR('Income Statement'!AJ$8/AVERAGE('Invested Capital'!AI33:AJ33),"NM")</f>
        <v>3.9900533389697745</v>
      </c>
      <c r="AK73" s="183">
        <f>IFERROR('Income Statement'!AK$8/AVERAGE('Invested Capital'!AJ33:AK33),"NM")</f>
        <v>3.93819323911067</v>
      </c>
      <c r="AL73" s="684">
        <f t="shared" si="25"/>
        <v>15.752624549969099</v>
      </c>
      <c r="AM73" s="697">
        <f>IFERROR('Income Statement'!AM$8/AVERAGE('Invested Capital'!AL33:AM33),"NM")</f>
        <v>4.0178451374075586</v>
      </c>
      <c r="AN73" s="183">
        <f>IFERROR('Income Statement'!AN$8/AVERAGE('Invested Capital'!AM33:AN33),"NM")</f>
        <v>4.6802952355986625</v>
      </c>
      <c r="AO73" s="183">
        <f>IFERROR('Income Statement'!AO$8/AVERAGE('Invested Capital'!AN33:AO33),"NM")</f>
        <v>4.9714283409236675</v>
      </c>
      <c r="AP73" s="183">
        <f>IFERROR('Income Statement'!AP$8/AVERAGE('Invested Capital'!AO33:AP33),"NM")</f>
        <v>4.9556778027626089</v>
      </c>
      <c r="AQ73" s="684">
        <f t="shared" si="26"/>
        <v>18.763329302535308</v>
      </c>
      <c r="AR73" s="697">
        <f>IFERROR('Income Statement'!AR$8/AVERAGE('Invested Capital'!AQ33:AR33),"NM")</f>
        <v>5.370434895611246</v>
      </c>
      <c r="AS73" s="183">
        <f>IFERROR('Income Statement'!AS$8/AVERAGE('Invested Capital'!AR33:AS33),"NM")</f>
        <v>6.0778445798601917</v>
      </c>
      <c r="AT73" s="183">
        <f>IFERROR('Income Statement'!AT$8/AVERAGE('Invested Capital'!AS33:AT33),"NM")</f>
        <v>5.879076026737688</v>
      </c>
      <c r="AU73" s="183">
        <f>IFERROR('Income Statement'!AU$8/AVERAGE('Invested Capital'!AT33:AU33),"NM")</f>
        <v>4.844114637776979</v>
      </c>
      <c r="AV73" s="684">
        <f t="shared" si="27"/>
        <v>20.688953272967083</v>
      </c>
      <c r="AW73" s="697">
        <f>IFERROR('Income Statement'!AW$8/AVERAGE('Invested Capital'!AV33:AW33),"NM")</f>
        <v>4.4438576426264804</v>
      </c>
      <c r="AX73" s="183">
        <f>IFERROR('Income Statement'!AX$8/AVERAGE('Invested Capital'!AW33:AX33),"NM")</f>
        <v>4.4806806600183187</v>
      </c>
      <c r="AY73" s="183">
        <f>IFERROR('Income Statement'!AY$8/AVERAGE('Invested Capital'!AX33:AY33),"NM")</f>
        <v>4.817401572356359</v>
      </c>
      <c r="AZ73" s="183">
        <f>IFERROR('Income Statement'!AZ$8/AVERAGE('Invested Capital'!AY33:AZ33),"NM")</f>
        <v>4.7076977073592641</v>
      </c>
      <c r="BA73" s="684">
        <f t="shared" si="28"/>
        <v>19.106885667679006</v>
      </c>
      <c r="BB73" s="697">
        <f>IFERROR('Income Statement'!BB$8/AVERAGE('Invested Capital'!BA33:BB33),"NM")</f>
        <v>4.8156584265648377</v>
      </c>
      <c r="BC73" s="183">
        <f>IFERROR('Income Statement'!BC$8/AVERAGE('Invested Capital'!BB33:BC33),"NM")</f>
        <v>5.1849561172850969</v>
      </c>
      <c r="BD73" s="183">
        <f>IFERROR('Income Statement'!BD$8/AVERAGE('Invested Capital'!BC33:BD33),"NM")</f>
        <v>5.2338342780429583</v>
      </c>
      <c r="BE73" s="183">
        <f>IFERROR('Income Statement'!BE$8/AVERAGE('Invested Capital'!BD33:BE33),"NM")</f>
        <v>5.0357620159162968</v>
      </c>
      <c r="BF73" s="684">
        <f t="shared" si="29"/>
        <v>20.884070682417597</v>
      </c>
      <c r="BG73" s="697">
        <f>IFERROR('Income Statement'!BG$8/AVERAGE('Invested Capital'!BF33:BG33),"NM")</f>
        <v>5.0225312887510993</v>
      </c>
      <c r="BH73" s="183">
        <f>IFERROR('Income Statement'!BH$8/AVERAGE('Invested Capital'!BG33:BH33),"NM")</f>
        <v>4.9475844213372184</v>
      </c>
      <c r="BI73" s="183">
        <f>IFERROR('Income Statement'!BI$8/AVERAGE('Invested Capital'!BH33:BI33),"NM")</f>
        <v>4.8096149865685351</v>
      </c>
      <c r="BJ73" s="183">
        <f>IFERROR('Income Statement'!BJ$8/AVERAGE('Invested Capital'!BI33:BJ33),"NM")</f>
        <v>4.7289464078620664</v>
      </c>
      <c r="BK73" s="684">
        <f t="shared" si="30"/>
        <v>21.101725726271042</v>
      </c>
      <c r="BL73" s="697">
        <f>IFERROR('Income Statement'!BL$8/AVERAGE('Invested Capital'!BK33:BL33),"NM")</f>
        <v>4.8361344848915477</v>
      </c>
      <c r="BM73" s="183">
        <f>IFERROR('Income Statement'!BM$8/AVERAGE('Invested Capital'!BL33:BM33),"NM")</f>
        <v>4.9586857770640735</v>
      </c>
      <c r="BN73" s="183">
        <f>IFERROR('Income Statement'!BN$8/AVERAGE('Invested Capital'!BM33:BN33),"NM")</f>
        <v>4.8255632945428486</v>
      </c>
      <c r="BO73" s="183">
        <f>IFERROR('Income Statement'!BO$8/AVERAGE('Invested Capital'!BN33:BO33),"NM")</f>
        <v>4.7871848554224954</v>
      </c>
      <c r="BP73" s="684">
        <f t="shared" si="31"/>
        <v>20.212308455848181</v>
      </c>
      <c r="BQ73" s="697">
        <f>IFERROR('Income Statement'!BQ$8/AVERAGE('Invested Capital'!BP33:BQ33),"NM")</f>
        <v>4.6529450699608974</v>
      </c>
      <c r="BR73" s="183">
        <f>IFERROR('Income Statement'!BR$8/AVERAGE('Invested Capital'!BQ33:BR33),"NM")</f>
        <v>4.9677664807481321</v>
      </c>
      <c r="BS73" s="183">
        <f>IFERROR('Income Statement'!BS$8/AVERAGE('Invested Capital'!BR33:BS33),"NM")</f>
        <v>4.837406364790839</v>
      </c>
      <c r="BT73" s="183">
        <f>IFERROR('Income Statement'!BT$8/AVERAGE('Invested Capital'!BS33:BT33),"NM")</f>
        <v>4.7672140232370408</v>
      </c>
      <c r="BU73" s="684">
        <f t="shared" si="32"/>
        <v>19.535256025428001</v>
      </c>
      <c r="BV73" s="697">
        <f>IFERROR('Income Statement'!BV$8/AVERAGE('Invested Capital'!BU33:BV33),"NM")</f>
        <v>4.637985219667069</v>
      </c>
      <c r="BW73" s="183">
        <f>IFERROR('Income Statement'!BW$8/AVERAGE('Invested Capital'!BV33:BW33),"NM")</f>
        <v>4.9838085564724226</v>
      </c>
      <c r="BX73" s="183">
        <f>IFERROR('Income Statement'!BX$8/AVERAGE('Invested Capital'!BW33:BX33),"NM")</f>
        <v>4.8314203233535888</v>
      </c>
      <c r="BY73" s="183">
        <f>IFERROR('Income Statement'!BY$8/AVERAGE('Invested Capital'!BX33:BY33),"NM")</f>
        <v>4.7396360153523176</v>
      </c>
      <c r="BZ73" s="684">
        <f t="shared" si="33"/>
        <v>19.567455766402155</v>
      </c>
    </row>
    <row r="74" spans="1:78" s="114" customFormat="1" ht="14.1" customHeight="1" x14ac:dyDescent="0.2">
      <c r="A74"/>
      <c r="B74"/>
      <c r="C74" s="683" t="str">
        <f>C34&amp;" Turns"</f>
        <v>Claims, insurance and other Turns</v>
      </c>
      <c r="D74" s="183"/>
      <c r="E74" s="183">
        <f>IFERROR('Income Statement'!E$8/AVERAGE('Invested Capital'!D34:E34),"NM")</f>
        <v>43.216415375369088</v>
      </c>
      <c r="F74" s="183">
        <f>IFERROR('Income Statement'!F$8/AVERAGE('Invested Capital'!E34:F34),"NM")</f>
        <v>43.953579906766208</v>
      </c>
      <c r="G74" s="183">
        <f>IFERROR('Income Statement'!G$8/AVERAGE('Invested Capital'!F34:G34),"NM")</f>
        <v>40.225722074453408</v>
      </c>
      <c r="H74" s="183">
        <f>IFERROR('Income Statement'!H$8/AVERAGE('Invested Capital'!G34:H34),"NM")</f>
        <v>43.093654678968186</v>
      </c>
      <c r="I74" s="183">
        <f>IFERROR('Income Statement'!I$8/AVERAGE('Invested Capital'!H34:I34),"NM")</f>
        <v>46.357352770260171</v>
      </c>
      <c r="J74" s="690">
        <f>IFERROR('Income Statement'!J$8/AVERAGE('Invested Capital'!I34:J34),"NM")</f>
        <v>47.298637557452395</v>
      </c>
      <c r="K74" s="183">
        <f>IFERROR('Income Statement'!K$8/AVERAGE('Invested Capital'!J34:K34),"NM")</f>
        <v>52.207043281652325</v>
      </c>
      <c r="L74" s="183">
        <f>IFERROR('Income Statement'!L$8/AVERAGE('Invested Capital'!K34:L34),"NM")</f>
        <v>47.587496218820164</v>
      </c>
      <c r="M74" s="183">
        <f>IFERROR('Income Statement'!M$8/AVERAGE('Invested Capital'!L34:M34),"NM")</f>
        <v>42.670428962346158</v>
      </c>
      <c r="N74" s="183">
        <f>IFERROR('Income Statement'!N$8/AVERAGE('Invested Capital'!M34:N34),"NM")</f>
        <v>41.241096053681332</v>
      </c>
      <c r="O74" s="684">
        <f>IFERROR('Income Statement'!O$8/AVERAGE('Invested Capital'!N34:O34),"NM")</f>
        <v>41.309073284626763</v>
      </c>
      <c r="R74" s="683" t="str">
        <f t="shared" si="22"/>
        <v>Claims, insurance and other Turns</v>
      </c>
      <c r="T74" s="183">
        <f>IFERROR('Income Statement'!T$8/AVERAGE('Invested Capital'!S34:T34),"NM")</f>
        <v>9.455995142106584</v>
      </c>
      <c r="U74" s="183">
        <f>IFERROR('Income Statement'!U$8/AVERAGE('Invested Capital'!T34:U34),"NM")</f>
        <v>9.2004152594714643</v>
      </c>
      <c r="V74" s="183">
        <f>IFERROR('Income Statement'!V$8/AVERAGE('Invested Capital'!U34:V34),"NM")</f>
        <v>9.713479273162422</v>
      </c>
      <c r="W74" s="694"/>
      <c r="X74" s="183">
        <f>IFERROR('Income Statement'!X$8/AVERAGE('Invested Capital'!W34:X34),"NM")</f>
        <v>9.7831934447460842</v>
      </c>
      <c r="Y74" s="183">
        <f>IFERROR('Income Statement'!Y$8/AVERAGE('Invested Capital'!X34:Y34),"NM")</f>
        <v>10.787067555667381</v>
      </c>
      <c r="Z74" s="183">
        <f>IFERROR('Income Statement'!Z$8/AVERAGE('Invested Capital'!Y34:Z34),"NM")</f>
        <v>10.874621487983442</v>
      </c>
      <c r="AA74" s="183">
        <f>IFERROR('Income Statement'!AA$8/AVERAGE('Invested Capital'!Z34:AA34),"NM")</f>
        <v>10.656414152661151</v>
      </c>
      <c r="AB74" s="183">
        <f t="shared" si="23"/>
        <v>43.216415375369088</v>
      </c>
      <c r="AC74" s="697">
        <f>IFERROR('Income Statement'!AC$8/AVERAGE('Invested Capital'!AB34:AC34),"NM")</f>
        <v>11.182547356093311</v>
      </c>
      <c r="AD74" s="183">
        <f>IFERROR('Income Statement'!AD$8/AVERAGE('Invested Capital'!AC34:AD34),"NM")</f>
        <v>12.082433171087223</v>
      </c>
      <c r="AE74" s="183">
        <f>IFERROR('Income Statement'!AE$8/AVERAGE('Invested Capital'!AD34:AE34),"NM")</f>
        <v>11.053405782581534</v>
      </c>
      <c r="AF74" s="183">
        <f>IFERROR('Income Statement'!AF$8/AVERAGE('Invested Capital'!AE34:AF34),"NM")</f>
        <v>9.9633456638819826</v>
      </c>
      <c r="AG74" s="684">
        <f t="shared" si="24"/>
        <v>43.953579906766208</v>
      </c>
      <c r="AH74" s="697">
        <f>IFERROR('Income Statement'!AH$8/AVERAGE('Invested Capital'!AG34:AH34),"NM")</f>
        <v>10.017975964721328</v>
      </c>
      <c r="AI74" s="183">
        <f>IFERROR('Income Statement'!AI$8/AVERAGE('Invested Capital'!AH34:AI34),"NM")</f>
        <v>8.8454166578518691</v>
      </c>
      <c r="AJ74" s="183">
        <f>IFERROR('Income Statement'!AJ$8/AVERAGE('Invested Capital'!AI34:AJ34),"NM")</f>
        <v>9.6737203834328103</v>
      </c>
      <c r="AK74" s="183">
        <f>IFERROR('Income Statement'!AK$8/AVERAGE('Invested Capital'!AJ34:AK34),"NM")</f>
        <v>9.9364377619752666</v>
      </c>
      <c r="AL74" s="684">
        <f t="shared" si="25"/>
        <v>40.225722074453408</v>
      </c>
      <c r="AM74" s="697">
        <f>IFERROR('Income Statement'!AM$8/AVERAGE('Invested Capital'!AL34:AM34),"NM")</f>
        <v>10.473031738820016</v>
      </c>
      <c r="AN74" s="183">
        <f>IFERROR('Income Statement'!AN$8/AVERAGE('Invested Capital'!AM34:AN34),"NM")</f>
        <v>12.028949501542218</v>
      </c>
      <c r="AO74" s="183">
        <f>IFERROR('Income Statement'!AO$8/AVERAGE('Invested Capital'!AN34:AO34),"NM")</f>
        <v>11.426219173002039</v>
      </c>
      <c r="AP74" s="183">
        <f>IFERROR('Income Statement'!AP$8/AVERAGE('Invested Capital'!AO34:AP34),"NM")</f>
        <v>10.360748495202278</v>
      </c>
      <c r="AQ74" s="684">
        <f t="shared" si="26"/>
        <v>43.093654678968186</v>
      </c>
      <c r="AR74" s="697">
        <f>IFERROR('Income Statement'!AR$8/AVERAGE('Invested Capital'!AQ34:AR34),"NM")</f>
        <v>10.245136699230704</v>
      </c>
      <c r="AS74" s="183">
        <f>IFERROR('Income Statement'!AS$8/AVERAGE('Invested Capital'!AR34:AS34),"NM")</f>
        <v>10.362328610047465</v>
      </c>
      <c r="AT74" s="183">
        <f>IFERROR('Income Statement'!AT$8/AVERAGE('Invested Capital'!AS34:AT34),"NM")</f>
        <v>10.503174443212739</v>
      </c>
      <c r="AU74" s="183">
        <f>IFERROR('Income Statement'!AU$8/AVERAGE('Invested Capital'!AT34:AU34),"NM")</f>
        <v>10.531044229595601</v>
      </c>
      <c r="AV74" s="684">
        <f t="shared" si="27"/>
        <v>46.357352770260171</v>
      </c>
      <c r="AW74" s="697">
        <f>IFERROR('Income Statement'!AW$8/AVERAGE('Invested Capital'!AV34:AW34),"NM")</f>
        <v>10.60580759627813</v>
      </c>
      <c r="AX74" s="183">
        <f>IFERROR('Income Statement'!AX$8/AVERAGE('Invested Capital'!AW34:AX34),"NM")</f>
        <v>10.605968531228289</v>
      </c>
      <c r="AY74" s="183">
        <f>IFERROR('Income Statement'!AY$8/AVERAGE('Invested Capital'!AX34:AY34),"NM")</f>
        <v>11.97882845640903</v>
      </c>
      <c r="AZ74" s="183">
        <f>IFERROR('Income Statement'!AZ$8/AVERAGE('Invested Capital'!AY34:AZ34),"NM")</f>
        <v>12.120212671545097</v>
      </c>
      <c r="BA74" s="684">
        <f t="shared" si="28"/>
        <v>47.298637557452395</v>
      </c>
      <c r="BB74" s="697">
        <f>IFERROR('Income Statement'!BB$8/AVERAGE('Invested Capital'!BA34:BB34),"NM")</f>
        <v>11.790411772056984</v>
      </c>
      <c r="BC74" s="183">
        <f>IFERROR('Income Statement'!BC$8/AVERAGE('Invested Capital'!BB34:BC34),"NM")</f>
        <v>12.348042597870107</v>
      </c>
      <c r="BD74" s="183">
        <f>IFERROR('Income Statement'!BD$8/AVERAGE('Invested Capital'!BC34:BD34),"NM")</f>
        <v>12.732417578263796</v>
      </c>
      <c r="BE74" s="183">
        <f>IFERROR('Income Statement'!BE$8/AVERAGE('Invested Capital'!BD34:BE34),"NM")</f>
        <v>12.413905882108727</v>
      </c>
      <c r="BF74" s="684">
        <f t="shared" si="29"/>
        <v>52.207043281652325</v>
      </c>
      <c r="BG74" s="697">
        <f>IFERROR('Income Statement'!BG$8/AVERAGE('Invested Capital'!BF34:BG34),"NM")</f>
        <v>11.606245263049967</v>
      </c>
      <c r="BH74" s="183">
        <f>IFERROR('Income Statement'!BH$8/AVERAGE('Invested Capital'!BG34:BH34),"NM")</f>
        <v>10.761296194200918</v>
      </c>
      <c r="BI74" s="183">
        <f>IFERROR('Income Statement'!BI$8/AVERAGE('Invested Capital'!BH34:BI34),"NM")</f>
        <v>10.47543724448018</v>
      </c>
      <c r="BJ74" s="183">
        <f>IFERROR('Income Statement'!BJ$8/AVERAGE('Invested Capital'!BI34:BJ34),"NM")</f>
        <v>10.196502980230688</v>
      </c>
      <c r="BK74" s="684">
        <f t="shared" si="30"/>
        <v>47.587496218820164</v>
      </c>
      <c r="BL74" s="697">
        <f>IFERROR('Income Statement'!BL$8/AVERAGE('Invested Capital'!BK34:BL34),"NM")</f>
        <v>10.423293051663334</v>
      </c>
      <c r="BM74" s="183">
        <f>IFERROR('Income Statement'!BM$8/AVERAGE('Invested Capital'!BL34:BM34),"NM")</f>
        <v>10.785196785335105</v>
      </c>
      <c r="BN74" s="183">
        <f>IFERROR('Income Statement'!BN$8/AVERAGE('Invested Capital'!BM34:BN34),"NM")</f>
        <v>10.510551169995789</v>
      </c>
      <c r="BO74" s="183">
        <f>IFERROR('Income Statement'!BO$8/AVERAGE('Invested Capital'!BN34:BO34),"NM")</f>
        <v>10.319424933950993</v>
      </c>
      <c r="BP74" s="684">
        <f t="shared" si="31"/>
        <v>42.670428962346158</v>
      </c>
      <c r="BQ74" s="697">
        <f>IFERROR('Income Statement'!BQ$8/AVERAGE('Invested Capital'!BP34:BQ34),"NM")</f>
        <v>10.020521969473416</v>
      </c>
      <c r="BR74" s="183">
        <f>IFERROR('Income Statement'!BR$8/AVERAGE('Invested Capital'!BQ34:BR34),"NM")</f>
        <v>10.804746217783475</v>
      </c>
      <c r="BS74" s="183">
        <f>IFERROR('Income Statement'!BS$8/AVERAGE('Invested Capital'!BR34:BS34),"NM")</f>
        <v>10.536628090760315</v>
      </c>
      <c r="BT74" s="183">
        <f>IFERROR('Income Statement'!BT$8/AVERAGE('Invested Capital'!BS34:BT34),"NM")</f>
        <v>10.277280277361607</v>
      </c>
      <c r="BU74" s="684">
        <f t="shared" si="32"/>
        <v>41.241096053681332</v>
      </c>
      <c r="BV74" s="697">
        <f>IFERROR('Income Statement'!BV$8/AVERAGE('Invested Capital'!BU34:BV34),"NM")</f>
        <v>9.9876585386066417</v>
      </c>
      <c r="BW74" s="183">
        <f>IFERROR('Income Statement'!BW$8/AVERAGE('Invested Capital'!BV34:BW34),"NM")</f>
        <v>10.839280691176354</v>
      </c>
      <c r="BX74" s="183">
        <f>IFERROR('Income Statement'!BX$8/AVERAGE('Invested Capital'!BW34:BX34),"NM")</f>
        <v>10.523447421572651</v>
      </c>
      <c r="BY74" s="183">
        <f>IFERROR('Income Statement'!BY$8/AVERAGE('Invested Capital'!BX34:BY34),"NM")</f>
        <v>10.219069911409855</v>
      </c>
      <c r="BZ74" s="684">
        <f t="shared" si="33"/>
        <v>41.309073284626763</v>
      </c>
    </row>
    <row r="75" spans="1:78" s="114" customFormat="1" ht="14.1" customHeight="1" x14ac:dyDescent="0.2">
      <c r="A75"/>
      <c r="B75"/>
      <c r="C75" s="553" t="str">
        <f>"Average "&amp;C39</f>
        <v xml:space="preserve">Average Invested Capital Turns (BOY / BOQ) </v>
      </c>
      <c r="D75" s="681"/>
      <c r="E75" s="681">
        <f>IFERROR('Income Statement'!E8/AVERAGE('Invested Capital'!D37:E37),"NM")</f>
        <v>2.1658308336918286</v>
      </c>
      <c r="F75" s="681">
        <f>IFERROR('Income Statement'!F8/AVERAGE('Invested Capital'!E37:F37),"NM")</f>
        <v>1.9076861150675102</v>
      </c>
      <c r="G75" s="681">
        <f>IFERROR('Income Statement'!G8/AVERAGE('Invested Capital'!F37:G37),"NM")</f>
        <v>1.6725452503793907</v>
      </c>
      <c r="H75" s="681">
        <f>IFERROR('Income Statement'!H8/AVERAGE('Invested Capital'!G37:H37),"NM")</f>
        <v>1.9099519362566031</v>
      </c>
      <c r="I75" s="681">
        <f>IFERROR('Income Statement'!I8/AVERAGE('Invested Capital'!H37:I37),"NM")</f>
        <v>1.9797694665084018</v>
      </c>
      <c r="J75" s="689">
        <f>IFERROR('Income Statement'!J8/AVERAGE('Invested Capital'!I37:J37),"NM")</f>
        <v>1.7303560388668078</v>
      </c>
      <c r="K75" s="681">
        <f>IFERROR('Income Statement'!K8/AVERAGE('Invested Capital'!J37:K37),"NM")</f>
        <v>1.4625046028985886</v>
      </c>
      <c r="L75" s="681">
        <f>IFERROR('Income Statement'!L8/AVERAGE('Invested Capital'!K37:L37),"NM")</f>
        <v>1.2723543466484775</v>
      </c>
      <c r="M75" s="681">
        <f>IFERROR('Income Statement'!M8/AVERAGE('Invested Capital'!L37:M37),"NM")</f>
        <v>1.2876962658183557</v>
      </c>
      <c r="N75" s="681">
        <f>IFERROR('Income Statement'!N8/AVERAGE('Invested Capital'!M37:N37),"NM")</f>
        <v>1.2722697322550918</v>
      </c>
      <c r="O75" s="682">
        <f>IFERROR('Income Statement'!O8/AVERAGE('Invested Capital'!N37:O37),"NM")</f>
        <v>1.2798082015921215</v>
      </c>
      <c r="R75" s="553" t="str">
        <f t="shared" si="22"/>
        <v xml:space="preserve">Average Invested Capital Turns (BOY / BOQ) </v>
      </c>
      <c r="T75" s="681">
        <f>IFERROR('Income Statement'!T8/AVERAGE('Invested Capital'!S37:T37),"NM")</f>
        <v>0.55294516323507503</v>
      </c>
      <c r="U75" s="681">
        <f>IFERROR('Income Statement'!U8/AVERAGE('Invested Capital'!T37:U37),"NM")</f>
        <v>0.5296450342468344</v>
      </c>
      <c r="V75" s="681">
        <f>IFERROR('Income Statement'!V8/AVERAGE('Invested Capital'!U37:V37),"NM")</f>
        <v>0.54525753963763024</v>
      </c>
      <c r="W75" s="694"/>
      <c r="X75" s="681">
        <f>IFERROR('Income Statement'!X8/AVERAGE('Invested Capital'!W37:X37),"NM")</f>
        <v>0.53802971042234393</v>
      </c>
      <c r="Y75" s="681">
        <f>IFERROR('Income Statement'!Y8/AVERAGE('Invested Capital'!X37:Y37),"NM")</f>
        <v>0.55562006562747857</v>
      </c>
      <c r="Z75" s="681">
        <f>IFERROR('Income Statement'!Z8/AVERAGE('Invested Capital'!Y37:Z37),"NM")</f>
        <v>0.53736511007119214</v>
      </c>
      <c r="AA75" s="681">
        <f>IFERROR('Income Statement'!AA8/AVERAGE('Invested Capital'!Z37:AA37),"NM")</f>
        <v>0.50633998660548651</v>
      </c>
      <c r="AB75" s="681">
        <f t="shared" si="23"/>
        <v>2.1658308336918286</v>
      </c>
      <c r="AC75" s="696">
        <f>IFERROR('Income Statement'!AC8/AVERAGE('Invested Capital'!AB37:AC37),"NM")</f>
        <v>0.46698372601795557</v>
      </c>
      <c r="AD75" s="681">
        <f>IFERROR('Income Statement'!AD8/AVERAGE('Invested Capital'!AC37:AD37),"NM")</f>
        <v>0.47568736899114145</v>
      </c>
      <c r="AE75" s="681">
        <f>IFERROR('Income Statement'!AE8/AVERAGE('Invested Capital'!AD37:AE37),"NM")</f>
        <v>0.45254594553902155</v>
      </c>
      <c r="AF75" s="681">
        <f>IFERROR('Income Statement'!AF8/AVERAGE('Invested Capital'!AE37:AF37),"NM")</f>
        <v>0.41815468887437546</v>
      </c>
      <c r="AG75" s="682">
        <f t="shared" si="24"/>
        <v>1.9076861150675102</v>
      </c>
      <c r="AH75" s="696">
        <f>IFERROR('Income Statement'!AH8/AVERAGE('Invested Capital'!AG37:AH37),"NM")</f>
        <v>0.40345196741083922</v>
      </c>
      <c r="AI75" s="681">
        <f>IFERROR('Income Statement'!AI8/AVERAGE('Invested Capital'!AH37:AI37),"NM")</f>
        <v>0.36568580848098536</v>
      </c>
      <c r="AJ75" s="681">
        <f>IFERROR('Income Statement'!AJ8/AVERAGE('Invested Capital'!AI37:AJ37),"NM")</f>
        <v>0.42531418756538203</v>
      </c>
      <c r="AK75" s="681">
        <f>IFERROR('Income Statement'!AK8/AVERAGE('Invested Capital'!AJ37:AK37),"NM")</f>
        <v>0.4224919632608744</v>
      </c>
      <c r="AL75" s="682">
        <f t="shared" si="25"/>
        <v>1.6725452503793907</v>
      </c>
      <c r="AM75" s="696">
        <f>IFERROR('Income Statement'!AM8/AVERAGE('Invested Capital'!AL37:AM37),"NM")</f>
        <v>0.43094629440616622</v>
      </c>
      <c r="AN75" s="681">
        <f>IFERROR('Income Statement'!AN8/AVERAGE('Invested Capital'!AM37:AN37),"NM")</f>
        <v>0.49608376515294017</v>
      </c>
      <c r="AO75" s="681">
        <f>IFERROR('Income Statement'!AO8/AVERAGE('Invested Capital'!AN37:AO37),"NM")</f>
        <v>0.52120830066526758</v>
      </c>
      <c r="AP75" s="681">
        <f>IFERROR('Income Statement'!AP8/AVERAGE('Invested Capital'!AO37:AP37),"NM")</f>
        <v>0.50181548788034802</v>
      </c>
      <c r="AQ75" s="682">
        <f t="shared" si="26"/>
        <v>1.9099519362566031</v>
      </c>
      <c r="AR75" s="696">
        <f>IFERROR('Income Statement'!AR8/AVERAGE('Invested Capital'!AQ37:AR37),"NM")</f>
        <v>0.51352235034082561</v>
      </c>
      <c r="AS75" s="681">
        <f>IFERROR('Income Statement'!AS8/AVERAGE('Invested Capital'!AR37:AS37),"NM")</f>
        <v>0.54942191441429833</v>
      </c>
      <c r="AT75" s="681">
        <f>IFERROR('Income Statement'!AT8/AVERAGE('Invested Capital'!AS37:AT37),"NM")</f>
        <v>0.50064093150542033</v>
      </c>
      <c r="AU75" s="681">
        <f>IFERROR('Income Statement'!AU8/AVERAGE('Invested Capital'!AT37:AU37),"NM")</f>
        <v>0.43025087677281959</v>
      </c>
      <c r="AV75" s="682">
        <f t="shared" si="27"/>
        <v>1.9797694665084018</v>
      </c>
      <c r="AW75" s="696">
        <f>IFERROR('Income Statement'!AW8/AVERAGE('Invested Capital'!AV37:AW37),"NM")</f>
        <v>0.4159030899552919</v>
      </c>
      <c r="AX75" s="681">
        <f>IFERROR('Income Statement'!AX8/AVERAGE('Invested Capital'!AW37:AX37),"NM")</f>
        <v>0.4240146062484319</v>
      </c>
      <c r="AY75" s="681">
        <f>IFERROR('Income Statement'!AY8/AVERAGE('Invested Capital'!AX37:AY37),"NM")</f>
        <v>0.45660227316237001</v>
      </c>
      <c r="AZ75" s="681">
        <f>IFERROR('Income Statement'!AZ8/AVERAGE('Invested Capital'!AY37:AZ37),"NM")</f>
        <v>0.4252363723238452</v>
      </c>
      <c r="BA75" s="682">
        <f t="shared" si="28"/>
        <v>1.7303560388668078</v>
      </c>
      <c r="BB75" s="696">
        <f>IFERROR('Income Statement'!BB8/AVERAGE('Invested Capital'!BA37:BB37),"NM")</f>
        <v>0.37650431500308146</v>
      </c>
      <c r="BC75" s="681">
        <f>IFERROR('Income Statement'!BC8/AVERAGE('Invested Capital'!BB37:BC37),"NM")</f>
        <v>0.35404301143245803</v>
      </c>
      <c r="BD75" s="681">
        <f>IFERROR('Income Statement'!BD8/AVERAGE('Invested Capital'!BC37:BD37),"NM")</f>
        <v>0.34016247840666708</v>
      </c>
      <c r="BE75" s="681">
        <f>IFERROR('Income Statement'!BE8/AVERAGE('Invested Capital'!BD37:BE37),"NM")</f>
        <v>0.30756136048306915</v>
      </c>
      <c r="BF75" s="682">
        <f t="shared" si="29"/>
        <v>1.4625046028985886</v>
      </c>
      <c r="BG75" s="696">
        <f>IFERROR('Income Statement'!BG8/AVERAGE('Invested Capital'!BF37:BG37),"NM")</f>
        <v>0.31552206501347596</v>
      </c>
      <c r="BH75" s="681">
        <f>IFERROR('Income Statement'!BH8/AVERAGE('Invested Capital'!BG37:BH37),"NM")</f>
        <v>0.336868680035463</v>
      </c>
      <c r="BI75" s="681">
        <f>IFERROR('Income Statement'!BI8/AVERAGE('Invested Capital'!BH37:BI37),"NM")</f>
        <v>0.32763036071108559</v>
      </c>
      <c r="BJ75" s="681">
        <f>IFERROR('Income Statement'!BJ8/AVERAGE('Invested Capital'!BI37:BJ37),"NM")</f>
        <v>0.3061362868321601</v>
      </c>
      <c r="BK75" s="682">
        <f t="shared" si="30"/>
        <v>1.2723543466484775</v>
      </c>
      <c r="BL75" s="696">
        <f>IFERROR('Income Statement'!BL8/AVERAGE('Invested Capital'!BK37:BL37),"NM")</f>
        <v>0.31083071195340684</v>
      </c>
      <c r="BM75" s="681">
        <f>IFERROR('Income Statement'!BM8/AVERAGE('Invested Capital'!BL37:BM37),"NM")</f>
        <v>0.33392766959384867</v>
      </c>
      <c r="BN75" s="681">
        <f>IFERROR('Income Statement'!BN8/AVERAGE('Invested Capital'!BM37:BN37),"NM")</f>
        <v>0.32780029251829607</v>
      </c>
      <c r="BO75" s="681">
        <f>IFERROR('Income Statement'!BO8/AVERAGE('Invested Capital'!BN37:BO37),"NM")</f>
        <v>0.31742457635685595</v>
      </c>
      <c r="BP75" s="682">
        <f t="shared" si="31"/>
        <v>1.2876962658183557</v>
      </c>
      <c r="BQ75" s="696">
        <f>IFERROR('Income Statement'!BQ8/AVERAGE('Invested Capital'!BP37:BQ37),"NM")</f>
        <v>0.30102384799275733</v>
      </c>
      <c r="BR75" s="681">
        <f>IFERROR('Income Statement'!BR8/AVERAGE('Invested Capital'!BQ37:BR37),"NM")</f>
        <v>0.32589413030426967</v>
      </c>
      <c r="BS75" s="681">
        <f>IFERROR('Income Statement'!BS8/AVERAGE('Invested Capital'!BR37:BS37),"NM")</f>
        <v>0.32509150297539435</v>
      </c>
      <c r="BT75" s="681">
        <f>IFERROR('Income Statement'!BT8/AVERAGE('Invested Capital'!BS37:BT37),"NM")</f>
        <v>0.31625082370164032</v>
      </c>
      <c r="BU75" s="682">
        <f t="shared" si="32"/>
        <v>1.2722697322550918</v>
      </c>
      <c r="BV75" s="696">
        <f>IFERROR('Income Statement'!BV8/AVERAGE('Invested Capital'!BU37:BV37),"NM")</f>
        <v>0.30116624121260005</v>
      </c>
      <c r="BW75" s="681">
        <f>IFERROR('Income Statement'!BW8/AVERAGE('Invested Capital'!BV37:BW37),"NM")</f>
        <v>0.32995106188194667</v>
      </c>
      <c r="BX75" s="681">
        <f>IFERROR('Income Statement'!BX8/AVERAGE('Invested Capital'!BW37:BX37),"NM")</f>
        <v>0.33062721383313715</v>
      </c>
      <c r="BY75" s="681">
        <f>IFERROR('Income Statement'!BY8/AVERAGE('Invested Capital'!BX37:BY37),"NM")</f>
        <v>0.31951580271934504</v>
      </c>
      <c r="BZ75" s="682">
        <f t="shared" si="33"/>
        <v>1.2798082015921215</v>
      </c>
    </row>
    <row r="76" spans="1:78" s="114" customFormat="1" ht="14.1" customHeight="1" x14ac:dyDescent="0.2">
      <c r="A76"/>
      <c r="B76"/>
      <c r="C76" s="634"/>
      <c r="D76" s="686"/>
      <c r="E76" s="686"/>
      <c r="F76" s="686"/>
      <c r="G76" s="686"/>
      <c r="H76" s="686"/>
      <c r="I76" s="686"/>
      <c r="J76" s="692"/>
      <c r="K76" s="686"/>
      <c r="L76" s="686"/>
      <c r="M76" s="686"/>
      <c r="N76" s="686"/>
      <c r="O76" s="687"/>
      <c r="R76" s="634"/>
      <c r="S76" s="203"/>
      <c r="T76" s="203"/>
      <c r="U76" s="203"/>
      <c r="V76" s="203"/>
      <c r="W76" s="203"/>
      <c r="X76" s="203"/>
      <c r="Y76" s="203"/>
      <c r="Z76" s="203"/>
      <c r="AA76" s="203"/>
      <c r="AB76" s="203"/>
      <c r="AC76" s="634"/>
      <c r="AD76" s="203"/>
      <c r="AE76" s="203"/>
      <c r="AF76" s="203"/>
      <c r="AG76" s="204"/>
      <c r="AH76" s="634"/>
      <c r="AI76" s="203"/>
      <c r="AJ76" s="203"/>
      <c r="AK76" s="203"/>
      <c r="AL76" s="204"/>
      <c r="AM76" s="634"/>
      <c r="AN76" s="203"/>
      <c r="AO76" s="203"/>
      <c r="AP76" s="203"/>
      <c r="AQ76" s="204"/>
      <c r="AR76" s="634"/>
      <c r="AS76" s="203"/>
      <c r="AT76" s="203"/>
      <c r="AU76" s="203"/>
      <c r="AV76" s="204"/>
      <c r="AW76" s="634"/>
      <c r="AX76" s="203"/>
      <c r="AY76" s="203"/>
      <c r="AZ76" s="203"/>
      <c r="BA76" s="204"/>
      <c r="BB76" s="634"/>
      <c r="BC76" s="203"/>
      <c r="BD76" s="203"/>
      <c r="BE76" s="203"/>
      <c r="BF76" s="204"/>
      <c r="BG76" s="634"/>
      <c r="BH76" s="203"/>
      <c r="BI76" s="203"/>
      <c r="BJ76" s="203"/>
      <c r="BK76" s="204"/>
      <c r="BL76" s="634"/>
      <c r="BM76" s="203"/>
      <c r="BN76" s="203"/>
      <c r="BO76" s="203"/>
      <c r="BP76" s="204"/>
      <c r="BQ76" s="634"/>
      <c r="BR76" s="203"/>
      <c r="BS76" s="203"/>
      <c r="BT76" s="203"/>
      <c r="BU76" s="204"/>
      <c r="BV76" s="634"/>
      <c r="BW76" s="203"/>
      <c r="BX76" s="203"/>
      <c r="BY76" s="203"/>
      <c r="BZ76" s="204"/>
    </row>
    <row r="77" spans="1:78" s="114" customFormat="1" ht="14.1" customHeight="1" x14ac:dyDescent="0.2">
      <c r="A77"/>
      <c r="B77"/>
      <c r="D77" s="183"/>
      <c r="E77" s="183"/>
      <c r="F77" s="183"/>
      <c r="G77" s="183"/>
      <c r="H77" s="183"/>
      <c r="I77" s="183"/>
      <c r="J77" s="183"/>
      <c r="K77" s="183"/>
      <c r="L77" s="183"/>
      <c r="M77" s="183"/>
      <c r="N77" s="183"/>
      <c r="O77" s="183"/>
    </row>
    <row r="78" spans="1:78" s="114" customFormat="1" ht="14.1" customHeight="1" x14ac:dyDescent="0.2">
      <c r="A78"/>
      <c r="B78"/>
      <c r="D78" s="183"/>
      <c r="E78" s="183"/>
      <c r="F78" s="183"/>
      <c r="G78" s="183"/>
      <c r="H78" s="183"/>
      <c r="I78" s="183"/>
      <c r="J78" s="183"/>
      <c r="K78" s="183"/>
      <c r="L78" s="183"/>
      <c r="M78" s="183"/>
      <c r="N78" s="183"/>
      <c r="O78" s="183"/>
    </row>
    <row r="79" spans="1:78" s="114" customFormat="1" ht="14.1" customHeight="1" x14ac:dyDescent="0.2">
      <c r="A79"/>
      <c r="B79"/>
      <c r="D79" s="183"/>
      <c r="E79" s="183"/>
      <c r="F79" s="183"/>
      <c r="G79" s="183"/>
      <c r="H79" s="183"/>
      <c r="I79" s="183"/>
      <c r="J79" s="183"/>
      <c r="K79" s="183"/>
      <c r="L79" s="183"/>
      <c r="M79" s="183"/>
      <c r="N79" s="183"/>
      <c r="O79" s="183"/>
    </row>
    <row r="80" spans="1:78" s="114" customFormat="1" ht="14.1" customHeight="1" x14ac:dyDescent="0.2">
      <c r="A80"/>
      <c r="B80"/>
      <c r="D80" s="183"/>
      <c r="E80" s="183"/>
      <c r="F80" s="183"/>
      <c r="G80" s="183"/>
      <c r="H80" s="183"/>
      <c r="I80" s="183"/>
      <c r="J80" s="183"/>
      <c r="K80" s="183"/>
      <c r="L80" s="183"/>
      <c r="M80" s="183"/>
      <c r="N80" s="183"/>
      <c r="O80" s="183"/>
    </row>
    <row r="81" spans="1:78" s="114" customFormat="1" ht="14.1" customHeight="1" x14ac:dyDescent="0.2">
      <c r="A81"/>
      <c r="B81"/>
      <c r="D81" s="183"/>
      <c r="E81" s="183"/>
      <c r="F81" s="183"/>
      <c r="G81" s="183"/>
      <c r="H81" s="183"/>
      <c r="I81" s="183"/>
      <c r="J81" s="183"/>
      <c r="K81" s="183"/>
      <c r="L81" s="183"/>
      <c r="M81" s="183"/>
      <c r="N81" s="183"/>
      <c r="O81" s="183"/>
    </row>
    <row r="82" spans="1:78" s="114" customFormat="1" ht="14.1" customHeight="1" x14ac:dyDescent="0.2">
      <c r="A82"/>
      <c r="B82"/>
      <c r="D82" s="183"/>
      <c r="E82" s="183"/>
      <c r="F82" s="183"/>
      <c r="G82" s="183"/>
      <c r="H82" s="183"/>
      <c r="I82" s="183"/>
      <c r="J82" s="183"/>
      <c r="K82" s="183"/>
      <c r="L82" s="183"/>
      <c r="M82" s="183"/>
      <c r="N82" s="183"/>
      <c r="O82" s="183"/>
    </row>
    <row r="83" spans="1:78" s="161" customFormat="1" ht="14.1" customHeight="1" x14ac:dyDescent="0.2">
      <c r="A83"/>
      <c r="B83"/>
      <c r="C83" s="114"/>
      <c r="D83" s="184"/>
      <c r="E83" s="184"/>
      <c r="F83" s="184"/>
      <c r="G83" s="184"/>
      <c r="H83" s="184"/>
      <c r="I83" s="184"/>
      <c r="J83" s="184"/>
      <c r="K83" s="184"/>
      <c r="L83" s="184"/>
      <c r="M83" s="184"/>
      <c r="N83" s="184"/>
      <c r="O83" s="184"/>
    </row>
    <row r="84" spans="1:78" s="114" customFormat="1" ht="14.1" customHeight="1" x14ac:dyDescent="0.2">
      <c r="A84"/>
      <c r="B84"/>
      <c r="D84" s="183"/>
      <c r="E84" s="183"/>
      <c r="F84" s="183"/>
      <c r="G84" s="183"/>
      <c r="H84" s="183"/>
      <c r="I84" s="183"/>
      <c r="J84" s="183"/>
      <c r="K84" s="183"/>
      <c r="L84" s="183"/>
      <c r="M84" s="183"/>
      <c r="N84" s="183"/>
      <c r="O84" s="183"/>
    </row>
    <row r="85" spans="1:78" s="114" customFormat="1" ht="14.1" customHeight="1" x14ac:dyDescent="0.2">
      <c r="A85"/>
      <c r="B85"/>
      <c r="D85" s="183"/>
      <c r="E85" s="183"/>
      <c r="F85" s="183"/>
      <c r="G85" s="183"/>
      <c r="H85" s="183"/>
      <c r="I85" s="183"/>
      <c r="J85" s="183"/>
      <c r="K85" s="183"/>
      <c r="L85" s="183"/>
      <c r="M85" s="183"/>
      <c r="N85" s="183"/>
      <c r="O85" s="183"/>
    </row>
    <row r="86" spans="1:78" s="114" customFormat="1" ht="14.1" customHeight="1" x14ac:dyDescent="0.2">
      <c r="A86"/>
      <c r="B86"/>
      <c r="D86" s="183"/>
      <c r="E86" s="183"/>
      <c r="F86" s="183"/>
      <c r="G86" s="183"/>
      <c r="H86" s="183"/>
      <c r="I86" s="183"/>
      <c r="J86" s="183"/>
      <c r="K86" s="183"/>
      <c r="L86" s="183"/>
      <c r="M86" s="183"/>
      <c r="N86" s="183"/>
      <c r="O86" s="183"/>
    </row>
    <row r="87" spans="1:78" s="114" customFormat="1" ht="14.1" customHeight="1" x14ac:dyDescent="0.2">
      <c r="A87"/>
      <c r="B87"/>
      <c r="D87" s="183"/>
      <c r="E87" s="183"/>
      <c r="F87" s="183"/>
      <c r="G87" s="183"/>
      <c r="H87" s="183"/>
      <c r="I87" s="183"/>
      <c r="J87" s="183"/>
      <c r="K87" s="183"/>
      <c r="L87" s="183"/>
      <c r="M87" s="183"/>
      <c r="N87" s="183"/>
      <c r="O87" s="183"/>
    </row>
    <row r="88" spans="1:78" s="114" customFormat="1" ht="14.1" customHeight="1" x14ac:dyDescent="0.2">
      <c r="A88"/>
      <c r="B88"/>
      <c r="D88" s="183"/>
      <c r="E88" s="183"/>
      <c r="F88" s="183"/>
      <c r="G88" s="183"/>
      <c r="H88" s="183"/>
      <c r="I88" s="183"/>
      <c r="J88" s="183"/>
      <c r="K88" s="183"/>
      <c r="L88" s="183"/>
      <c r="M88" s="183"/>
      <c r="N88" s="183"/>
      <c r="O88" s="183"/>
    </row>
    <row r="89" spans="1:78" s="114" customFormat="1" ht="14.1" customHeight="1" x14ac:dyDescent="0.2">
      <c r="A89"/>
      <c r="B89"/>
      <c r="D89" s="183"/>
      <c r="E89" s="183"/>
      <c r="F89" s="183"/>
      <c r="G89" s="183"/>
      <c r="H89" s="183"/>
      <c r="I89" s="183"/>
      <c r="J89" s="183"/>
      <c r="K89" s="183"/>
      <c r="L89" s="183"/>
      <c r="M89" s="183"/>
      <c r="N89" s="183"/>
      <c r="O89" s="183"/>
    </row>
    <row r="90" spans="1:78" s="114" customFormat="1" ht="6" customHeight="1" x14ac:dyDescent="0.2">
      <c r="A90"/>
      <c r="B90"/>
      <c r="D90" s="183"/>
      <c r="E90" s="183"/>
      <c r="F90" s="183"/>
      <c r="G90" s="183"/>
      <c r="H90" s="183"/>
      <c r="I90" s="183"/>
      <c r="J90" s="183"/>
      <c r="K90" s="183"/>
      <c r="L90" s="183"/>
      <c r="M90" s="183"/>
      <c r="N90" s="183"/>
      <c r="O90" s="183"/>
    </row>
    <row r="91" spans="1:78" ht="18.75" x14ac:dyDescent="0.25">
      <c r="C91" s="136" t="str">
        <f>C3</f>
        <v>SAIA, Inc.</v>
      </c>
      <c r="D91" s="148"/>
      <c r="E91" s="148"/>
      <c r="F91" s="148"/>
      <c r="G91" s="148"/>
      <c r="H91" s="148"/>
      <c r="I91" s="148"/>
      <c r="J91" s="148"/>
      <c r="K91" s="148"/>
      <c r="L91" s="148"/>
      <c r="M91" s="148"/>
      <c r="N91" s="1150" t="str">
        <f>N49</f>
        <v>Model Case:</v>
      </c>
      <c r="O91" s="64" t="str">
        <f>O49</f>
        <v>Base</v>
      </c>
      <c r="R91" s="1376" t="str">
        <f>C91</f>
        <v>SAIA, Inc.</v>
      </c>
      <c r="S91" s="1374"/>
      <c r="T91" s="1374"/>
      <c r="U91" s="1374"/>
      <c r="V91" s="1374"/>
      <c r="W91" s="1374"/>
      <c r="X91" s="1374"/>
      <c r="Y91" s="1374"/>
      <c r="Z91" s="1374"/>
      <c r="AA91" s="1374"/>
      <c r="AB91" s="1374"/>
      <c r="AC91" s="1374"/>
      <c r="AD91" s="1374"/>
      <c r="AE91" s="1374"/>
      <c r="AF91" s="1374"/>
      <c r="AG91" s="1374"/>
      <c r="AH91" s="1374"/>
      <c r="AI91" s="1374"/>
      <c r="AJ91" s="1374"/>
      <c r="AK91" s="1374"/>
      <c r="AL91" s="1374"/>
      <c r="AM91" s="1374"/>
      <c r="AN91" s="1374"/>
      <c r="AO91" s="1374"/>
      <c r="AP91" s="1374"/>
      <c r="AQ91" s="1374"/>
      <c r="AR91" s="1374"/>
      <c r="AS91" s="1374"/>
      <c r="AT91" s="1374"/>
      <c r="AU91" s="1374"/>
      <c r="AV91" s="1374"/>
      <c r="AW91" s="1374"/>
      <c r="AX91" s="1374"/>
      <c r="AY91" s="1374"/>
      <c r="AZ91" s="1374"/>
      <c r="BA91" s="47"/>
      <c r="BB91" s="47"/>
      <c r="BC91" s="47"/>
      <c r="BD91" s="47"/>
      <c r="BE91" s="47"/>
      <c r="BF91" s="47"/>
      <c r="BG91" s="47"/>
      <c r="BH91" s="47"/>
      <c r="BI91" s="47"/>
      <c r="BJ91" s="47"/>
      <c r="BK91" s="47"/>
      <c r="BL91" s="47"/>
      <c r="BM91" s="47"/>
      <c r="BN91" s="47"/>
      <c r="BO91" s="47"/>
      <c r="BP91" s="47"/>
      <c r="BQ91" s="47"/>
      <c r="BR91" s="47"/>
      <c r="BS91" s="47"/>
      <c r="BT91" s="47"/>
      <c r="BU91" s="47"/>
      <c r="BV91" s="1143"/>
      <c r="BW91" s="1143"/>
      <c r="BX91" s="1155" t="str">
        <f t="shared" ref="BX91:BY93" si="34">BX49</f>
        <v>Model Case:</v>
      </c>
      <c r="BY91" s="65" t="str">
        <f t="shared" si="34"/>
        <v>Base</v>
      </c>
      <c r="BZ91" s="1143"/>
    </row>
    <row r="92" spans="1:78" ht="14.1" customHeight="1" x14ac:dyDescent="0.2">
      <c r="C92" s="133" t="str">
        <f>"Analysis Via Growth Rates &amp; % of Revenue"</f>
        <v>Analysis Via Growth Rates &amp; % of Revenue</v>
      </c>
      <c r="D92" s="148"/>
      <c r="E92" s="148"/>
      <c r="F92" s="148"/>
      <c r="G92" s="148"/>
      <c r="H92" s="148"/>
      <c r="I92" s="148"/>
      <c r="J92" s="148"/>
      <c r="K92" s="148"/>
      <c r="L92" s="148"/>
      <c r="M92" s="1149"/>
      <c r="N92" s="1150" t="str">
        <f>N4</f>
        <v>DCF Share Value as of 12/31/2024:</v>
      </c>
      <c r="O92" s="65">
        <f>O4</f>
        <v>520.1066763818468</v>
      </c>
      <c r="R92" s="1387" t="str">
        <f>C92</f>
        <v>Analysis Via Growth Rates &amp; % of Revenue</v>
      </c>
      <c r="S92" s="1375"/>
      <c r="T92" s="1375"/>
      <c r="U92" s="1375"/>
      <c r="V92" s="1375"/>
      <c r="W92" s="1375"/>
      <c r="X92" s="1375"/>
      <c r="Y92" s="1375"/>
      <c r="Z92" s="1375"/>
      <c r="AA92" s="1375"/>
      <c r="AB92" s="1375"/>
      <c r="AC92" s="1375"/>
      <c r="AD92" s="1375"/>
      <c r="AE92" s="1375"/>
      <c r="AF92" s="1375"/>
      <c r="AG92" s="1375"/>
      <c r="AH92" s="1375"/>
      <c r="AI92" s="1375"/>
      <c r="AJ92" s="1375"/>
      <c r="AK92" s="1375"/>
      <c r="AL92" s="1375"/>
      <c r="AM92" s="1375"/>
      <c r="AN92" s="1375"/>
      <c r="AO92" s="1375"/>
      <c r="AP92" s="1375"/>
      <c r="AQ92" s="1375"/>
      <c r="AR92" s="1375"/>
      <c r="AS92" s="1375"/>
      <c r="AT92" s="1375"/>
      <c r="AU92" s="1375"/>
      <c r="AV92" s="1375"/>
      <c r="AW92" s="1375"/>
      <c r="AX92" s="1375"/>
      <c r="AY92" s="1375"/>
      <c r="AZ92" s="1375"/>
      <c r="BA92" s="1375"/>
      <c r="BB92" s="48"/>
      <c r="BC92" s="48"/>
      <c r="BD92" s="48"/>
      <c r="BE92" s="48"/>
      <c r="BF92" s="48"/>
      <c r="BG92" s="48"/>
      <c r="BH92" s="48"/>
      <c r="BI92" s="48"/>
      <c r="BJ92" s="48"/>
      <c r="BK92" s="48"/>
      <c r="BL92" s="48"/>
      <c r="BM92" s="48"/>
      <c r="BN92" s="48"/>
      <c r="BO92" s="48"/>
      <c r="BP92" s="48"/>
      <c r="BQ92" s="48"/>
      <c r="BR92" s="48"/>
      <c r="BS92" s="48"/>
      <c r="BT92" s="48"/>
      <c r="BU92" s="48"/>
      <c r="BV92" s="1147"/>
      <c r="BW92" s="1147"/>
      <c r="BX92" s="1155" t="str">
        <f t="shared" si="34"/>
        <v>DCF Share Value as of 12/31/2024:</v>
      </c>
      <c r="BY92" s="65">
        <f t="shared" si="34"/>
        <v>520.1066763818468</v>
      </c>
      <c r="BZ92" s="1147"/>
    </row>
    <row r="93" spans="1:78" ht="14.1" customHeight="1" x14ac:dyDescent="0.2">
      <c r="C93" s="147" t="str">
        <f>C5</f>
        <v>($ in millions, fiscal year ending December,31)</v>
      </c>
      <c r="D93" s="148"/>
      <c r="E93" s="148"/>
      <c r="F93" s="148"/>
      <c r="G93" s="148"/>
      <c r="H93" s="148"/>
      <c r="I93" s="148"/>
      <c r="J93" s="148"/>
      <c r="K93" s="148"/>
      <c r="L93" s="148"/>
      <c r="M93" s="1149"/>
      <c r="N93" s="1150" t="str">
        <f>N5</f>
        <v>Market Share Price as of 12/31/2024:</v>
      </c>
      <c r="O93" s="65">
        <f>O5</f>
        <v>455.73</v>
      </c>
      <c r="R93" s="154" t="str">
        <f>C96&amp;" (YOY)"</f>
        <v>Growth Rates  (YOY)</v>
      </c>
      <c r="S93" s="152"/>
      <c r="T93" s="152"/>
      <c r="U93" s="152"/>
      <c r="V93" s="152"/>
      <c r="W93" s="152"/>
      <c r="X93" s="152"/>
      <c r="Y93" s="152"/>
      <c r="Z93" s="152"/>
      <c r="AA93" s="152"/>
      <c r="AB93" s="152"/>
      <c r="AC93" s="152"/>
      <c r="AD93" s="152"/>
      <c r="AE93" s="152"/>
      <c r="AF93" s="152"/>
      <c r="AG93" s="152"/>
      <c r="AH93" s="152"/>
      <c r="AI93" s="152"/>
      <c r="AJ93" s="152"/>
      <c r="AK93" s="152"/>
      <c r="AL93" s="152"/>
      <c r="AM93" s="152"/>
      <c r="AN93" s="152"/>
      <c r="AO93" s="152"/>
      <c r="AP93" s="152"/>
      <c r="AQ93" s="152"/>
      <c r="AR93" s="152"/>
      <c r="AS93" s="152"/>
      <c r="AT93" s="152"/>
      <c r="AU93" s="152"/>
      <c r="AV93" s="152"/>
      <c r="AW93" s="152"/>
      <c r="AX93" s="152"/>
      <c r="AY93" s="152"/>
      <c r="AZ93" s="152"/>
      <c r="BA93" s="152"/>
      <c r="BB93" s="153"/>
      <c r="BC93" s="153"/>
      <c r="BD93" s="153"/>
      <c r="BE93" s="153"/>
      <c r="BF93" s="153"/>
      <c r="BG93" s="153"/>
      <c r="BH93" s="153"/>
      <c r="BI93" s="153"/>
      <c r="BJ93" s="153"/>
      <c r="BK93" s="153"/>
      <c r="BL93" s="153"/>
      <c r="BM93" s="153"/>
      <c r="BN93" s="153"/>
      <c r="BO93" s="153"/>
      <c r="BP93" s="153"/>
      <c r="BQ93" s="153"/>
      <c r="BR93" s="153"/>
      <c r="BS93" s="153"/>
      <c r="BT93" s="153"/>
      <c r="BU93" s="153"/>
      <c r="BV93" s="1158"/>
      <c r="BW93" s="1158"/>
      <c r="BX93" s="1157" t="str">
        <f t="shared" si="34"/>
        <v>Market Share Price as of 12/31/2024:</v>
      </c>
      <c r="BY93" s="322">
        <f t="shared" si="34"/>
        <v>455.73</v>
      </c>
      <c r="BZ93" s="1158"/>
    </row>
    <row r="94" spans="1:78" ht="14.1" customHeight="1" x14ac:dyDescent="0.2">
      <c r="C94" s="155"/>
      <c r="D94" s="97">
        <f t="shared" ref="D94:O94" si="35">D7</f>
        <v>43100</v>
      </c>
      <c r="E94" s="98">
        <f t="shared" si="35"/>
        <v>43465</v>
      </c>
      <c r="F94" s="98">
        <f t="shared" si="35"/>
        <v>43830</v>
      </c>
      <c r="G94" s="98">
        <f t="shared" si="35"/>
        <v>44196</v>
      </c>
      <c r="H94" s="98">
        <f t="shared" si="35"/>
        <v>44561</v>
      </c>
      <c r="I94" s="98">
        <f t="shared" si="35"/>
        <v>44926</v>
      </c>
      <c r="J94" s="98">
        <f t="shared" si="35"/>
        <v>45291</v>
      </c>
      <c r="K94" s="137">
        <f t="shared" si="35"/>
        <v>45657</v>
      </c>
      <c r="L94" s="138">
        <f t="shared" si="35"/>
        <v>46022</v>
      </c>
      <c r="M94" s="138">
        <f t="shared" si="35"/>
        <v>46387</v>
      </c>
      <c r="N94" s="138">
        <f t="shared" si="35"/>
        <v>46752</v>
      </c>
      <c r="O94" s="139">
        <f t="shared" si="35"/>
        <v>47118</v>
      </c>
      <c r="R94" s="155"/>
      <c r="S94" s="1367">
        <f>S5</f>
        <v>43100</v>
      </c>
      <c r="T94" s="1368"/>
      <c r="U94" s="1368"/>
      <c r="V94" s="1368"/>
      <c r="W94" s="1368"/>
      <c r="X94" s="1395">
        <f>X5</f>
        <v>43465</v>
      </c>
      <c r="Y94" s="1396"/>
      <c r="Z94" s="1396"/>
      <c r="AA94" s="1396"/>
      <c r="AB94" s="1397"/>
      <c r="AC94" s="1395">
        <f>AC5</f>
        <v>43830</v>
      </c>
      <c r="AD94" s="1396"/>
      <c r="AE94" s="1396"/>
      <c r="AF94" s="1396"/>
      <c r="AG94" s="1397"/>
      <c r="AH94" s="1395">
        <f>AH5</f>
        <v>44196</v>
      </c>
      <c r="AI94" s="1396"/>
      <c r="AJ94" s="1396"/>
      <c r="AK94" s="1396"/>
      <c r="AL94" s="1397"/>
      <c r="AM94" s="1395">
        <f>AM5</f>
        <v>44561</v>
      </c>
      <c r="AN94" s="1396"/>
      <c r="AO94" s="1396"/>
      <c r="AP94" s="1396"/>
      <c r="AQ94" s="1397"/>
      <c r="AR94" s="1395">
        <f>AR5</f>
        <v>44926</v>
      </c>
      <c r="AS94" s="1396"/>
      <c r="AT94" s="1396"/>
      <c r="AU94" s="1396"/>
      <c r="AV94" s="1397"/>
      <c r="AW94" s="1395">
        <f>AW5</f>
        <v>45291</v>
      </c>
      <c r="AX94" s="1396"/>
      <c r="AY94" s="1396"/>
      <c r="AZ94" s="1396"/>
      <c r="BA94" s="1397"/>
      <c r="BB94" s="1369">
        <f>BB5</f>
        <v>45657</v>
      </c>
      <c r="BC94" s="1369"/>
      <c r="BD94" s="1369"/>
      <c r="BE94" s="1369"/>
      <c r="BF94" s="1369"/>
      <c r="BG94" s="1365">
        <f>BG5</f>
        <v>46022</v>
      </c>
      <c r="BH94" s="1365"/>
      <c r="BI94" s="1365"/>
      <c r="BJ94" s="1365"/>
      <c r="BK94" s="1365"/>
      <c r="BL94" s="1365">
        <f>BL5</f>
        <v>46387</v>
      </c>
      <c r="BM94" s="1365"/>
      <c r="BN94" s="1365"/>
      <c r="BO94" s="1365"/>
      <c r="BP94" s="1365"/>
      <c r="BQ94" s="1365">
        <f>BQ5</f>
        <v>46752</v>
      </c>
      <c r="BR94" s="1365"/>
      <c r="BS94" s="1365"/>
      <c r="BT94" s="1365"/>
      <c r="BU94" s="1365"/>
      <c r="BV94" s="1365">
        <f>BV5</f>
        <v>47118</v>
      </c>
      <c r="BW94" s="1365"/>
      <c r="BX94" s="1365"/>
      <c r="BY94" s="1365"/>
      <c r="BZ94" s="1366"/>
    </row>
    <row r="95" spans="1:78" ht="14.1" customHeight="1" x14ac:dyDescent="0.2">
      <c r="R95" s="236"/>
      <c r="S95" s="96" t="str">
        <f t="shared" ref="S95:AX95" si="36">S53</f>
        <v>2017 Q1</v>
      </c>
      <c r="T95" s="140" t="str">
        <f t="shared" si="36"/>
        <v>2017 Q2</v>
      </c>
      <c r="U95" s="140" t="str">
        <f t="shared" si="36"/>
        <v>2017 Q3</v>
      </c>
      <c r="V95" s="140" t="str">
        <f t="shared" si="36"/>
        <v>2017 Q4</v>
      </c>
      <c r="W95" s="140" t="str">
        <f t="shared" si="36"/>
        <v>2017 FY</v>
      </c>
      <c r="X95" s="140" t="str">
        <f t="shared" si="36"/>
        <v>2018 Q1</v>
      </c>
      <c r="Y95" s="140" t="str">
        <f t="shared" si="36"/>
        <v>2018 Q2</v>
      </c>
      <c r="Z95" s="140" t="str">
        <f t="shared" si="36"/>
        <v>2018 Q3</v>
      </c>
      <c r="AA95" s="140" t="str">
        <f t="shared" si="36"/>
        <v>2018 Q4</v>
      </c>
      <c r="AB95" s="140" t="str">
        <f t="shared" si="36"/>
        <v>2018 FY</v>
      </c>
      <c r="AC95" s="140" t="str">
        <f t="shared" si="36"/>
        <v>2019 Q1</v>
      </c>
      <c r="AD95" s="140" t="str">
        <f t="shared" si="36"/>
        <v>2019 Q2</v>
      </c>
      <c r="AE95" s="140" t="str">
        <f t="shared" si="36"/>
        <v>2019 Q3</v>
      </c>
      <c r="AF95" s="140" t="str">
        <f t="shared" si="36"/>
        <v>2019 Q4</v>
      </c>
      <c r="AG95" s="140" t="str">
        <f t="shared" si="36"/>
        <v>2019 FY</v>
      </c>
      <c r="AH95" s="140" t="str">
        <f t="shared" si="36"/>
        <v>2020 Q1</v>
      </c>
      <c r="AI95" s="140" t="str">
        <f t="shared" si="36"/>
        <v>2020 Q2</v>
      </c>
      <c r="AJ95" s="140" t="str">
        <f t="shared" si="36"/>
        <v>2020 Q3</v>
      </c>
      <c r="AK95" s="140" t="str">
        <f t="shared" si="36"/>
        <v>2020 Q4</v>
      </c>
      <c r="AL95" s="140" t="str">
        <f t="shared" si="36"/>
        <v>2020 FY</v>
      </c>
      <c r="AM95" s="140" t="str">
        <f t="shared" si="36"/>
        <v>2021 Q1</v>
      </c>
      <c r="AN95" s="140" t="str">
        <f t="shared" si="36"/>
        <v>2021 Q2</v>
      </c>
      <c r="AO95" s="140" t="str">
        <f t="shared" si="36"/>
        <v>2021 Q3</v>
      </c>
      <c r="AP95" s="140" t="str">
        <f t="shared" si="36"/>
        <v>2021 Q4</v>
      </c>
      <c r="AQ95" s="140" t="str">
        <f t="shared" si="36"/>
        <v>2021 FY</v>
      </c>
      <c r="AR95" s="140" t="str">
        <f t="shared" si="36"/>
        <v>2022 Q1</v>
      </c>
      <c r="AS95" s="140" t="str">
        <f t="shared" si="36"/>
        <v>2022 Q2</v>
      </c>
      <c r="AT95" s="140" t="str">
        <f t="shared" si="36"/>
        <v>2022 Q3</v>
      </c>
      <c r="AU95" s="140" t="str">
        <f t="shared" si="36"/>
        <v>2022 Q4</v>
      </c>
      <c r="AV95" s="140" t="str">
        <f t="shared" si="36"/>
        <v>2022 FY</v>
      </c>
      <c r="AW95" s="140" t="str">
        <f t="shared" si="36"/>
        <v>2023 Q1</v>
      </c>
      <c r="AX95" s="140" t="str">
        <f t="shared" si="36"/>
        <v>2023 Q2</v>
      </c>
      <c r="AY95" s="140" t="str">
        <f t="shared" ref="AY95:BZ95" si="37">AY53</f>
        <v>2023 Q3</v>
      </c>
      <c r="AZ95" s="140" t="str">
        <f t="shared" si="37"/>
        <v>2023 Q4</v>
      </c>
      <c r="BA95" s="140" t="str">
        <f t="shared" si="37"/>
        <v>2023 FY</v>
      </c>
      <c r="BB95" s="140" t="str">
        <f t="shared" si="37"/>
        <v>2024 Q1</v>
      </c>
      <c r="BC95" s="140" t="str">
        <f t="shared" si="37"/>
        <v>2024 Q2</v>
      </c>
      <c r="BD95" s="140" t="str">
        <f t="shared" si="37"/>
        <v>2024 Q3</v>
      </c>
      <c r="BE95" s="141" t="str">
        <f t="shared" si="37"/>
        <v>2024 Q4</v>
      </c>
      <c r="BF95" s="141" t="str">
        <f t="shared" si="37"/>
        <v>2024 FY</v>
      </c>
      <c r="BG95" s="141" t="str">
        <f t="shared" si="37"/>
        <v>2025 Q1</v>
      </c>
      <c r="BH95" s="141" t="str">
        <f t="shared" si="37"/>
        <v>2025 Q2</v>
      </c>
      <c r="BI95" s="141" t="str">
        <f t="shared" si="37"/>
        <v>2025 Q3</v>
      </c>
      <c r="BJ95" s="141" t="str">
        <f t="shared" si="37"/>
        <v>2025 Q4</v>
      </c>
      <c r="BK95" s="141" t="str">
        <f t="shared" si="37"/>
        <v>2025 FY</v>
      </c>
      <c r="BL95" s="141" t="str">
        <f t="shared" si="37"/>
        <v>2026 Q1</v>
      </c>
      <c r="BM95" s="141" t="str">
        <f t="shared" si="37"/>
        <v>2026 Q2</v>
      </c>
      <c r="BN95" s="141" t="str">
        <f t="shared" si="37"/>
        <v>2026 Q3</v>
      </c>
      <c r="BO95" s="141" t="str">
        <f t="shared" si="37"/>
        <v>2026 Q4</v>
      </c>
      <c r="BP95" s="141" t="str">
        <f t="shared" si="37"/>
        <v>2026 FY</v>
      </c>
      <c r="BQ95" s="141" t="str">
        <f t="shared" si="37"/>
        <v>2027 Q1</v>
      </c>
      <c r="BR95" s="141" t="str">
        <f t="shared" si="37"/>
        <v>2027 Q2</v>
      </c>
      <c r="BS95" s="141" t="str">
        <f t="shared" si="37"/>
        <v>2027 Q3</v>
      </c>
      <c r="BT95" s="141" t="str">
        <f t="shared" si="37"/>
        <v>2027 Q4</v>
      </c>
      <c r="BU95" s="141" t="str">
        <f t="shared" si="37"/>
        <v>2027 FY</v>
      </c>
      <c r="BV95" s="141" t="str">
        <f t="shared" si="37"/>
        <v>2028 Q1</v>
      </c>
      <c r="BW95" s="141" t="str">
        <f t="shared" si="37"/>
        <v>2028 Q2</v>
      </c>
      <c r="BX95" s="141" t="str">
        <f t="shared" si="37"/>
        <v>2028 Q3</v>
      </c>
      <c r="BY95" s="141" t="str">
        <f t="shared" si="37"/>
        <v>2028 Q4</v>
      </c>
      <c r="BZ95" s="142" t="str">
        <f t="shared" si="37"/>
        <v>2028 FY</v>
      </c>
    </row>
    <row r="96" spans="1:78" s="114" customFormat="1" ht="14.1" customHeight="1" x14ac:dyDescent="0.2">
      <c r="A96"/>
      <c r="B96"/>
      <c r="C96" s="550" t="s">
        <v>185</v>
      </c>
      <c r="D96" s="130"/>
      <c r="E96" s="130"/>
      <c r="F96" s="130"/>
      <c r="G96" s="130"/>
      <c r="H96" s="130"/>
      <c r="I96" s="130"/>
      <c r="J96" s="701"/>
      <c r="K96" s="130"/>
      <c r="L96" s="130"/>
      <c r="M96" s="130"/>
      <c r="N96" s="130"/>
      <c r="O96" s="217"/>
      <c r="R96" s="550" t="str">
        <f>C96</f>
        <v xml:space="preserve">Growth Rates </v>
      </c>
      <c r="S96" s="130"/>
      <c r="T96" s="130"/>
      <c r="U96" s="130"/>
      <c r="V96" s="130"/>
      <c r="W96" s="130"/>
      <c r="X96" s="130"/>
      <c r="Y96" s="130"/>
      <c r="Z96" s="130"/>
      <c r="AA96" s="130"/>
      <c r="AB96" s="130"/>
      <c r="AC96" s="704"/>
      <c r="AD96" s="130"/>
      <c r="AE96" s="130"/>
      <c r="AF96" s="130"/>
      <c r="AG96" s="217"/>
      <c r="AH96" s="704"/>
      <c r="AI96" s="130"/>
      <c r="AJ96" s="130"/>
      <c r="AK96" s="130"/>
      <c r="AL96" s="217"/>
      <c r="AM96" s="704"/>
      <c r="AN96" s="130"/>
      <c r="AO96" s="130"/>
      <c r="AP96" s="130"/>
      <c r="AQ96" s="217"/>
      <c r="AR96" s="704"/>
      <c r="AS96" s="130"/>
      <c r="AT96" s="130"/>
      <c r="AU96" s="130"/>
      <c r="AV96" s="217"/>
      <c r="AW96" s="704"/>
      <c r="AX96" s="130"/>
      <c r="AY96" s="130"/>
      <c r="AZ96" s="130"/>
      <c r="BA96" s="217"/>
      <c r="BB96" s="704"/>
      <c r="BC96" s="130"/>
      <c r="BD96" s="130"/>
      <c r="BE96" s="130"/>
      <c r="BF96" s="217"/>
      <c r="BG96" s="704"/>
      <c r="BH96" s="130"/>
      <c r="BI96" s="130"/>
      <c r="BJ96" s="130"/>
      <c r="BK96" s="217"/>
      <c r="BL96" s="704"/>
      <c r="BM96" s="130"/>
      <c r="BN96" s="130"/>
      <c r="BO96" s="130"/>
      <c r="BP96" s="217"/>
      <c r="BQ96" s="704"/>
      <c r="BR96" s="130"/>
      <c r="BS96" s="130"/>
      <c r="BT96" s="130"/>
      <c r="BU96" s="217"/>
      <c r="BV96" s="704"/>
      <c r="BW96" s="130"/>
      <c r="BX96" s="130"/>
      <c r="BY96" s="130"/>
      <c r="BZ96" s="217"/>
    </row>
    <row r="97" spans="1:78" s="114" customFormat="1" ht="14.1" customHeight="1" x14ac:dyDescent="0.2">
      <c r="A97"/>
      <c r="B97"/>
      <c r="C97" s="210" t="str">
        <f>'Income Statement'!C8&amp;" "&amp;'Invested Capital'!C96</f>
        <v xml:space="preserve">Revenue Growth Rates </v>
      </c>
      <c r="E97" s="178">
        <f>'Income Statement'!E9</f>
        <v>0.17736560682222513</v>
      </c>
      <c r="F97" s="178">
        <f>'Income Statement'!F9</f>
        <v>8.0349536142658717E-2</v>
      </c>
      <c r="G97" s="178">
        <f>'Income Statement'!G9</f>
        <v>1.9941961174992473E-2</v>
      </c>
      <c r="H97" s="178">
        <f>'Income Statement'!H9</f>
        <v>0.25589700422417905</v>
      </c>
      <c r="I97" s="178">
        <f>'Income Statement'!I9</f>
        <v>0.21992927001482032</v>
      </c>
      <c r="J97" s="702">
        <f>'Income Statement'!J9</f>
        <v>3.2010807802276275E-2</v>
      </c>
      <c r="K97" s="178">
        <f>'Income Statement'!K9</f>
        <v>0.11371800393241971</v>
      </c>
      <c r="L97" s="178">
        <f>'Income Statement'!L9</f>
        <v>0.11011397797145661</v>
      </c>
      <c r="M97" s="178">
        <f>'Income Statement'!M9</f>
        <v>0.14839364532137833</v>
      </c>
      <c r="N97" s="178">
        <f>'Income Statement'!N9</f>
        <v>8.8691950711687229E-2</v>
      </c>
      <c r="O97" s="699">
        <f>'Income Statement'!O9</f>
        <v>7.953468556996679E-2</v>
      </c>
      <c r="R97" s="210" t="str">
        <f t="shared" ref="R97:R103" si="38">C97</f>
        <v xml:space="preserve">Revenue Growth Rates </v>
      </c>
      <c r="S97" s="694"/>
      <c r="T97" s="694"/>
      <c r="U97" s="694"/>
      <c r="V97" s="694"/>
      <c r="W97" s="694"/>
      <c r="X97" s="178">
        <f>'Income Statement'!X9</f>
        <v>0.21577579002754654</v>
      </c>
      <c r="Y97" s="178">
        <f>'Income Statement'!Y9</f>
        <v>0.19704042885861073</v>
      </c>
      <c r="Z97" s="178">
        <f>'Income Statement'!Z9</f>
        <v>0.21567608023721507</v>
      </c>
      <c r="AA97" s="178">
        <f>'Income Statement'!AA9</f>
        <v>8.9340664343810383E-2</v>
      </c>
      <c r="AB97" s="178">
        <f>'Income Statement'!AB9</f>
        <v>0.17736560682222513</v>
      </c>
      <c r="AC97" s="705">
        <f>'Income Statement'!AC9</f>
        <v>4.5261643818179431E-2</v>
      </c>
      <c r="AD97" s="178">
        <f>'Income Statement'!AD9</f>
        <v>8.2716009068602103E-2</v>
      </c>
      <c r="AE97" s="178">
        <f>'Income Statement'!AE9</f>
        <v>0.10181595161222101</v>
      </c>
      <c r="AF97" s="178">
        <f>'Income Statement'!AF9</f>
        <v>8.9280885064536131E-2</v>
      </c>
      <c r="AG97" s="699">
        <f>'Income Statement'!AG9</f>
        <v>8.0349536142658717E-2</v>
      </c>
      <c r="AH97" s="705">
        <f>'Income Statement'!AH9</f>
        <v>8.7222103150634167E-2</v>
      </c>
      <c r="AI97" s="178">
        <f>'Income Statement'!AI9</f>
        <v>-9.9270780598670894E-2</v>
      </c>
      <c r="AJ97" s="178">
        <f>'Income Statement'!AJ9</f>
        <v>2.6622391984491012E-2</v>
      </c>
      <c r="AK97" s="178">
        <f>'Income Statement'!AK9</f>
        <v>7.5422342094275452E-2</v>
      </c>
      <c r="AL97" s="699">
        <f>'Income Statement'!AL9</f>
        <v>1.9941961174992473E-2</v>
      </c>
      <c r="AM97" s="705">
        <f>'Income Statement'!AM9</f>
        <v>8.4404878179912046E-2</v>
      </c>
      <c r="AN97" s="178">
        <f>'Income Statement'!AN9</f>
        <v>0.36645268993623747</v>
      </c>
      <c r="AO97" s="178">
        <f>'Income Statement'!AO9</f>
        <v>0.28011899271668184</v>
      </c>
      <c r="AP97" s="178">
        <f>'Income Statement'!AP9</f>
        <v>0.29507725370528193</v>
      </c>
      <c r="AQ97" s="699">
        <f>'Income Statement'!AQ9</f>
        <v>0.25589700422417905</v>
      </c>
      <c r="AR97" s="705">
        <f>'Income Statement'!AR9</f>
        <v>0.3659399182769576</v>
      </c>
      <c r="AS97" s="178">
        <f>'Income Statement'!AS9</f>
        <v>0.30493775083882779</v>
      </c>
      <c r="AT97" s="178">
        <f>'Income Statement'!AT9</f>
        <v>0.18393712594285128</v>
      </c>
      <c r="AU97" s="178">
        <f>'Income Statement'!AU9</f>
        <v>6.262549000860429E-2</v>
      </c>
      <c r="AV97" s="699">
        <f>'Income Statement'!AV9</f>
        <v>0.21992927001482032</v>
      </c>
      <c r="AW97" s="705">
        <f>'Income Statement'!AW9</f>
        <v>-1.0299206310797615E-3</v>
      </c>
      <c r="AX97" s="178">
        <f>'Income Statement'!AX9</f>
        <v>-6.8314300506737258E-2</v>
      </c>
      <c r="AY97" s="178">
        <f>'Income Statement'!AY9</f>
        <v>6.2480039366139328E-2</v>
      </c>
      <c r="AZ97" s="178">
        <f>'Income Statement'!AZ9</f>
        <v>0.14549674711693683</v>
      </c>
      <c r="BA97" s="699">
        <f>'Income Statement'!BA9</f>
        <v>3.2010807802276275E-2</v>
      </c>
      <c r="BB97" s="705">
        <f>'Income Statement'!BB9</f>
        <v>0.14267222781533162</v>
      </c>
      <c r="BC97" s="178">
        <f>'Income Statement'!BC9</f>
        <v>0.18516833615981088</v>
      </c>
      <c r="BD97" s="178">
        <f>'Income Statement'!BD9</f>
        <v>8.6382659222028257E-2</v>
      </c>
      <c r="BE97" s="178">
        <f>'Income Statement'!BE9</f>
        <v>5.0390356455329188E-2</v>
      </c>
      <c r="BF97" s="699">
        <f>'Income Statement'!BF9</f>
        <v>0.11371800393241971</v>
      </c>
      <c r="BG97" s="705">
        <f>'Income Statement'!BG9</f>
        <v>0.10151149062072284</v>
      </c>
      <c r="BH97" s="178">
        <f>'Income Statement'!BH9</f>
        <v>0.11729562723347198</v>
      </c>
      <c r="BI97" s="178">
        <f>'Income Statement'!BI9</f>
        <v>9.3143457074752911E-2</v>
      </c>
      <c r="BJ97" s="178">
        <f>'Income Statement'!BJ9</f>
        <v>0.12896310618947693</v>
      </c>
      <c r="BK97" s="699">
        <f>'Income Statement'!BK9</f>
        <v>0.11011397797145661</v>
      </c>
      <c r="BL97" s="705">
        <f>'Income Statement'!BL9</f>
        <v>0.13344881999999991</v>
      </c>
      <c r="BM97" s="178">
        <f>'Income Statement'!BM9</f>
        <v>0.13872722000000026</v>
      </c>
      <c r="BN97" s="178">
        <f>'Income Statement'!BN9</f>
        <v>0.14627072000000019</v>
      </c>
      <c r="BO97" s="178">
        <f>'Income Statement'!BO9</f>
        <v>0.17451881689846105</v>
      </c>
      <c r="BP97" s="699">
        <f>'Income Statement'!BP9</f>
        <v>0.14839364532137833</v>
      </c>
      <c r="BQ97" s="705">
        <f>'Income Statement'!BQ9</f>
        <v>8.5088520000000001E-2</v>
      </c>
      <c r="BR97" s="178">
        <f>'Income Statement'!BR9</f>
        <v>8.9220820000000201E-2</v>
      </c>
      <c r="BS97" s="178">
        <f>'Income Statement'!BS9</f>
        <v>9.4574420000000048E-2</v>
      </c>
      <c r="BT97" s="178">
        <f>'Income Statement'!BT9</f>
        <v>8.5475119999999905E-2</v>
      </c>
      <c r="BU97" s="699">
        <f>'Income Statement'!BU9</f>
        <v>8.8691950711687229E-2</v>
      </c>
      <c r="BV97" s="705">
        <f>'Income Statement'!BV9</f>
        <v>7.8482599999999847E-2</v>
      </c>
      <c r="BW97" s="178">
        <f>'Income Statement'!BW9</f>
        <v>8.5750399999999782E-2</v>
      </c>
      <c r="BX97" s="178">
        <f>'Income Statement'!BX9</f>
        <v>8.3063000000000109E-2</v>
      </c>
      <c r="BY97" s="178">
        <f>'Income Statement'!BY9</f>
        <v>7.0648999999999962E-2</v>
      </c>
      <c r="BZ97" s="699">
        <f>'Income Statement'!BZ9</f>
        <v>7.953468556996679E-2</v>
      </c>
    </row>
    <row r="98" spans="1:78" s="114" customFormat="1" ht="14.1" customHeight="1" x14ac:dyDescent="0.2">
      <c r="A98"/>
      <c r="B98"/>
      <c r="C98" s="210" t="str">
        <f>C15&amp;" "&amp;C97</f>
        <v xml:space="preserve">Total Current Assets Revenue Growth Rates </v>
      </c>
      <c r="E98" s="178">
        <f t="shared" ref="E98:O98" si="39">IFERROR(E15/D15-1,"NM")</f>
        <v>6.3718650675719912E-2</v>
      </c>
      <c r="F98" s="160">
        <f t="shared" si="39"/>
        <v>9.9214410523773555E-2</v>
      </c>
      <c r="G98" s="160">
        <f t="shared" si="39"/>
        <v>6.1417906268443234E-2</v>
      </c>
      <c r="H98" s="160">
        <f t="shared" si="39"/>
        <v>0.25682663116710214</v>
      </c>
      <c r="I98" s="160">
        <f t="shared" si="39"/>
        <v>0.10924315474364388</v>
      </c>
      <c r="J98" s="586">
        <f t="shared" si="39"/>
        <v>2.6151687355893793E-2</v>
      </c>
      <c r="K98" s="160">
        <f t="shared" si="39"/>
        <v>0.12957882996748937</v>
      </c>
      <c r="L98" s="160">
        <f t="shared" si="39"/>
        <v>0.13134061036255229</v>
      </c>
      <c r="M98" s="160">
        <f t="shared" si="39"/>
        <v>0.17101811486904506</v>
      </c>
      <c r="N98" s="160">
        <f t="shared" si="39"/>
        <v>0.15036133131370444</v>
      </c>
      <c r="O98" s="199">
        <f t="shared" si="39"/>
        <v>0.13116481002223224</v>
      </c>
      <c r="R98" s="210" t="str">
        <f t="shared" si="38"/>
        <v xml:space="preserve">Total Current Assets Revenue Growth Rates </v>
      </c>
      <c r="S98" s="694"/>
      <c r="T98" s="694"/>
      <c r="U98" s="694"/>
      <c r="V98" s="694"/>
      <c r="W98" s="694"/>
      <c r="X98" s="178">
        <f t="shared" ref="X98:BC98" si="40">IFERROR(X15/S15-1,"NM")</f>
        <v>0.22597954734501502</v>
      </c>
      <c r="Y98" s="178">
        <f t="shared" si="40"/>
        <v>0.173740436341143</v>
      </c>
      <c r="Z98" s="178">
        <f t="shared" si="40"/>
        <v>0.11774504034550515</v>
      </c>
      <c r="AA98" s="178">
        <f t="shared" si="40"/>
        <v>6.3718650675719912E-2</v>
      </c>
      <c r="AB98" s="178">
        <f t="shared" si="40"/>
        <v>6.3718650675719912E-2</v>
      </c>
      <c r="AC98" s="601">
        <f t="shared" si="40"/>
        <v>6.8970257601894458E-2</v>
      </c>
      <c r="AD98" s="160">
        <f t="shared" si="40"/>
        <v>0.12694710105486862</v>
      </c>
      <c r="AE98" s="160">
        <f t="shared" si="40"/>
        <v>0.11406874643061093</v>
      </c>
      <c r="AF98" s="160">
        <f t="shared" si="40"/>
        <v>9.9214410523773555E-2</v>
      </c>
      <c r="AG98" s="199">
        <f t="shared" si="40"/>
        <v>9.9214410523773555E-2</v>
      </c>
      <c r="AH98" s="601">
        <f t="shared" si="40"/>
        <v>7.4434986061330033E-2</v>
      </c>
      <c r="AI98" s="160">
        <f t="shared" si="40"/>
        <v>-7.8666544007727435E-2</v>
      </c>
      <c r="AJ98" s="160">
        <f t="shared" si="40"/>
        <v>1.984028450823816E-2</v>
      </c>
      <c r="AK98" s="160">
        <f t="shared" si="40"/>
        <v>6.1417906268443234E-2</v>
      </c>
      <c r="AL98" s="199">
        <f t="shared" si="40"/>
        <v>6.1417906268443234E-2</v>
      </c>
      <c r="AM98" s="601">
        <f t="shared" si="40"/>
        <v>0.13921289271387161</v>
      </c>
      <c r="AN98" s="160">
        <f t="shared" si="40"/>
        <v>0.2523599722087011</v>
      </c>
      <c r="AO98" s="160">
        <f t="shared" si="40"/>
        <v>0.29161430680782896</v>
      </c>
      <c r="AP98" s="160">
        <f t="shared" si="40"/>
        <v>0.25682663116710214</v>
      </c>
      <c r="AQ98" s="199">
        <f t="shared" si="40"/>
        <v>0.25682663116710214</v>
      </c>
      <c r="AR98" s="601">
        <f t="shared" si="40"/>
        <v>0.25177000898137636</v>
      </c>
      <c r="AS98" s="160">
        <f t="shared" si="40"/>
        <v>0.32384451583112139</v>
      </c>
      <c r="AT98" s="160">
        <f t="shared" si="40"/>
        <v>0.22094391423715498</v>
      </c>
      <c r="AU98" s="160">
        <f t="shared" si="40"/>
        <v>0.10924315474364388</v>
      </c>
      <c r="AV98" s="199">
        <f t="shared" si="40"/>
        <v>0.10924315474364388</v>
      </c>
      <c r="AW98" s="601">
        <f t="shared" si="40"/>
        <v>-6.0247846840724484E-2</v>
      </c>
      <c r="AX98" s="160">
        <f t="shared" si="40"/>
        <v>-0.13709489215944604</v>
      </c>
      <c r="AY98" s="160">
        <f t="shared" si="40"/>
        <v>-1.3063497162437043E-2</v>
      </c>
      <c r="AZ98" s="160">
        <f t="shared" si="40"/>
        <v>2.6151687355893793E-2</v>
      </c>
      <c r="BA98" s="199">
        <f t="shared" si="40"/>
        <v>2.6151687355893793E-2</v>
      </c>
      <c r="BB98" s="601">
        <f t="shared" si="40"/>
        <v>0.16382829764123907</v>
      </c>
      <c r="BC98" s="160">
        <f t="shared" si="40"/>
        <v>0.26469151312116157</v>
      </c>
      <c r="BD98" s="160">
        <f t="shared" ref="BD98:BZ98" si="41">IFERROR(BD15/AY15-1,"NM")</f>
        <v>6.714337258503611E-2</v>
      </c>
      <c r="BE98" s="160">
        <f t="shared" si="41"/>
        <v>0.12957882996748937</v>
      </c>
      <c r="BF98" s="199">
        <f t="shared" si="41"/>
        <v>0.12957882996748937</v>
      </c>
      <c r="BG98" s="601">
        <f t="shared" si="41"/>
        <v>9.8546190744120299E-2</v>
      </c>
      <c r="BH98" s="160">
        <f t="shared" si="41"/>
        <v>0.11798281599265303</v>
      </c>
      <c r="BI98" s="160">
        <f t="shared" si="41"/>
        <v>3.1160540841379536E-4</v>
      </c>
      <c r="BJ98" s="160">
        <f t="shared" si="41"/>
        <v>0.13134061036255229</v>
      </c>
      <c r="BK98" s="199">
        <f t="shared" si="41"/>
        <v>0.13134061036255229</v>
      </c>
      <c r="BL98" s="601">
        <f t="shared" si="41"/>
        <v>9.7072193395526307E-2</v>
      </c>
      <c r="BM98" s="160">
        <f t="shared" si="41"/>
        <v>0.11242533487240136</v>
      </c>
      <c r="BN98" s="160">
        <f t="shared" si="41"/>
        <v>0.16705944131389416</v>
      </c>
      <c r="BO98" s="160">
        <f t="shared" si="41"/>
        <v>0.17101811486904506</v>
      </c>
      <c r="BP98" s="199">
        <f t="shared" si="41"/>
        <v>0.17101811486904506</v>
      </c>
      <c r="BQ98" s="601">
        <f t="shared" si="41"/>
        <v>5.3093033443802895E-3</v>
      </c>
      <c r="BR98" s="160">
        <f t="shared" si="41"/>
        <v>0.16428968614679706</v>
      </c>
      <c r="BS98" s="160">
        <f t="shared" si="41"/>
        <v>1.740100808901035E-2</v>
      </c>
      <c r="BT98" s="160">
        <f t="shared" si="41"/>
        <v>0.15036133131370444</v>
      </c>
      <c r="BU98" s="199">
        <f t="shared" si="41"/>
        <v>0.15036133131370444</v>
      </c>
      <c r="BV98" s="601">
        <f t="shared" si="41"/>
        <v>1.8961504356089787E-3</v>
      </c>
      <c r="BW98" s="160">
        <f t="shared" si="41"/>
        <v>0.15016690277570977</v>
      </c>
      <c r="BX98" s="160">
        <f t="shared" si="41"/>
        <v>-6.2283842085764096E-4</v>
      </c>
      <c r="BY98" s="160">
        <f t="shared" si="41"/>
        <v>0.13116481002223224</v>
      </c>
      <c r="BZ98" s="199">
        <f t="shared" si="41"/>
        <v>0.13116481002223224</v>
      </c>
    </row>
    <row r="99" spans="1:78" s="114" customFormat="1" ht="14.1" customHeight="1" x14ac:dyDescent="0.2">
      <c r="A99"/>
      <c r="B99"/>
      <c r="C99" s="210" t="str">
        <f>C21&amp;" "&amp;C96</f>
        <v xml:space="preserve">Total Current Liabilities Growth Rates </v>
      </c>
      <c r="E99" s="160">
        <f t="shared" ref="E99:O99" si="42">IFERROR(E21/D21-1,"NM")</f>
        <v>0.25114005875309964</v>
      </c>
      <c r="F99" s="160">
        <f t="shared" si="42"/>
        <v>6.0623967201455686E-2</v>
      </c>
      <c r="G99" s="160">
        <f t="shared" si="42"/>
        <v>0.15844513142130245</v>
      </c>
      <c r="H99" s="160">
        <f t="shared" si="42"/>
        <v>0.19335452870099634</v>
      </c>
      <c r="I99" s="160">
        <f t="shared" si="42"/>
        <v>-0.16315307057745188</v>
      </c>
      <c r="J99" s="586">
        <f t="shared" si="42"/>
        <v>0.2194203059141413</v>
      </c>
      <c r="K99" s="160">
        <f t="shared" si="42"/>
        <v>4.5202883840052888E-2</v>
      </c>
      <c r="L99" s="160">
        <f t="shared" si="42"/>
        <v>0.18247286241345817</v>
      </c>
      <c r="M99" s="160">
        <f t="shared" si="42"/>
        <v>0.20658682434313391</v>
      </c>
      <c r="N99" s="160">
        <f t="shared" si="42"/>
        <v>0.1393044728260362</v>
      </c>
      <c r="O99" s="199">
        <f t="shared" si="42"/>
        <v>0.10179625266584269</v>
      </c>
      <c r="R99" s="210" t="str">
        <f t="shared" si="38"/>
        <v xml:space="preserve">Total Current Liabilities Growth Rates </v>
      </c>
      <c r="S99" s="694"/>
      <c r="T99" s="694"/>
      <c r="U99" s="694"/>
      <c r="V99" s="694"/>
      <c r="W99" s="694"/>
      <c r="X99" s="178">
        <f t="shared" ref="X99:AG100" si="43">IFERROR(X21/S21-1,"NM")</f>
        <v>-6.0044162771357046E-2</v>
      </c>
      <c r="Y99" s="178">
        <f t="shared" si="43"/>
        <v>0.24965570210286581</v>
      </c>
      <c r="Z99" s="178">
        <f t="shared" si="43"/>
        <v>0.15443407620157767</v>
      </c>
      <c r="AA99" s="178">
        <f t="shared" si="43"/>
        <v>0.25114005875309964</v>
      </c>
      <c r="AB99" s="178">
        <f t="shared" si="43"/>
        <v>0.25114005875309964</v>
      </c>
      <c r="AC99" s="601">
        <f t="shared" si="43"/>
        <v>7.490572715180055E-2</v>
      </c>
      <c r="AD99" s="160">
        <f t="shared" si="43"/>
        <v>6.6610857379012289E-2</v>
      </c>
      <c r="AE99" s="160">
        <f t="shared" si="43"/>
        <v>7.4965257717471312E-2</v>
      </c>
      <c r="AF99" s="160">
        <f t="shared" si="43"/>
        <v>6.0623967201455686E-2</v>
      </c>
      <c r="AG99" s="199">
        <f t="shared" si="43"/>
        <v>6.0623967201455686E-2</v>
      </c>
      <c r="AH99" s="601">
        <f t="shared" ref="AH99:AQ100" si="44">IFERROR(AH21/AC21-1,"NM")</f>
        <v>0.19658609688809148</v>
      </c>
      <c r="AI99" s="160">
        <f t="shared" si="44"/>
        <v>4.0440117232129591E-2</v>
      </c>
      <c r="AJ99" s="160">
        <f t="shared" si="44"/>
        <v>0.13907287974744809</v>
      </c>
      <c r="AK99" s="160">
        <f t="shared" si="44"/>
        <v>0.15844513142130245</v>
      </c>
      <c r="AL99" s="199">
        <f t="shared" si="44"/>
        <v>0.15844513142130245</v>
      </c>
      <c r="AM99" s="601">
        <f t="shared" si="44"/>
        <v>0.26127053554909319</v>
      </c>
      <c r="AN99" s="160">
        <f t="shared" si="44"/>
        <v>0.16248191701161607</v>
      </c>
      <c r="AO99" s="160">
        <f t="shared" si="44"/>
        <v>0.26789653779940914</v>
      </c>
      <c r="AP99" s="160">
        <f t="shared" si="44"/>
        <v>0.19335452870099634</v>
      </c>
      <c r="AQ99" s="199">
        <f t="shared" si="44"/>
        <v>0.19335452870099634</v>
      </c>
      <c r="AR99" s="601">
        <f t="shared" ref="AR99:BA100" si="45">IFERROR(AR21/AM21-1,"NM")</f>
        <v>0.1237159933350136</v>
      </c>
      <c r="AS99" s="160">
        <f t="shared" si="45"/>
        <v>0.22825412862499617</v>
      </c>
      <c r="AT99" s="160">
        <f t="shared" si="45"/>
        <v>5.1160155424951892E-3</v>
      </c>
      <c r="AU99" s="160">
        <f t="shared" si="45"/>
        <v>-0.16315307057745188</v>
      </c>
      <c r="AV99" s="199">
        <f t="shared" si="45"/>
        <v>-0.16315307057745188</v>
      </c>
      <c r="AW99" s="601">
        <f t="shared" si="45"/>
        <v>-0.2273939864573119</v>
      </c>
      <c r="AX99" s="160">
        <f t="shared" si="45"/>
        <v>-0.23018534804169066</v>
      </c>
      <c r="AY99" s="160">
        <f t="shared" si="45"/>
        <v>-0.12792648554894004</v>
      </c>
      <c r="AZ99" s="160">
        <f t="shared" si="45"/>
        <v>0.2194203059141413</v>
      </c>
      <c r="BA99" s="199">
        <f t="shared" si="45"/>
        <v>0.2194203059141413</v>
      </c>
      <c r="BB99" s="601">
        <f t="shared" ref="BB99:BK100" si="46">IFERROR(BB21/AW21-1,"NM")</f>
        <v>0.31593472054344685</v>
      </c>
      <c r="BC99" s="160">
        <f t="shared" si="46"/>
        <v>0.27786030753192614</v>
      </c>
      <c r="BD99" s="160">
        <f t="shared" si="46"/>
        <v>0.20187644385967607</v>
      </c>
      <c r="BE99" s="160">
        <f t="shared" si="46"/>
        <v>4.5202883840052888E-2</v>
      </c>
      <c r="BF99" s="199">
        <f t="shared" si="46"/>
        <v>4.5202883840052888E-2</v>
      </c>
      <c r="BG99" s="601">
        <f t="shared" si="46"/>
        <v>0.15068471977104636</v>
      </c>
      <c r="BH99" s="160">
        <f t="shared" si="46"/>
        <v>0.21706622577871237</v>
      </c>
      <c r="BI99" s="160">
        <f t="shared" si="46"/>
        <v>0.20033510231729834</v>
      </c>
      <c r="BJ99" s="160">
        <f t="shared" si="46"/>
        <v>0.18247286241345817</v>
      </c>
      <c r="BK99" s="199">
        <f t="shared" si="46"/>
        <v>0.18247286241345817</v>
      </c>
      <c r="BL99" s="601">
        <f t="shared" ref="BL99:BU100" si="47">IFERROR(BL21/BG21-1,"NM")</f>
        <v>0.18124693271212022</v>
      </c>
      <c r="BM99" s="160">
        <f t="shared" si="47"/>
        <v>0.13584262332292862</v>
      </c>
      <c r="BN99" s="160">
        <f t="shared" si="47"/>
        <v>0.13074862004796439</v>
      </c>
      <c r="BO99" s="160">
        <f t="shared" si="47"/>
        <v>0.20658682434313391</v>
      </c>
      <c r="BP99" s="199">
        <f t="shared" si="47"/>
        <v>0.20658682434313391</v>
      </c>
      <c r="BQ99" s="601">
        <f t="shared" si="47"/>
        <v>1.8065306700776329E-3</v>
      </c>
      <c r="BR99" s="160">
        <f t="shared" si="47"/>
        <v>0.15531342578837459</v>
      </c>
      <c r="BS99" s="160">
        <f t="shared" si="47"/>
        <v>1.8600480521945739E-2</v>
      </c>
      <c r="BT99" s="160">
        <f t="shared" si="47"/>
        <v>0.1393044728260362</v>
      </c>
      <c r="BU99" s="199">
        <f t="shared" si="47"/>
        <v>0.1393044728260362</v>
      </c>
      <c r="BV99" s="601">
        <f t="shared" ref="BV99:BZ100" si="48">IFERROR(BV21/BQ21-1,"NM")</f>
        <v>1.0029935752364327E-2</v>
      </c>
      <c r="BW99" s="160">
        <f t="shared" si="48"/>
        <v>0.13089576250930257</v>
      </c>
      <c r="BX99" s="160">
        <f t="shared" si="48"/>
        <v>1.6668904808972318E-2</v>
      </c>
      <c r="BY99" s="160">
        <f t="shared" si="48"/>
        <v>0.10179625266584269</v>
      </c>
      <c r="BZ99" s="199">
        <f t="shared" si="48"/>
        <v>0.10179625266584269</v>
      </c>
    </row>
    <row r="100" spans="1:78" s="114" customFormat="1" ht="14.1" customHeight="1" x14ac:dyDescent="0.2">
      <c r="A100"/>
      <c r="B100"/>
      <c r="C100" s="210" t="str">
        <f>C22&amp;" "&amp;C96</f>
        <v xml:space="preserve">Net Operating Working Capital Growth Rates </v>
      </c>
      <c r="E100" s="160">
        <f t="shared" ref="E100:O100" si="49">IFERROR(E22/D22-1,"NM")</f>
        <v>-0.56330166790701774</v>
      </c>
      <c r="F100" s="160">
        <f t="shared" si="49"/>
        <v>0.46909929326850852</v>
      </c>
      <c r="G100" s="160">
        <f t="shared" si="49"/>
        <v>-0.6099965881951549</v>
      </c>
      <c r="H100" s="160">
        <f t="shared" si="49"/>
        <v>1.5614556906657286</v>
      </c>
      <c r="I100" s="160">
        <f t="shared" si="49"/>
        <v>2.7177254098360666</v>
      </c>
      <c r="J100" s="586">
        <f t="shared" si="49"/>
        <v>-0.39044600615497638</v>
      </c>
      <c r="K100" s="160">
        <f t="shared" si="49"/>
        <v>0.49342299619447005</v>
      </c>
      <c r="L100" s="160">
        <f t="shared" si="49"/>
        <v>-2.2974852629141562E-2</v>
      </c>
      <c r="M100" s="160">
        <f t="shared" si="49"/>
        <v>4.110048956123924E-2</v>
      </c>
      <c r="N100" s="160">
        <f t="shared" si="49"/>
        <v>0.19716691277242915</v>
      </c>
      <c r="O100" s="199">
        <f t="shared" si="49"/>
        <v>0.24947811991325786</v>
      </c>
      <c r="R100" s="210" t="str">
        <f t="shared" si="38"/>
        <v xml:space="preserve">Net Operating Working Capital Growth Rates </v>
      </c>
      <c r="S100" s="694"/>
      <c r="T100" s="694"/>
      <c r="U100" s="694"/>
      <c r="V100" s="694"/>
      <c r="W100" s="694"/>
      <c r="X100" s="178">
        <f t="shared" si="43"/>
        <v>5.430494677520354</v>
      </c>
      <c r="Y100" s="178">
        <f t="shared" si="43"/>
        <v>-7.4438840667547357E-2</v>
      </c>
      <c r="Z100" s="178">
        <f t="shared" si="43"/>
        <v>-6.1365169692879529E-2</v>
      </c>
      <c r="AA100" s="178">
        <f t="shared" si="43"/>
        <v>-0.56330166790701774</v>
      </c>
      <c r="AB100" s="178">
        <f t="shared" si="43"/>
        <v>-0.56330166790701774</v>
      </c>
      <c r="AC100" s="601">
        <f t="shared" si="43"/>
        <v>5.3183374718016374E-2</v>
      </c>
      <c r="AD100" s="160">
        <f t="shared" si="43"/>
        <v>0.39326473339569645</v>
      </c>
      <c r="AE100" s="160">
        <f t="shared" si="43"/>
        <v>0.34885465170786323</v>
      </c>
      <c r="AF100" s="160">
        <f t="shared" si="43"/>
        <v>0.46909929326850852</v>
      </c>
      <c r="AG100" s="199">
        <f t="shared" si="43"/>
        <v>0.46909929326850852</v>
      </c>
      <c r="AH100" s="601">
        <f t="shared" si="44"/>
        <v>-0.25715782660954811</v>
      </c>
      <c r="AI100" s="160">
        <f t="shared" si="44"/>
        <v>-0.48113334228548421</v>
      </c>
      <c r="AJ100" s="160">
        <f t="shared" si="44"/>
        <v>-0.55069273898336446</v>
      </c>
      <c r="AK100" s="160">
        <f t="shared" si="44"/>
        <v>-0.6099965881951549</v>
      </c>
      <c r="AL100" s="199">
        <f t="shared" si="44"/>
        <v>-0.6099965881951549</v>
      </c>
      <c r="AM100" s="601">
        <f t="shared" si="44"/>
        <v>-0.39451520557606834</v>
      </c>
      <c r="AN100" s="160">
        <f t="shared" si="44"/>
        <v>0.861348343685302</v>
      </c>
      <c r="AO100" s="160">
        <f t="shared" si="44"/>
        <v>0.5793327489300284</v>
      </c>
      <c r="AP100" s="160">
        <f t="shared" si="44"/>
        <v>1.5614556906657286</v>
      </c>
      <c r="AQ100" s="199">
        <f t="shared" si="44"/>
        <v>1.5614556906657286</v>
      </c>
      <c r="AR100" s="601">
        <f t="shared" si="45"/>
        <v>1.4181855557078213</v>
      </c>
      <c r="AS100" s="160">
        <f t="shared" si="45"/>
        <v>0.72835343599012847</v>
      </c>
      <c r="AT100" s="160">
        <f t="shared" si="45"/>
        <v>2.3228418440642518</v>
      </c>
      <c r="AU100" s="160">
        <f t="shared" si="45"/>
        <v>2.7177254098360666</v>
      </c>
      <c r="AV100" s="199">
        <f t="shared" si="45"/>
        <v>2.7177254098360666</v>
      </c>
      <c r="AW100" s="601">
        <f t="shared" si="45"/>
        <v>0.64724717350032623</v>
      </c>
      <c r="AX100" s="160">
        <f t="shared" si="45"/>
        <v>0.14285139673792746</v>
      </c>
      <c r="AY100" s="160">
        <f t="shared" si="45"/>
        <v>0.32530558503321094</v>
      </c>
      <c r="AZ100" s="160">
        <f t="shared" si="45"/>
        <v>-0.39044600615497638</v>
      </c>
      <c r="BA100" s="199">
        <f t="shared" si="45"/>
        <v>-0.39044600615497638</v>
      </c>
      <c r="BB100" s="601">
        <f t="shared" si="46"/>
        <v>-0.13814872791701793</v>
      </c>
      <c r="BC100" s="160">
        <f t="shared" si="46"/>
        <v>0.23801604899165896</v>
      </c>
      <c r="BD100" s="160">
        <f t="shared" si="46"/>
        <v>-0.19402575641871611</v>
      </c>
      <c r="BE100" s="160">
        <f t="shared" si="46"/>
        <v>0.49342299619447005</v>
      </c>
      <c r="BF100" s="199">
        <f t="shared" si="46"/>
        <v>0.49342299619447005</v>
      </c>
      <c r="BG100" s="601">
        <f t="shared" si="46"/>
        <v>-5.9501131866461332E-2</v>
      </c>
      <c r="BH100" s="160">
        <f t="shared" si="46"/>
        <v>-8.918582463015523E-2</v>
      </c>
      <c r="BI100" s="160">
        <f t="shared" si="46"/>
        <v>-0.57787404163248846</v>
      </c>
      <c r="BJ100" s="160">
        <f t="shared" si="46"/>
        <v>-2.2974852629141562E-2</v>
      </c>
      <c r="BK100" s="199">
        <f t="shared" si="46"/>
        <v>-2.2974852629141562E-2</v>
      </c>
      <c r="BL100" s="601">
        <f t="shared" si="47"/>
        <v>-0.21511006468821903</v>
      </c>
      <c r="BM100" s="160">
        <f t="shared" si="47"/>
        <v>4.7000278153052966E-2</v>
      </c>
      <c r="BN100" s="160">
        <f t="shared" si="47"/>
        <v>0.46551715633814128</v>
      </c>
      <c r="BO100" s="160">
        <f t="shared" si="47"/>
        <v>4.110048956123924E-2</v>
      </c>
      <c r="BP100" s="199">
        <f t="shared" si="47"/>
        <v>4.110048956123924E-2</v>
      </c>
      <c r="BQ100" s="601">
        <f t="shared" si="47"/>
        <v>2.4860364053752582E-2</v>
      </c>
      <c r="BR100" s="160">
        <f t="shared" si="47"/>
        <v>0.19149628843073097</v>
      </c>
      <c r="BS100" s="160">
        <f t="shared" si="47"/>
        <v>9.7940299423384669E-3</v>
      </c>
      <c r="BT100" s="160">
        <f t="shared" si="47"/>
        <v>0.19716691277242915</v>
      </c>
      <c r="BU100" s="199">
        <f t="shared" si="47"/>
        <v>0.19716691277242915</v>
      </c>
      <c r="BV100" s="601">
        <f t="shared" si="48"/>
        <v>-4.2482106250659735E-2</v>
      </c>
      <c r="BW100" s="160">
        <f t="shared" si="48"/>
        <v>0.20680301139301993</v>
      </c>
      <c r="BX100" s="160">
        <f t="shared" si="48"/>
        <v>-0.11124235426919615</v>
      </c>
      <c r="BY100" s="160">
        <f t="shared" si="48"/>
        <v>0.24947811991325786</v>
      </c>
      <c r="BZ100" s="199">
        <f t="shared" si="48"/>
        <v>0.24947811991325786</v>
      </c>
    </row>
    <row r="101" spans="1:78" s="114" customFormat="1" ht="14.1" customHeight="1" x14ac:dyDescent="0.2">
      <c r="A101"/>
      <c r="B101"/>
      <c r="C101" s="210" t="str">
        <f>C28&amp;" "&amp;C96</f>
        <v xml:space="preserve">Net Property and Equipment Growth Rates </v>
      </c>
      <c r="E101" s="160">
        <f t="shared" ref="E101:O101" si="50">IFERROR(E28/D28-1,"NM")</f>
        <v>0.21375682948707508</v>
      </c>
      <c r="F101" s="160">
        <f t="shared" si="50"/>
        <v>0.29497636211757827</v>
      </c>
      <c r="G101" s="160">
        <f t="shared" si="50"/>
        <v>8.0634575858481661E-2</v>
      </c>
      <c r="H101" s="160">
        <f t="shared" si="50"/>
        <v>0.11081727268508224</v>
      </c>
      <c r="I101" s="160">
        <f t="shared" si="50"/>
        <v>0.1547576599062841</v>
      </c>
      <c r="J101" s="586">
        <f t="shared" si="50"/>
        <v>0.17401993044617381</v>
      </c>
      <c r="K101" s="160">
        <f t="shared" si="50"/>
        <v>0.42142514819738075</v>
      </c>
      <c r="L101" s="160">
        <f t="shared" si="50"/>
        <v>0.16820612192728479</v>
      </c>
      <c r="M101" s="160">
        <f t="shared" si="50"/>
        <v>0.13054422427789292</v>
      </c>
      <c r="N101" s="160">
        <f t="shared" si="50"/>
        <v>8.196875553899341E-2</v>
      </c>
      <c r="O101" s="199">
        <f t="shared" si="50"/>
        <v>5.7933253541707197E-2</v>
      </c>
      <c r="R101" s="210" t="str">
        <f t="shared" si="38"/>
        <v xml:space="preserve">Net Property and Equipment Growth Rates </v>
      </c>
      <c r="S101" s="694"/>
      <c r="T101" s="694"/>
      <c r="U101" s="694"/>
      <c r="V101" s="694"/>
      <c r="W101" s="694"/>
      <c r="X101" s="178">
        <f t="shared" ref="X101:BC101" si="51">IFERROR(X28/S28-1,"NM")</f>
        <v>6.8040264631443526E-2</v>
      </c>
      <c r="Y101" s="178">
        <f t="shared" si="51"/>
        <v>0.15627208282390948</v>
      </c>
      <c r="Z101" s="178">
        <f t="shared" si="51"/>
        <v>0.1562471032428463</v>
      </c>
      <c r="AA101" s="178">
        <f t="shared" si="51"/>
        <v>0.21375682948707508</v>
      </c>
      <c r="AB101" s="178">
        <f t="shared" si="51"/>
        <v>0.21375682948707508</v>
      </c>
      <c r="AC101" s="601">
        <f t="shared" si="51"/>
        <v>0.28537782345720242</v>
      </c>
      <c r="AD101" s="160">
        <f t="shared" si="51"/>
        <v>0.28910693953177069</v>
      </c>
      <c r="AE101" s="160">
        <f t="shared" si="51"/>
        <v>0.36979748122887313</v>
      </c>
      <c r="AF101" s="160">
        <f t="shared" si="51"/>
        <v>0.29497636211757827</v>
      </c>
      <c r="AG101" s="199">
        <f t="shared" si="51"/>
        <v>0.29497636211757827</v>
      </c>
      <c r="AH101" s="601">
        <f t="shared" si="51"/>
        <v>0.27254675405678985</v>
      </c>
      <c r="AI101" s="160">
        <f t="shared" si="51"/>
        <v>0.16743642660817115</v>
      </c>
      <c r="AJ101" s="160">
        <f t="shared" si="51"/>
        <v>9.943622059900048E-2</v>
      </c>
      <c r="AK101" s="160">
        <f t="shared" si="51"/>
        <v>8.0634575858481661E-2</v>
      </c>
      <c r="AL101" s="199">
        <f t="shared" si="51"/>
        <v>8.0634575858481661E-2</v>
      </c>
      <c r="AM101" s="601">
        <f t="shared" si="51"/>
        <v>-8.865137103085563E-3</v>
      </c>
      <c r="AN101" s="160">
        <f t="shared" si="51"/>
        <v>1.7565812373499634E-2</v>
      </c>
      <c r="AO101" s="160">
        <f t="shared" si="51"/>
        <v>3.8619711013613056E-2</v>
      </c>
      <c r="AP101" s="160">
        <f t="shared" si="51"/>
        <v>0.11081727268508224</v>
      </c>
      <c r="AQ101" s="199">
        <f t="shared" si="51"/>
        <v>0.11081727268508224</v>
      </c>
      <c r="AR101" s="601">
        <f t="shared" si="51"/>
        <v>0.11508019829672334</v>
      </c>
      <c r="AS101" s="160">
        <f t="shared" si="51"/>
        <v>0.15469888867333648</v>
      </c>
      <c r="AT101" s="160">
        <f t="shared" si="51"/>
        <v>0.18314689342899793</v>
      </c>
      <c r="AU101" s="160">
        <f t="shared" si="51"/>
        <v>0.1547576599062841</v>
      </c>
      <c r="AV101" s="199">
        <f t="shared" si="51"/>
        <v>0.1547576599062841</v>
      </c>
      <c r="AW101" s="601">
        <f t="shared" si="51"/>
        <v>0.22417349288272947</v>
      </c>
      <c r="AX101" s="160">
        <f t="shared" si="51"/>
        <v>0.17809123793523152</v>
      </c>
      <c r="AY101" s="160">
        <f t="shared" si="51"/>
        <v>0.16357940677281135</v>
      </c>
      <c r="AZ101" s="160">
        <f t="shared" si="51"/>
        <v>0.17401993044617381</v>
      </c>
      <c r="BA101" s="199">
        <f t="shared" si="51"/>
        <v>0.17401993044617381</v>
      </c>
      <c r="BB101" s="601">
        <f t="shared" si="51"/>
        <v>0.36975100338639177</v>
      </c>
      <c r="BC101" s="160">
        <f t="shared" si="51"/>
        <v>0.43695826670958504</v>
      </c>
      <c r="BD101" s="160">
        <f t="shared" ref="BD101:BZ101" si="52">IFERROR(BD28/AY28-1,"NM")</f>
        <v>0.44655124606792196</v>
      </c>
      <c r="BE101" s="160">
        <f t="shared" si="52"/>
        <v>0.42142514819738075</v>
      </c>
      <c r="BF101" s="199">
        <f t="shared" si="52"/>
        <v>0.42142514819738075</v>
      </c>
      <c r="BG101" s="601">
        <f t="shared" si="52"/>
        <v>0.20701813244327827</v>
      </c>
      <c r="BH101" s="160">
        <f t="shared" si="52"/>
        <v>0.17533247140653208</v>
      </c>
      <c r="BI101" s="160">
        <f t="shared" si="52"/>
        <v>0.15600513212578071</v>
      </c>
      <c r="BJ101" s="160">
        <f t="shared" si="52"/>
        <v>0.16820612192728479</v>
      </c>
      <c r="BK101" s="199">
        <f t="shared" si="52"/>
        <v>0.16820612192728479</v>
      </c>
      <c r="BL101" s="601">
        <f t="shared" si="52"/>
        <v>0.16319825982486647</v>
      </c>
      <c r="BM101" s="160">
        <f t="shared" si="52"/>
        <v>0.15138179715036904</v>
      </c>
      <c r="BN101" s="160">
        <f t="shared" si="52"/>
        <v>0.14107891306418519</v>
      </c>
      <c r="BO101" s="160">
        <f t="shared" si="52"/>
        <v>0.13054422427789292</v>
      </c>
      <c r="BP101" s="199">
        <f t="shared" si="52"/>
        <v>0.13054422427789292</v>
      </c>
      <c r="BQ101" s="601">
        <f t="shared" si="52"/>
        <v>0.11974978344488374</v>
      </c>
      <c r="BR101" s="160">
        <f t="shared" si="52"/>
        <v>0.10837123105163715</v>
      </c>
      <c r="BS101" s="160">
        <f t="shared" si="52"/>
        <v>9.7006377985610071E-2</v>
      </c>
      <c r="BT101" s="160">
        <f t="shared" si="52"/>
        <v>8.196875553899341E-2</v>
      </c>
      <c r="BU101" s="199">
        <f t="shared" si="52"/>
        <v>8.196875553899341E-2</v>
      </c>
      <c r="BV101" s="601">
        <f t="shared" si="52"/>
        <v>7.5022753012161436E-2</v>
      </c>
      <c r="BW101" s="160">
        <f t="shared" si="52"/>
        <v>6.8987386906889325E-2</v>
      </c>
      <c r="BX101" s="160">
        <f t="shared" si="52"/>
        <v>6.2245567537207114E-2</v>
      </c>
      <c r="BY101" s="160">
        <f t="shared" si="52"/>
        <v>5.7933253541707197E-2</v>
      </c>
      <c r="BZ101" s="199">
        <f t="shared" si="52"/>
        <v>5.7933253541707197E-2</v>
      </c>
    </row>
    <row r="102" spans="1:78" s="114" customFormat="1" ht="14.1" customHeight="1" x14ac:dyDescent="0.2">
      <c r="A102"/>
      <c r="B102"/>
      <c r="C102" s="210" t="str">
        <f>C35&amp;" "&amp;C96</f>
        <v xml:space="preserve">Other Assets Net Growth Rates </v>
      </c>
      <c r="E102" s="160">
        <f t="shared" ref="E102:O102" si="53">IFERROR(E35/D35-1,"NM")</f>
        <v>0.36317395727365187</v>
      </c>
      <c r="F102" s="160">
        <f t="shared" si="53"/>
        <v>0.33843283582089545</v>
      </c>
      <c r="G102" s="160">
        <f t="shared" si="53"/>
        <v>7.3994052597342153E-2</v>
      </c>
      <c r="H102" s="160">
        <f t="shared" si="53"/>
        <v>3.392531383619235E-2</v>
      </c>
      <c r="I102" s="160">
        <f t="shared" si="53"/>
        <v>0.15393466860075877</v>
      </c>
      <c r="J102" s="586">
        <f t="shared" si="53"/>
        <v>-6.3820143232709015E-3</v>
      </c>
      <c r="K102" s="160">
        <f t="shared" si="53"/>
        <v>3.2526850580570921E-2</v>
      </c>
      <c r="L102" s="160">
        <f t="shared" si="53"/>
        <v>0.33537538718587845</v>
      </c>
      <c r="M102" s="160">
        <f t="shared" si="53"/>
        <v>0.21335905537850874</v>
      </c>
      <c r="N102" s="160">
        <f t="shared" si="53"/>
        <v>9.3155934209952829E-2</v>
      </c>
      <c r="O102" s="199">
        <f t="shared" si="53"/>
        <v>7.6748183366941447E-2</v>
      </c>
      <c r="R102" s="210" t="str">
        <f t="shared" si="38"/>
        <v xml:space="preserve">Other Assets Net Growth Rates </v>
      </c>
      <c r="S102" s="694"/>
      <c r="T102" s="694"/>
      <c r="U102" s="694"/>
      <c r="V102" s="694"/>
      <c r="W102" s="694"/>
      <c r="X102" s="178">
        <f t="shared" ref="X102:BC102" si="54">IFERROR(X35/S35-1,"NM")</f>
        <v>-0.18408493992735409</v>
      </c>
      <c r="Y102" s="178">
        <f t="shared" si="54"/>
        <v>-0.23636137433387949</v>
      </c>
      <c r="Z102" s="178">
        <f t="shared" si="54"/>
        <v>-0.20772222052114253</v>
      </c>
      <c r="AA102" s="178">
        <f t="shared" si="54"/>
        <v>0.36317395727365187</v>
      </c>
      <c r="AB102" s="178">
        <f t="shared" si="54"/>
        <v>0.36317395727365187</v>
      </c>
      <c r="AC102" s="601">
        <f t="shared" si="54"/>
        <v>0.38296531696893332</v>
      </c>
      <c r="AD102" s="160">
        <f t="shared" si="54"/>
        <v>0.53305908547844072</v>
      </c>
      <c r="AE102" s="160">
        <f t="shared" si="54"/>
        <v>0.61621900161030574</v>
      </c>
      <c r="AF102" s="160">
        <f t="shared" si="54"/>
        <v>0.33843283582089545</v>
      </c>
      <c r="AG102" s="199">
        <f t="shared" si="54"/>
        <v>0.33843283582089545</v>
      </c>
      <c r="AH102" s="601">
        <f t="shared" si="54"/>
        <v>0.35227115152235533</v>
      </c>
      <c r="AI102" s="160">
        <f t="shared" si="54"/>
        <v>0.25304864548924444</v>
      </c>
      <c r="AJ102" s="160">
        <f t="shared" si="54"/>
        <v>0.15500681497541047</v>
      </c>
      <c r="AK102" s="160">
        <f t="shared" si="54"/>
        <v>7.3994052597342153E-2</v>
      </c>
      <c r="AL102" s="199">
        <f t="shared" si="54"/>
        <v>7.3994052597342153E-2</v>
      </c>
      <c r="AM102" s="601">
        <f t="shared" si="54"/>
        <v>1.5293566154927607E-2</v>
      </c>
      <c r="AN102" s="160">
        <f t="shared" si="54"/>
        <v>-2.4460574021329951E-3</v>
      </c>
      <c r="AO102" s="160">
        <f t="shared" si="54"/>
        <v>5.288945937366285E-2</v>
      </c>
      <c r="AP102" s="160">
        <f t="shared" si="54"/>
        <v>3.392531383619235E-2</v>
      </c>
      <c r="AQ102" s="199">
        <f t="shared" si="54"/>
        <v>3.392531383619235E-2</v>
      </c>
      <c r="AR102" s="601">
        <f t="shared" si="54"/>
        <v>4.5651295665724012E-2</v>
      </c>
      <c r="AS102" s="160">
        <f t="shared" si="54"/>
        <v>2.629246550933817E-2</v>
      </c>
      <c r="AT102" s="160">
        <f t="shared" si="54"/>
        <v>-3.8133315855017447E-2</v>
      </c>
      <c r="AU102" s="160">
        <f t="shared" si="54"/>
        <v>0.15393466860075877</v>
      </c>
      <c r="AV102" s="199">
        <f t="shared" si="54"/>
        <v>0.15393466860075877</v>
      </c>
      <c r="AW102" s="601">
        <f t="shared" si="54"/>
        <v>0.1738326526106635</v>
      </c>
      <c r="AX102" s="160">
        <f t="shared" si="54"/>
        <v>0.27815515884521402</v>
      </c>
      <c r="AY102" s="160">
        <f t="shared" si="54"/>
        <v>0.26548190143916273</v>
      </c>
      <c r="AZ102" s="160">
        <f t="shared" si="54"/>
        <v>-6.3820143232709015E-3</v>
      </c>
      <c r="BA102" s="199">
        <f t="shared" si="54"/>
        <v>-6.3820143232709015E-3</v>
      </c>
      <c r="BB102" s="601">
        <f t="shared" si="54"/>
        <v>6.4952392147643367E-2</v>
      </c>
      <c r="BC102" s="160">
        <f t="shared" si="54"/>
        <v>-4.9419122770064661E-3</v>
      </c>
      <c r="BD102" s="160">
        <f t="shared" ref="BD102:BZ102" si="55">IFERROR(BD35/AY35-1,"NM")</f>
        <v>1.0446282415783603E-3</v>
      </c>
      <c r="BE102" s="160">
        <f t="shared" si="55"/>
        <v>3.2526850580570921E-2</v>
      </c>
      <c r="BF102" s="199">
        <f t="shared" si="55"/>
        <v>3.2526850580570921E-2</v>
      </c>
      <c r="BG102" s="601">
        <f t="shared" si="55"/>
        <v>0.17364320091641061</v>
      </c>
      <c r="BH102" s="160">
        <f t="shared" si="55"/>
        <v>0.2710408530697821</v>
      </c>
      <c r="BI102" s="160">
        <f t="shared" si="55"/>
        <v>0.24450972412921601</v>
      </c>
      <c r="BJ102" s="160">
        <f t="shared" si="55"/>
        <v>0.33537538718587845</v>
      </c>
      <c r="BK102" s="199">
        <f t="shared" si="55"/>
        <v>0.33537538718587845</v>
      </c>
      <c r="BL102" s="601">
        <f t="shared" si="55"/>
        <v>0.14764439961694387</v>
      </c>
      <c r="BM102" s="160">
        <f t="shared" si="55"/>
        <v>0.15185800399341831</v>
      </c>
      <c r="BN102" s="160">
        <f t="shared" si="55"/>
        <v>0.15994850020964191</v>
      </c>
      <c r="BO102" s="160">
        <f t="shared" si="55"/>
        <v>0.21335905537850874</v>
      </c>
      <c r="BP102" s="199">
        <f t="shared" si="55"/>
        <v>0.21335905537850874</v>
      </c>
      <c r="BQ102" s="601">
        <f t="shared" si="55"/>
        <v>9.39445532658989E-2</v>
      </c>
      <c r="BR102" s="160">
        <f t="shared" si="55"/>
        <v>9.7398762804399519E-2</v>
      </c>
      <c r="BS102" s="160">
        <f t="shared" si="55"/>
        <v>0.10302136320646138</v>
      </c>
      <c r="BT102" s="160">
        <f t="shared" si="55"/>
        <v>9.3155934209952829E-2</v>
      </c>
      <c r="BU102" s="199">
        <f t="shared" si="55"/>
        <v>9.3155934209952829E-2</v>
      </c>
      <c r="BV102" s="601">
        <f t="shared" si="55"/>
        <v>8.5946897897676733E-2</v>
      </c>
      <c r="BW102" s="160">
        <f t="shared" si="55"/>
        <v>9.2777632765107976E-2</v>
      </c>
      <c r="BX102" s="160">
        <f t="shared" si="55"/>
        <v>8.9900275983149314E-2</v>
      </c>
      <c r="BY102" s="160">
        <f t="shared" si="55"/>
        <v>7.6748183366941447E-2</v>
      </c>
      <c r="BZ102" s="199">
        <f t="shared" si="55"/>
        <v>7.6748183366941447E-2</v>
      </c>
    </row>
    <row r="103" spans="1:78" s="114" customFormat="1" ht="14.1" customHeight="1" x14ac:dyDescent="0.2">
      <c r="A103"/>
      <c r="B103"/>
      <c r="C103" s="700" t="str">
        <f>C37&amp;" "&amp;C96</f>
        <v xml:space="preserve">Total Capital Invested Growth Rates </v>
      </c>
      <c r="D103" s="115"/>
      <c r="E103" s="160">
        <f t="shared" ref="E103:O103" si="56">IFERROR(E37/D37-1,"NM")</f>
        <v>0.14892428484993459</v>
      </c>
      <c r="F103" s="160">
        <f t="shared" si="56"/>
        <v>0.29409610681310783</v>
      </c>
      <c r="G103" s="160">
        <f t="shared" si="56"/>
        <v>6.2289254798342242E-2</v>
      </c>
      <c r="H103" s="160">
        <f t="shared" si="56"/>
        <v>0.13509032629360163</v>
      </c>
      <c r="I103" s="160">
        <f t="shared" si="56"/>
        <v>0.21374859413102243</v>
      </c>
      <c r="J103" s="586">
        <f t="shared" si="56"/>
        <v>0.15358963830413241</v>
      </c>
      <c r="K103" s="160">
        <f t="shared" si="56"/>
        <v>0.45994319341804557</v>
      </c>
      <c r="L103" s="160">
        <f t="shared" si="56"/>
        <v>0.15003661236827925</v>
      </c>
      <c r="M103" s="160">
        <f t="shared" si="56"/>
        <v>0.12138557255726434</v>
      </c>
      <c r="N103" s="160">
        <f t="shared" si="56"/>
        <v>8.4509600108674032E-2</v>
      </c>
      <c r="O103" s="199">
        <f t="shared" si="56"/>
        <v>6.2725350176742412E-2</v>
      </c>
      <c r="P103" s="115"/>
      <c r="Q103" s="115"/>
      <c r="R103" s="703" t="str">
        <f t="shared" si="38"/>
        <v xml:space="preserve">Total Capital Invested Growth Rates </v>
      </c>
      <c r="S103" s="185"/>
      <c r="T103" s="185"/>
      <c r="U103" s="185"/>
      <c r="V103" s="185"/>
      <c r="W103" s="185"/>
      <c r="X103" s="160">
        <f t="shared" ref="X103:BC103" si="57">IFERROR(X37/S37-1,"NM")</f>
        <v>0.18494562794271574</v>
      </c>
      <c r="Y103" s="160">
        <f t="shared" si="57"/>
        <v>0.19731842665343313</v>
      </c>
      <c r="Z103" s="160">
        <f t="shared" si="57"/>
        <v>0.19910912802300795</v>
      </c>
      <c r="AA103" s="160">
        <f t="shared" si="57"/>
        <v>0.14892428484993459</v>
      </c>
      <c r="AB103" s="160">
        <f t="shared" si="57"/>
        <v>0.14892428484993459</v>
      </c>
      <c r="AC103" s="601">
        <f t="shared" si="57"/>
        <v>0.25678245055512483</v>
      </c>
      <c r="AD103" s="160">
        <f t="shared" si="57"/>
        <v>0.27208123106382742</v>
      </c>
      <c r="AE103" s="160">
        <f t="shared" si="57"/>
        <v>0.34473907700174289</v>
      </c>
      <c r="AF103" s="160">
        <f t="shared" si="57"/>
        <v>0.29409610681310783</v>
      </c>
      <c r="AG103" s="199">
        <f t="shared" si="57"/>
        <v>0.29409610681310783</v>
      </c>
      <c r="AH103" s="601">
        <f t="shared" si="57"/>
        <v>0.22750716089017975</v>
      </c>
      <c r="AI103" s="160">
        <f t="shared" si="57"/>
        <v>0.11959685429889699</v>
      </c>
      <c r="AJ103" s="160">
        <f t="shared" si="57"/>
        <v>6.646355638757373E-2</v>
      </c>
      <c r="AK103" s="160">
        <f t="shared" si="57"/>
        <v>6.2289254798342242E-2</v>
      </c>
      <c r="AL103" s="199">
        <f t="shared" si="57"/>
        <v>6.2289254798342242E-2</v>
      </c>
      <c r="AM103" s="601">
        <f t="shared" si="57"/>
        <v>-2.7796709265396458E-2</v>
      </c>
      <c r="AN103" s="160">
        <f t="shared" si="57"/>
        <v>4.3142067874780032E-2</v>
      </c>
      <c r="AO103" s="160">
        <f t="shared" si="57"/>
        <v>4.6049176898983246E-2</v>
      </c>
      <c r="AP103" s="160">
        <f t="shared" si="57"/>
        <v>0.13509032629360163</v>
      </c>
      <c r="AQ103" s="199">
        <f t="shared" si="57"/>
        <v>0.13509032629360163</v>
      </c>
      <c r="AR103" s="601">
        <f t="shared" si="57"/>
        <v>0.15747853572308612</v>
      </c>
      <c r="AS103" s="160">
        <f t="shared" si="57"/>
        <v>0.19805619640393957</v>
      </c>
      <c r="AT103" s="160">
        <f t="shared" si="57"/>
        <v>0.26692123573427562</v>
      </c>
      <c r="AU103" s="160">
        <f t="shared" si="57"/>
        <v>0.21374859413102243</v>
      </c>
      <c r="AV103" s="199">
        <f t="shared" si="57"/>
        <v>0.21374859413102243</v>
      </c>
      <c r="AW103" s="601">
        <f t="shared" si="57"/>
        <v>0.25273250608141651</v>
      </c>
      <c r="AX103" s="160">
        <f t="shared" si="57"/>
        <v>0.16535148843164538</v>
      </c>
      <c r="AY103" s="160">
        <f t="shared" si="57"/>
        <v>0.16458150894518986</v>
      </c>
      <c r="AZ103" s="160">
        <f t="shared" si="57"/>
        <v>0.15358963830413241</v>
      </c>
      <c r="BA103" s="199">
        <f t="shared" si="57"/>
        <v>0.15358963830413241</v>
      </c>
      <c r="BB103" s="601">
        <f t="shared" si="57"/>
        <v>0.36533789305513586</v>
      </c>
      <c r="BC103" s="160">
        <f t="shared" si="57"/>
        <v>0.47291862285770492</v>
      </c>
      <c r="BD103" s="160">
        <f t="shared" ref="BD103:BZ103" si="58">IFERROR(BD37/AY37-1,"NM")</f>
        <v>0.44445581740039364</v>
      </c>
      <c r="BE103" s="160">
        <f t="shared" si="58"/>
        <v>0.45994319341804557</v>
      </c>
      <c r="BF103" s="199">
        <f t="shared" si="58"/>
        <v>0.45994319341804557</v>
      </c>
      <c r="BG103" s="601">
        <f t="shared" si="58"/>
        <v>0.19773481843566132</v>
      </c>
      <c r="BH103" s="160">
        <f t="shared" si="58"/>
        <v>0.15271456773136993</v>
      </c>
      <c r="BI103" s="160">
        <f t="shared" si="58"/>
        <v>0.11790892655989937</v>
      </c>
      <c r="BJ103" s="160">
        <f t="shared" si="58"/>
        <v>0.15003661236827925</v>
      </c>
      <c r="BK103" s="199">
        <f t="shared" si="58"/>
        <v>0.15003661236827925</v>
      </c>
      <c r="BL103" s="601">
        <f t="shared" si="58"/>
        <v>0.15106333695348795</v>
      </c>
      <c r="BM103" s="160">
        <f t="shared" si="58"/>
        <v>0.14655671594083519</v>
      </c>
      <c r="BN103" s="160">
        <f t="shared" si="58"/>
        <v>0.14480512307175109</v>
      </c>
      <c r="BO103" s="160">
        <f t="shared" si="58"/>
        <v>0.12138557255726434</v>
      </c>
      <c r="BP103" s="199">
        <f t="shared" si="58"/>
        <v>0.12138557255726434</v>
      </c>
      <c r="BQ103" s="601">
        <f t="shared" si="58"/>
        <v>0.11951474138660756</v>
      </c>
      <c r="BR103" s="160">
        <f t="shared" si="58"/>
        <v>0.11277445545268594</v>
      </c>
      <c r="BS103" s="160">
        <f t="shared" si="58"/>
        <v>9.4692800820463274E-2</v>
      </c>
      <c r="BT103" s="160">
        <f t="shared" si="58"/>
        <v>8.4509600108674032E-2</v>
      </c>
      <c r="BU103" s="199">
        <f t="shared" si="58"/>
        <v>8.4509600108674032E-2</v>
      </c>
      <c r="BV103" s="601">
        <f t="shared" si="58"/>
        <v>7.1580204547838422E-2</v>
      </c>
      <c r="BW103" s="160">
        <f t="shared" si="58"/>
        <v>7.3190455661604537E-2</v>
      </c>
      <c r="BX103" s="160">
        <f t="shared" si="58"/>
        <v>5.6603259951552687E-2</v>
      </c>
      <c r="BY103" s="160">
        <f t="shared" si="58"/>
        <v>6.2725350176742412E-2</v>
      </c>
      <c r="BZ103" s="199">
        <f t="shared" si="58"/>
        <v>6.2725350176742412E-2</v>
      </c>
    </row>
    <row r="104" spans="1:78" s="114" customFormat="1" ht="14.1" customHeight="1" x14ac:dyDescent="0.2">
      <c r="A104"/>
      <c r="B104"/>
      <c r="C104" s="700"/>
      <c r="D104" s="115"/>
      <c r="E104" s="115"/>
      <c r="F104" s="115"/>
      <c r="G104" s="115"/>
      <c r="H104" s="115"/>
      <c r="I104" s="115"/>
      <c r="J104" s="569"/>
      <c r="K104" s="115"/>
      <c r="L104" s="115"/>
      <c r="M104" s="115"/>
      <c r="N104" s="115"/>
      <c r="O104" s="480"/>
      <c r="P104" s="115"/>
      <c r="Q104" s="115"/>
      <c r="R104" s="703"/>
      <c r="S104" s="185"/>
      <c r="T104" s="185"/>
      <c r="U104" s="185"/>
      <c r="V104" s="185"/>
      <c r="W104" s="185"/>
      <c r="X104" s="115"/>
      <c r="Y104" s="115"/>
      <c r="Z104" s="115"/>
      <c r="AA104" s="115"/>
      <c r="AB104" s="115"/>
      <c r="AC104" s="558"/>
      <c r="AD104" s="115"/>
      <c r="AE104" s="115"/>
      <c r="AF104" s="115"/>
      <c r="AG104" s="551"/>
      <c r="AH104" s="558"/>
      <c r="AI104" s="115"/>
      <c r="AJ104" s="115"/>
      <c r="AK104" s="115"/>
      <c r="AL104" s="551"/>
      <c r="AM104" s="558"/>
      <c r="AN104" s="115"/>
      <c r="AO104" s="115"/>
      <c r="AP104" s="115"/>
      <c r="AQ104" s="551"/>
      <c r="AR104" s="558"/>
      <c r="AS104" s="115"/>
      <c r="AT104" s="115"/>
      <c r="AU104" s="115"/>
      <c r="AV104" s="551"/>
      <c r="AW104" s="558"/>
      <c r="AX104" s="115"/>
      <c r="AY104" s="115"/>
      <c r="AZ104" s="115"/>
      <c r="BA104" s="551"/>
      <c r="BB104" s="558"/>
      <c r="BC104" s="115"/>
      <c r="BD104" s="115"/>
      <c r="BE104" s="115"/>
      <c r="BF104" s="551"/>
      <c r="BG104" s="558"/>
      <c r="BH104" s="115"/>
      <c r="BI104" s="115"/>
      <c r="BJ104" s="115"/>
      <c r="BK104" s="551"/>
      <c r="BL104" s="558"/>
      <c r="BM104" s="115"/>
      <c r="BN104" s="115"/>
      <c r="BO104" s="115"/>
      <c r="BP104" s="551"/>
      <c r="BQ104" s="558"/>
      <c r="BR104" s="115"/>
      <c r="BS104" s="115"/>
      <c r="BT104" s="115"/>
      <c r="BU104" s="551"/>
      <c r="BV104" s="558"/>
      <c r="BW104" s="115"/>
      <c r="BX104" s="115"/>
      <c r="BY104" s="115"/>
      <c r="BZ104" s="551"/>
    </row>
    <row r="105" spans="1:78" s="114" customFormat="1" ht="14.1" customHeight="1" x14ac:dyDescent="0.2">
      <c r="A105"/>
      <c r="B105"/>
      <c r="C105" s="553" t="s">
        <v>186</v>
      </c>
      <c r="J105" s="653"/>
      <c r="O105" s="200"/>
      <c r="R105" s="553" t="str">
        <f t="shared" ref="R105:R110" si="59">C105</f>
        <v>% of Revenue</v>
      </c>
      <c r="S105" s="694"/>
      <c r="T105" s="694"/>
      <c r="U105" s="694"/>
      <c r="V105" s="694"/>
      <c r="W105" s="694"/>
      <c r="AC105" s="210"/>
      <c r="AG105" s="200"/>
      <c r="AH105" s="210"/>
      <c r="AL105" s="200"/>
      <c r="AM105" s="210"/>
      <c r="AQ105" s="200"/>
      <c r="AR105" s="210"/>
      <c r="AV105" s="200"/>
      <c r="AW105" s="210"/>
      <c r="BA105" s="200"/>
      <c r="BB105" s="210"/>
      <c r="BF105" s="200"/>
      <c r="BG105" s="210"/>
      <c r="BK105" s="200"/>
      <c r="BL105" s="210"/>
      <c r="BP105" s="200"/>
      <c r="BQ105" s="210"/>
      <c r="BU105" s="200"/>
      <c r="BV105" s="210"/>
      <c r="BZ105" s="200"/>
    </row>
    <row r="106" spans="1:78" s="114" customFormat="1" ht="14.1" customHeight="1" x14ac:dyDescent="0.2">
      <c r="A106"/>
      <c r="B106"/>
      <c r="C106" s="198" t="str">
        <f>C15</f>
        <v>Total Current Assets</v>
      </c>
      <c r="E106" s="160">
        <f>IFERROR(E15/'Income Statement'!E8,"NM")</f>
        <v>0.12768940816241386</v>
      </c>
      <c r="F106" s="160">
        <f>IFERROR(F15/'Income Statement'!F8,"NM")</f>
        <v>0.12991909824344405</v>
      </c>
      <c r="G106" s="160">
        <f>IFERROR(G15/'Income Statement'!G8,"NM")</f>
        <v>0.13520225904126834</v>
      </c>
      <c r="H106" s="160">
        <f>IFERROR(H15/'Income Statement'!H8,"NM")</f>
        <v>0.13530233704314754</v>
      </c>
      <c r="I106" s="160">
        <f>IFERROR(I15/'Income Statement'!I8,"NM")</f>
        <v>0.12302614165828275</v>
      </c>
      <c r="J106" s="586">
        <f>IFERROR(J15/'Income Statement'!J8,"NM")</f>
        <v>0.12232767515330048</v>
      </c>
      <c r="K106" s="160">
        <f>IFERROR(K15/'Income Statement'!K8,"NM")</f>
        <v>0.12406978398877794</v>
      </c>
      <c r="L106" s="160">
        <f>IFERROR(L15/'Income Statement'!L8,"NM")</f>
        <v>0.12644213831259687</v>
      </c>
      <c r="M106" s="160">
        <f>IFERROR(M15/'Income Statement'!M8,"NM")</f>
        <v>0.12893317117354122</v>
      </c>
      <c r="N106" s="160">
        <f>IFERROR(N15/'Income Statement'!N8,"NM")</f>
        <v>0.13623664099356547</v>
      </c>
      <c r="O106" s="199">
        <f>IFERROR(O15/'Income Statement'!O8,"NM")</f>
        <v>0.14275233226636852</v>
      </c>
      <c r="R106" s="198" t="str">
        <f t="shared" si="59"/>
        <v>Total Current Assets</v>
      </c>
      <c r="S106" s="694"/>
      <c r="T106" s="694"/>
      <c r="U106" s="694"/>
      <c r="V106" s="694"/>
      <c r="W106" s="694"/>
      <c r="X106" s="160">
        <f>IFERROR(X15/'Income Statement'!X8,"NM")</f>
        <v>0.57408383294510001</v>
      </c>
      <c r="Y106" s="160">
        <f>IFERROR(Y15/'Income Statement'!Y8,"NM")</f>
        <v>0.53995969510090214</v>
      </c>
      <c r="Z106" s="160">
        <f>IFERROR(Z15/'Income Statement'!Z8,"NM")</f>
        <v>0.52666356488596255</v>
      </c>
      <c r="AA106" s="160">
        <f>IFERROR(AA15/'Income Statement'!AA8,"NM")</f>
        <v>0.51918623232944094</v>
      </c>
      <c r="AB106" s="160">
        <f>IFERROR(AB15/'Income Statement'!AB8,"NM")</f>
        <v>0.12768940816241386</v>
      </c>
      <c r="AC106" s="601">
        <f>IFERROR(AC15/'Income Statement'!AC8,"NM")</f>
        <v>0.58710519650059434</v>
      </c>
      <c r="AD106" s="160">
        <f>IFERROR(AD15/'Income Statement'!AD8,"NM")</f>
        <v>0.56201811738601226</v>
      </c>
      <c r="AE106" s="160">
        <f>IFERROR(AE15/'Income Statement'!AE8,"NM")</f>
        <v>0.53252035121168884</v>
      </c>
      <c r="AF106" s="160">
        <f>IFERROR(AF15/'Income Statement'!AF8,"NM")</f>
        <v>0.52392086939839544</v>
      </c>
      <c r="AG106" s="199">
        <f>IFERROR(AG15/'Income Statement'!AG8,"NM")</f>
        <v>0.12991909824344405</v>
      </c>
      <c r="AH106" s="601">
        <f>IFERROR(AH15/'Income Statement'!AH8,"NM")</f>
        <v>0.58020009139866835</v>
      </c>
      <c r="AI106" s="160">
        <f>IFERROR(AI15/'Income Statement'!AI8,"NM")</f>
        <v>0.57487431657394872</v>
      </c>
      <c r="AJ106" s="160">
        <f>IFERROR(AJ15/'Income Statement'!AJ8,"NM")</f>
        <v>0.52900239730438281</v>
      </c>
      <c r="AK106" s="160">
        <f>IFERROR(AK15/'Income Statement'!AK8,"NM")</f>
        <v>0.51709823246208675</v>
      </c>
      <c r="AL106" s="199">
        <f>IFERROR(AL15/'Income Statement'!AL8,"NM")</f>
        <v>0.13520225904126834</v>
      </c>
      <c r="AM106" s="601">
        <f>IFERROR(AM15/'Income Statement'!AM8,"NM")</f>
        <v>0.60952457682089933</v>
      </c>
      <c r="AN106" s="160">
        <f>IFERROR(AN15/'Income Statement'!AN8,"NM")</f>
        <v>0.52687486982197773</v>
      </c>
      <c r="AO106" s="160">
        <f>IFERROR(AO15/'Income Statement'!AO8,"NM")</f>
        <v>0.53375277500097373</v>
      </c>
      <c r="AP106" s="160">
        <f>IFERROR(AP15/'Income Statement'!AP8,"NM")</f>
        <v>0.50182553019781828</v>
      </c>
      <c r="AQ106" s="199">
        <f>IFERROR(AQ15/'Income Statement'!AQ8,"NM")</f>
        <v>0.13530233704314754</v>
      </c>
      <c r="AR106" s="601">
        <f>IFERROR(AR15/'Income Statement'!AR8,"NM")</f>
        <v>0.55857843730339252</v>
      </c>
      <c r="AS106" s="160">
        <f>IFERROR(AS15/'Income Statement'!AS8,"NM")</f>
        <v>0.53450856678389491</v>
      </c>
      <c r="AT106" s="160">
        <f>IFERROR(AT15/'Income Statement'!AT8,"NM")</f>
        <v>0.55043649537187433</v>
      </c>
      <c r="AU106" s="160">
        <f>IFERROR(AU15/'Income Statement'!AU8,"NM")</f>
        <v>0.52384075055739765</v>
      </c>
      <c r="AV106" s="199">
        <f>IFERROR(AV15/'Income Statement'!AV8,"NM")</f>
        <v>0.12302614165828275</v>
      </c>
      <c r="AW106" s="601">
        <f>IFERROR(AW15/'Income Statement'!AW8,"NM")</f>
        <v>0.52546647793076828</v>
      </c>
      <c r="AX106" s="160">
        <f>IFERROR(AX15/'Income Statement'!AX8,"NM")</f>
        <v>0.49504910584461764</v>
      </c>
      <c r="AY106" s="160">
        <f>IFERROR(AY15/'Income Statement'!AY8,"NM")</f>
        <v>0.51129983590145833</v>
      </c>
      <c r="AZ106" s="160">
        <f>IFERROR(AZ15/'Income Statement'!AZ8,"NM")</f>
        <v>0.46926372461830945</v>
      </c>
      <c r="BA106" s="199">
        <f>IFERROR(BA15/'Income Statement'!BA8,"NM")</f>
        <v>0.12232767515330048</v>
      </c>
      <c r="BB106" s="601">
        <f>IFERROR(BB15/'Income Statement'!BB8,"NM")</f>
        <v>0.53519525686462854</v>
      </c>
      <c r="BC106" s="160">
        <f>IFERROR(BC15/'Income Statement'!BC8,"NM")</f>
        <v>0.52826622483735075</v>
      </c>
      <c r="BD106" s="160">
        <f>IFERROR(BD15/'Income Statement'!BD8,"NM")</f>
        <v>0.50224497478336971</v>
      </c>
      <c r="BE106" s="160">
        <f>IFERROR(BE15/'Income Statement'!BE8,"NM")</f>
        <v>0.50464131333928408</v>
      </c>
      <c r="BF106" s="199">
        <f>IFERROR(BF15/'Income Statement'!BF8,"NM")</f>
        <v>0.12406978398877794</v>
      </c>
      <c r="BG106" s="601">
        <f>IFERROR(BG15/'Income Statement'!BG8,"NM")</f>
        <v>0.53375449619835114</v>
      </c>
      <c r="BH106" s="160">
        <f>IFERROR(BH15/'Income Statement'!BH8,"NM")</f>
        <v>0.52859113312725614</v>
      </c>
      <c r="BI106" s="160">
        <f>IFERROR(BI15/'Income Statement'!BI8,"NM")</f>
        <v>0.45959336241035104</v>
      </c>
      <c r="BJ106" s="160">
        <f>IFERROR(BJ15/'Income Statement'!BJ8,"NM")</f>
        <v>0.50570404676413439</v>
      </c>
      <c r="BK106" s="199">
        <f>IFERROR(BK15/'Income Statement'!BK8,"NM")</f>
        <v>0.12644213831259687</v>
      </c>
      <c r="BL106" s="601">
        <f>IFERROR(BL15/'Income Statement'!BL8,"NM")</f>
        <v>0.51662431117008811</v>
      </c>
      <c r="BM106" s="160">
        <f>IFERROR(BM15/'Income Statement'!BM8,"NM")</f>
        <v>0.51638193761599016</v>
      </c>
      <c r="BN106" s="160">
        <f>IFERROR(BN15/'Income Statement'!BN8,"NM")</f>
        <v>0.46792852980332456</v>
      </c>
      <c r="BO106" s="160">
        <f>IFERROR(BO15/'Income Statement'!BO8,"NM")</f>
        <v>0.50419677488622106</v>
      </c>
      <c r="BP106" s="199">
        <f>IFERROR(BP15/'Income Statement'!BP8,"NM")</f>
        <v>0.12893317117354122</v>
      </c>
      <c r="BQ106" s="601">
        <f>IFERROR(BQ15/'Income Statement'!BQ8,"NM")</f>
        <v>0.4786404212931602</v>
      </c>
      <c r="BR106" s="160">
        <f>IFERROR(BR15/'Income Statement'!BR8,"NM")</f>
        <v>0.55197087040513615</v>
      </c>
      <c r="BS106" s="160">
        <f>IFERROR(BS15/'Income Statement'!BS8,"NM")</f>
        <v>0.4349370396720133</v>
      </c>
      <c r="BT106" s="160">
        <f>IFERROR(BT15/'Income Statement'!BT8,"NM")</f>
        <v>0.53433603637289218</v>
      </c>
      <c r="BU106" s="199">
        <f>IFERROR(BU15/'Income Statement'!BU8,"NM")</f>
        <v>0.13623664099356547</v>
      </c>
      <c r="BV106" s="601">
        <f>IFERROR(BV15/'Income Statement'!BV8,"NM")</f>
        <v>0.44465065596468162</v>
      </c>
      <c r="BW106" s="160">
        <f>IFERROR(BW15/'Income Statement'!BW8,"NM")</f>
        <v>0.58471875896733549</v>
      </c>
      <c r="BX106" s="160">
        <f>IFERROR(BX15/'Income Statement'!BX8,"NM")</f>
        <v>0.40133043430811638</v>
      </c>
      <c r="BY106" s="160">
        <f>IFERROR(BY15/'Income Statement'!BY8,"NM")</f>
        <v>0.56453807090071073</v>
      </c>
      <c r="BZ106" s="199">
        <f>IFERROR(BZ15/'Income Statement'!BZ8,"NM")</f>
        <v>0.14275233226636852</v>
      </c>
    </row>
    <row r="107" spans="1:78" s="114" customFormat="1" ht="14.1" customHeight="1" x14ac:dyDescent="0.2">
      <c r="A107"/>
      <c r="B107"/>
      <c r="C107" s="198" t="str">
        <f>C21</f>
        <v>Total Current Liabilities</v>
      </c>
      <c r="E107" s="160">
        <f>IFERROR(E21/'Income Statement'!E8,"NM")</f>
        <v>0.1156260335738027</v>
      </c>
      <c r="F107" s="160">
        <f>IFERROR(F21/'Income Statement'!F8,"NM")</f>
        <v>0.11351487489750858</v>
      </c>
      <c r="G107" s="160">
        <f>IFERROR(G21/'Income Statement'!G8,"NM")</f>
        <v>0.12892964420978004</v>
      </c>
      <c r="H107" s="160">
        <f>IFERROR(H21/'Income Statement'!H8,"NM")</f>
        <v>0.12250907063560862</v>
      </c>
      <c r="I107" s="160">
        <f>IFERROR(I21/'Income Statement'!I8,"NM")</f>
        <v>8.4038757088411881E-2</v>
      </c>
      <c r="J107" s="586">
        <f>IFERROR(J21/'Income Statement'!J8,"NM")</f>
        <v>9.9299896960991299E-2</v>
      </c>
      <c r="K107" s="160">
        <f>IFERROR(K21/'Income Statement'!K8,"NM")</f>
        <v>9.3191039654725819E-2</v>
      </c>
      <c r="L107" s="160">
        <f>IFERROR(L21/'Income Statement'!L8,"NM")</f>
        <v>9.9265370582193577E-2</v>
      </c>
      <c r="M107" s="160">
        <f>IFERROR(M21/'Income Statement'!M8,"NM")</f>
        <v>0.10429549897456546</v>
      </c>
      <c r="N107" s="160">
        <f>IFERROR(N21/'Income Statement'!N8,"NM")</f>
        <v>0.109144123275339</v>
      </c>
      <c r="O107" s="199">
        <f>IFERROR(O21/'Income Statement'!O8,"NM")</f>
        <v>0.11139483300786759</v>
      </c>
      <c r="R107" s="198" t="str">
        <f t="shared" si="59"/>
        <v>Total Current Liabilities</v>
      </c>
      <c r="S107" s="694"/>
      <c r="T107" s="694"/>
      <c r="U107" s="694"/>
      <c r="V107" s="694"/>
      <c r="W107" s="694"/>
      <c r="X107" s="160">
        <f>IFERROR(X21/'Income Statement'!X8,"NM")</f>
        <v>0.41721974007459178</v>
      </c>
      <c r="Y107" s="160">
        <f>IFERROR(Y21/'Income Statement'!Y8,"NM")</f>
        <v>0.4402237295093438</v>
      </c>
      <c r="Z107" s="160">
        <f>IFERROR(Z21/'Income Statement'!Z8,"NM")</f>
        <v>0.45147123098396941</v>
      </c>
      <c r="AA107" s="160">
        <f>IFERROR(AA21/'Income Statement'!AA8,"NM")</f>
        <v>0.47013644744929345</v>
      </c>
      <c r="AB107" s="160">
        <f>IFERROR(AB21/'Income Statement'!AB8,"NM")</f>
        <v>0.1156260335738027</v>
      </c>
      <c r="AC107" s="601">
        <f>IFERROR(AC21/'Income Statement'!AC8,"NM")</f>
        <v>0.42905227675700952</v>
      </c>
      <c r="AD107" s="160">
        <f>IFERROR(AD21/'Income Statement'!AD8,"NM")</f>
        <v>0.43367550275207617</v>
      </c>
      <c r="AE107" s="160">
        <f>IFERROR(AE21/'Income Statement'!AE8,"NM")</f>
        <v>0.44046910689264673</v>
      </c>
      <c r="AF107" s="160">
        <f>IFERROR(AF21/'Income Statement'!AF8,"NM")</f>
        <v>0.45776804757766937</v>
      </c>
      <c r="AG107" s="199">
        <f>IFERROR(AG21/'Income Statement'!AG8,"NM")</f>
        <v>0.11351487489750858</v>
      </c>
      <c r="AH107" s="601">
        <f>IFERROR(AH21/'Income Statement'!AH8,"NM")</f>
        <v>0.4722107724979614</v>
      </c>
      <c r="AI107" s="160">
        <f>IFERROR(AI21/'Income Statement'!AI8,"NM")</f>
        <v>0.5009423267338573</v>
      </c>
      <c r="AJ107" s="160">
        <f>IFERROR(AJ21/'Income Statement'!AJ8,"NM")</f>
        <v>0.48871563482863634</v>
      </c>
      <c r="AK107" s="160">
        <f>IFERROR(AK21/'Income Statement'!AK8,"NM")</f>
        <v>0.49310781939296766</v>
      </c>
      <c r="AL107" s="199">
        <f>IFERROR(AL21/'Income Statement'!AL8,"NM")</f>
        <v>0.12892964420978004</v>
      </c>
      <c r="AM107" s="601">
        <f>IFERROR(AM21/'Income Statement'!AM8,"NM")</f>
        <v>0.54922801059342152</v>
      </c>
      <c r="AN107" s="160">
        <f>IFERROR(AN21/'Income Statement'!AN8,"NM")</f>
        <v>0.42616652635153235</v>
      </c>
      <c r="AO107" s="160">
        <f>IFERROR(AO21/'Income Statement'!AO8,"NM")</f>
        <v>0.48404942422786812</v>
      </c>
      <c r="AP107" s="160">
        <f>IFERROR(AP21/'Income Statement'!AP8,"NM")</f>
        <v>0.45437632984972792</v>
      </c>
      <c r="AQ107" s="199">
        <f>IFERROR(AQ21/'Income Statement'!AQ8,"NM")</f>
        <v>0.12250907063560862</v>
      </c>
      <c r="AR107" s="601">
        <f>IFERROR(AR21/'Income Statement'!AR8,"NM")</f>
        <v>0.45183268402458504</v>
      </c>
      <c r="AS107" s="160">
        <f>IFERROR(AS21/'Income Statement'!AS8,"NM")</f>
        <v>0.40112319161321647</v>
      </c>
      <c r="AT107" s="160">
        <f>IFERROR(AT21/'Income Statement'!AT8,"NM")</f>
        <v>0.41093890709618514</v>
      </c>
      <c r="AU107" s="160">
        <f>IFERROR(AU21/'Income Statement'!AU8,"NM")</f>
        <v>0.35783391233533535</v>
      </c>
      <c r="AV107" s="199">
        <f>IFERROR(AV21/'Income Statement'!AV8,"NM")</f>
        <v>8.4038757088411881E-2</v>
      </c>
      <c r="AW107" s="601">
        <f>IFERROR(AW21/'Income Statement'!AW8,"NM")</f>
        <v>0.3494485530668322</v>
      </c>
      <c r="AX107" s="160">
        <f>IFERROR(AX21/'Income Statement'!AX8,"NM")</f>
        <v>0.3314320594510396</v>
      </c>
      <c r="AY107" s="160">
        <f>IFERROR(AY21/'Income Statement'!AY8,"NM")</f>
        <v>0.33729474781459962</v>
      </c>
      <c r="AZ107" s="160">
        <f>IFERROR(AZ21/'Income Statement'!AZ8,"NM")</f>
        <v>0.38092638843771803</v>
      </c>
      <c r="BA107" s="199">
        <f>IFERROR(BA21/'Income Statement'!BA8,"NM")</f>
        <v>9.9299896960991299E-2</v>
      </c>
      <c r="BB107" s="601">
        <f>IFERROR(BB21/'Income Statement'!BB8,"NM")</f>
        <v>0.40243516279685998</v>
      </c>
      <c r="BC107" s="160">
        <f>IFERROR(BC21/'Income Statement'!BC8,"NM")</f>
        <v>0.35735334846048072</v>
      </c>
      <c r="BD107" s="160">
        <f>IFERROR(BD21/'Income Statement'!BD8,"NM")</f>
        <v>0.37315269034785531</v>
      </c>
      <c r="BE107" s="160">
        <f>IFERROR(BE21/'Income Statement'!BE8,"NM")</f>
        <v>0.37904514000820544</v>
      </c>
      <c r="BF107" s="199">
        <f>IFERROR(BF21/'Income Statement'!BF8,"NM")</f>
        <v>9.3191039654725819E-2</v>
      </c>
      <c r="BG107" s="601">
        <f>IFERROR(BG21/'Income Statement'!BG8,"NM")</f>
        <v>0.42040051009179041</v>
      </c>
      <c r="BH107" s="160">
        <f>IFERROR(BH21/'Income Statement'!BH8,"NM")</f>
        <v>0.38926375480148562</v>
      </c>
      <c r="BI107" s="160">
        <f>IFERROR(BI21/'Income Statement'!BI8,"NM")</f>
        <v>0.40974335971169656</v>
      </c>
      <c r="BJ107" s="160">
        <f>IFERROR(BJ21/'Income Statement'!BJ8,"NM")</f>
        <v>0.39701084050676522</v>
      </c>
      <c r="BK107" s="199">
        <f>IFERROR(BK21/'Income Statement'!BK8,"NM")</f>
        <v>9.9265370582193577E-2</v>
      </c>
      <c r="BL107" s="601">
        <f>IFERROR(BL21/'Income Statement'!BL8,"NM")</f>
        <v>0.43812901323285003</v>
      </c>
      <c r="BM107" s="160">
        <f>IFERROR(BM21/'Income Statement'!BM8,"NM")</f>
        <v>0.38827768112740169</v>
      </c>
      <c r="BN107" s="160">
        <f>IFERROR(BN21/'Income Statement'!BN8,"NM")</f>
        <v>0.40419486468939686</v>
      </c>
      <c r="BO107" s="160">
        <f>IFERROR(BO21/'Income Statement'!BO8,"NM")</f>
        <v>0.40785046811069442</v>
      </c>
      <c r="BP107" s="199">
        <f>IFERROR(BP21/'Income Statement'!BP8,"NM")</f>
        <v>0.10429549897456546</v>
      </c>
      <c r="BQ107" s="601">
        <f>IFERROR(BQ21/'Income Statement'!BQ8,"NM")</f>
        <v>0.40450202784626826</v>
      </c>
      <c r="BR107" s="160">
        <f>IFERROR(BR21/'Income Statement'!BR8,"NM")</f>
        <v>0.41183790256640934</v>
      </c>
      <c r="BS107" s="160">
        <f>IFERROR(BS21/'Income Statement'!BS8,"NM")</f>
        <v>0.37613987306328833</v>
      </c>
      <c r="BT107" s="160">
        <f>IFERROR(BT21/'Income Statement'!BT8,"NM")</f>
        <v>0.4280760139050509</v>
      </c>
      <c r="BU107" s="199">
        <f>IFERROR(BU21/'Income Statement'!BU8,"NM")</f>
        <v>0.109144123275339</v>
      </c>
      <c r="BV107" s="601">
        <f>IFERROR(BV21/'Income Statement'!BV8,"NM")</f>
        <v>0.37882776893875475</v>
      </c>
      <c r="BW107" s="160">
        <f>IFERROR(BW21/'Income Statement'!BW8,"NM")</f>
        <v>0.4289620697842445</v>
      </c>
      <c r="BX107" s="160">
        <f>IFERROR(BX21/'Income Statement'!BX8,"NM")</f>
        <v>0.35308168850956895</v>
      </c>
      <c r="BY107" s="160">
        <f>IFERROR(BY21/'Income Statement'!BY8,"NM")</f>
        <v>0.44052957409638099</v>
      </c>
      <c r="BZ107" s="199">
        <f>IFERROR(BZ21/'Income Statement'!BZ8,"NM")</f>
        <v>0.11139483300786759</v>
      </c>
    </row>
    <row r="108" spans="1:78" s="114" customFormat="1" ht="14.1" customHeight="1" x14ac:dyDescent="0.2">
      <c r="A108"/>
      <c r="B108"/>
      <c r="C108" s="198" t="str">
        <f>C28</f>
        <v>Net Property and Equipment</v>
      </c>
      <c r="E108" s="160">
        <f>IFERROR(E28/'Income Statement'!E8,"NM")</f>
        <v>0.53998762885849916</v>
      </c>
      <c r="F108" s="160">
        <f>IFERROR(F28/'Income Statement'!F8,"NM")</f>
        <v>0.64726386397535174</v>
      </c>
      <c r="G108" s="160">
        <f>IFERROR(G28/'Income Statement'!G8,"NM")</f>
        <v>0.68577991468234134</v>
      </c>
      <c r="H108" s="160">
        <f>IFERROR(H28/'Income Statement'!H8,"NM")</f>
        <v>0.60655943276194724</v>
      </c>
      <c r="I108" s="160">
        <f>IFERROR(I28/'Income Statement'!I8,"NM")</f>
        <v>0.5741555419534774</v>
      </c>
      <c r="J108" s="586">
        <f>IFERROR(J28/'Income Statement'!J8,"NM")</f>
        <v>0.65316181219552916</v>
      </c>
      <c r="K108" s="160">
        <f>IFERROR(K28/'Income Statement'!K8,"NM")</f>
        <v>0.83362271456396086</v>
      </c>
      <c r="L108" s="160">
        <f>IFERROR(L28/'Income Statement'!L8,"NM")</f>
        <v>0.87724610072092979</v>
      </c>
      <c r="M108" s="160">
        <f>IFERROR(M28/'Income Statement'!M8,"NM")</f>
        <v>0.86361111146936376</v>
      </c>
      <c r="N108" s="160">
        <f>IFERROR(N28/'Income Statement'!N8,"NM")</f>
        <v>0.85827789847746083</v>
      </c>
      <c r="O108" s="199">
        <f>IFERROR(O28/'Income Statement'!O8,"NM")</f>
        <v>0.84110380307029964</v>
      </c>
      <c r="R108" s="198" t="str">
        <f t="shared" si="59"/>
        <v>Net Property and Equipment</v>
      </c>
      <c r="S108" s="694"/>
      <c r="T108" s="694"/>
      <c r="U108" s="694"/>
      <c r="V108" s="694"/>
      <c r="W108" s="694"/>
      <c r="X108" s="160">
        <f>IFERROR(X28/'Income Statement'!X8,"NM")</f>
        <v>1.9369865454869466</v>
      </c>
      <c r="Y108" s="160">
        <f>IFERROR(Y28/'Income Statement'!Y8,"NM")</f>
        <v>1.9235349822266588</v>
      </c>
      <c r="Z108" s="160">
        <f>IFERROR(Z28/'Income Statement'!Z8,"NM")</f>
        <v>1.9638149082859842</v>
      </c>
      <c r="AA108" s="160">
        <f>IFERROR(AA28/'Income Statement'!AA8,"NM")</f>
        <v>2.1955943454210214</v>
      </c>
      <c r="AB108" s="160">
        <f>IFERROR(AB28/'Income Statement'!AB8,"NM")</f>
        <v>0.53998762885849916</v>
      </c>
      <c r="AC108" s="601">
        <f>IFERROR(AC28/'Income Statement'!AC8,"NM")</f>
        <v>2.3819486390117492</v>
      </c>
      <c r="AD108" s="160">
        <f>IFERROR(AD28/'Income Statement'!AD8,"NM")</f>
        <v>2.2902056247913056</v>
      </c>
      <c r="AE108" s="160">
        <f>IFERROR(AE28/'Income Statement'!AE8,"NM")</f>
        <v>2.4414501451296786</v>
      </c>
      <c r="AF108" s="160">
        <f>IFERROR(AF28/'Income Statement'!AF8,"NM")</f>
        <v>2.6102016634128185</v>
      </c>
      <c r="AG108" s="199">
        <f>IFERROR(AG28/'Income Statement'!AG8,"NM")</f>
        <v>0.64726386397535174</v>
      </c>
      <c r="AH108" s="601">
        <f>IFERROR(AH28/'Income Statement'!AH8,"NM")</f>
        <v>2.7879685301839623</v>
      </c>
      <c r="AI108" s="160">
        <f>IFERROR(AI28/'Income Statement'!AI8,"NM")</f>
        <v>2.968338778419283</v>
      </c>
      <c r="AJ108" s="160">
        <f>IFERROR(AJ28/'Income Statement'!AJ8,"NM")</f>
        <v>2.6146115078919929</v>
      </c>
      <c r="AK108" s="160">
        <f>IFERROR(AK28/'Income Statement'!AK8,"NM")</f>
        <v>2.6228524897058016</v>
      </c>
      <c r="AL108" s="199">
        <f>IFERROR(AL28/'Income Statement'!AL8,"NM")</f>
        <v>0.68577991468234134</v>
      </c>
      <c r="AM108" s="601">
        <f>IFERROR(AM28/'Income Statement'!AM8,"NM")</f>
        <v>2.5481744526663279</v>
      </c>
      <c r="AN108" s="160">
        <f>IFERROR(AN28/'Income Statement'!AN8,"NM")</f>
        <v>2.2104534483392348</v>
      </c>
      <c r="AO108" s="160">
        <f>IFERROR(AO28/'Income Statement'!AO8,"NM")</f>
        <v>2.1213551741597096</v>
      </c>
      <c r="AP108" s="160">
        <f>IFERROR(AP28/'Income Statement'!AP8,"NM")</f>
        <v>2.2496803499054407</v>
      </c>
      <c r="AQ108" s="199">
        <f>IFERROR(AQ28/'Income Statement'!AQ8,"NM")</f>
        <v>0.60655943276194724</v>
      </c>
      <c r="AR108" s="601">
        <f>IFERROR(AR28/'Income Statement'!AR8,"NM")</f>
        <v>2.080193159270193</v>
      </c>
      <c r="AS108" s="160">
        <f>IFERROR(AS28/'Income Statement'!AS8,"NM")</f>
        <v>1.9559616070733981</v>
      </c>
      <c r="AT108" s="160">
        <f>IFERROR(AT28/'Income Statement'!AT8,"NM")</f>
        <v>2.1199392511386992</v>
      </c>
      <c r="AU108" s="160">
        <f>IFERROR(AU28/'Income Statement'!AU8,"NM")</f>
        <v>2.4447330134842922</v>
      </c>
      <c r="AV108" s="199">
        <f>IFERROR(AV28/'Income Statement'!AV8,"NM")</f>
        <v>0.5741555419534774</v>
      </c>
      <c r="AW108" s="601">
        <f>IFERROR(AW28/'Income Statement'!AW8,"NM")</f>
        <v>2.54914274035441</v>
      </c>
      <c r="AX108" s="160">
        <f>IFERROR(AX28/'Income Statement'!AX8,"NM")</f>
        <v>2.4732602768124248</v>
      </c>
      <c r="AY108" s="160">
        <f>IFERROR(AY28/'Income Statement'!AY8,"NM")</f>
        <v>2.3216602334533967</v>
      </c>
      <c r="AZ108" s="160">
        <f>IFERROR(AZ28/'Income Statement'!AZ8,"NM")</f>
        <v>2.5056075363584562</v>
      </c>
      <c r="BA108" s="199">
        <f>IFERROR(BA28/'Income Statement'!BA8,"NM")</f>
        <v>0.65316181219552916</v>
      </c>
      <c r="BB108" s="601">
        <f>IFERROR(BB28/'Income Statement'!BB8,"NM")</f>
        <v>3.055723891225862</v>
      </c>
      <c r="BC108" s="160">
        <f>IFERROR(BC28/'Income Statement'!BC8,"NM")</f>
        <v>2.9987063373677785</v>
      </c>
      <c r="BD108" s="160">
        <f>IFERROR(BD28/'Income Statement'!BD8,"NM")</f>
        <v>3.0913605580314996</v>
      </c>
      <c r="BE108" s="160">
        <f>IFERROR(BE28/'Income Statement'!BE8,"NM")</f>
        <v>3.3906761822448788</v>
      </c>
      <c r="BF108" s="199">
        <f>IFERROR(BF28/'Income Statement'!BF8,"NM")</f>
        <v>0.83362271456396086</v>
      </c>
      <c r="BG108" s="601">
        <f>IFERROR(BG28/'Income Statement'!BG8,"NM")</f>
        <v>3.3484118648379342</v>
      </c>
      <c r="BH108" s="160">
        <f>IFERROR(BH28/'Income Statement'!BH8,"NM")</f>
        <v>3.1544712470126051</v>
      </c>
      <c r="BI108" s="160">
        <f>IFERROR(BI28/'Income Statement'!BI8,"NM")</f>
        <v>3.2691305493412961</v>
      </c>
      <c r="BJ108" s="160">
        <f>IFERROR(BJ28/'Income Statement'!BJ8,"NM")</f>
        <v>3.5085368617056596</v>
      </c>
      <c r="BK108" s="199">
        <f>IFERROR(BK28/'Income Statement'!BK8,"NM")</f>
        <v>0.87724610072092979</v>
      </c>
      <c r="BL108" s="601">
        <f>IFERROR(BL28/'Income Statement'!BL8,"NM")</f>
        <v>3.4362970657611349</v>
      </c>
      <c r="BM108" s="160">
        <f>IFERROR(BM28/'Income Statement'!BM8,"NM")</f>
        <v>3.1895266132696274</v>
      </c>
      <c r="BN108" s="160">
        <f>IFERROR(BN28/'Income Statement'!BN8,"NM")</f>
        <v>3.2543236678917249</v>
      </c>
      <c r="BO108" s="160">
        <f>IFERROR(BO28/'Income Statement'!BO8,"NM")</f>
        <v>3.3771754250322346</v>
      </c>
      <c r="BP108" s="199">
        <f>IFERROR(BP28/'Income Statement'!BP8,"NM")</f>
        <v>0.86361111146936376</v>
      </c>
      <c r="BQ108" s="601">
        <f>IFERROR(BQ28/'Income Statement'!BQ8,"NM")</f>
        <v>3.5460635923402086</v>
      </c>
      <c r="BR108" s="160">
        <f>IFERROR(BR28/'Income Statement'!BR8,"NM")</f>
        <v>3.2456040812932825</v>
      </c>
      <c r="BS108" s="160">
        <f>IFERROR(BS28/'Income Statement'!BS8,"NM")</f>
        <v>3.2615542209608241</v>
      </c>
      <c r="BT108" s="160">
        <f>IFERROR(BT28/'Income Statement'!BT8,"NM")</f>
        <v>3.3662662778111376</v>
      </c>
      <c r="BU108" s="199">
        <f>IFERROR(BU28/'Income Statement'!BU8,"NM")</f>
        <v>0.85827789847746083</v>
      </c>
      <c r="BV108" s="601">
        <f>IFERROR(BV28/'Income Statement'!BV8,"NM")</f>
        <v>3.5346875743695509</v>
      </c>
      <c r="BW108" s="160">
        <f>IFERROR(BW28/'Income Statement'!BW8,"NM")</f>
        <v>3.1954948630882769</v>
      </c>
      <c r="BX108" s="160">
        <f>IFERROR(BX28/'Income Statement'!BX8,"NM")</f>
        <v>3.1988642530470566</v>
      </c>
      <c r="BY108" s="160">
        <f>IFERROR(BY28/'Income Statement'!BY8,"NM")</f>
        <v>3.3262862390685171</v>
      </c>
      <c r="BZ108" s="199">
        <f>IFERROR(BZ28/'Income Statement'!BZ8,"NM")</f>
        <v>0.84110380307029964</v>
      </c>
    </row>
    <row r="109" spans="1:78" s="114" customFormat="1" ht="14.1" customHeight="1" x14ac:dyDescent="0.2">
      <c r="A109"/>
      <c r="B109"/>
      <c r="C109" s="198" t="str">
        <f>C35</f>
        <v>Other Assets Net</v>
      </c>
      <c r="E109" s="160">
        <f>IFERROR(E35/'Income Statement'!E8,"NM")</f>
        <v>-5.8336643792752545E-2</v>
      </c>
      <c r="F109" s="160">
        <f>IFERROR(F35/'Income Statement'!F8,"NM")</f>
        <v>-7.2272608976708924E-2</v>
      </c>
      <c r="G109" s="160">
        <f>IFERROR(G35/'Income Statement'!G8,"NM")</f>
        <v>-7.610271482237925E-2</v>
      </c>
      <c r="H109" s="160">
        <f>IFERROR(H35/'Income Statement'!H8,"NM")</f>
        <v>-6.2652051117138771E-2</v>
      </c>
      <c r="I109" s="160">
        <f>IFERROR(I35/'Income Statement'!I8,"NM")</f>
        <v>-5.926275860414025E-2</v>
      </c>
      <c r="J109" s="586">
        <f>IFERROR(J35/'Income Statement'!J8,"NM")</f>
        <v>-5.7058067982146382E-2</v>
      </c>
      <c r="K109" s="160">
        <f>IFERROR(K35/'Income Statement'!K8,"NM")</f>
        <v>-5.2898477914336203E-2</v>
      </c>
      <c r="L109" s="160">
        <f>IFERROR(L35/'Income Statement'!L8,"NM")</f>
        <v>-6.3632497948977837E-2</v>
      </c>
      <c r="M109" s="160">
        <f>IFERROR(M35/'Income Statement'!M8,"NM")</f>
        <v>-6.7232231663159073E-2</v>
      </c>
      <c r="N109" s="160">
        <f>IFERROR(N35/'Income Statement'!N8,"NM")</f>
        <v>-6.7507905211126165E-2</v>
      </c>
      <c r="O109" s="199">
        <f>IFERROR(O35/'Income Statement'!O8,"NM")</f>
        <v>-6.7333653351406536E-2</v>
      </c>
      <c r="R109" s="198" t="str">
        <f t="shared" si="59"/>
        <v>Other Assets Net</v>
      </c>
      <c r="S109" s="694"/>
      <c r="T109" s="694"/>
      <c r="U109" s="694"/>
      <c r="V109" s="694"/>
      <c r="W109" s="694"/>
      <c r="X109" s="160">
        <f>IFERROR(X35/'Income Statement'!X8,"NM")</f>
        <v>-0.18585303140234974</v>
      </c>
      <c r="Y109" s="160">
        <f>IFERROR(Y35/'Income Statement'!Y8,"NM")</f>
        <v>-0.17179963240439244</v>
      </c>
      <c r="Z109" s="160">
        <f>IFERROR(Z35/'Income Statement'!Z8,"NM")</f>
        <v>-0.18240585390612885</v>
      </c>
      <c r="AA109" s="160">
        <f>IFERROR(AA35/'Income Statement'!AA8,"NM")</f>
        <v>-0.23719729563614028</v>
      </c>
      <c r="AB109" s="160">
        <f>IFERROR(AB35/'Income Statement'!AB8,"NM")</f>
        <v>-5.8336643792752545E-2</v>
      </c>
      <c r="AC109" s="601">
        <f>IFERROR(AC35/'Income Statement'!AC8,"NM")</f>
        <v>-0.2458985250277653</v>
      </c>
      <c r="AD109" s="160">
        <f>IFERROR(AD35/'Income Statement'!AD8,"NM")</f>
        <v>-0.24325768265491876</v>
      </c>
      <c r="AE109" s="160">
        <f>IFERROR(AE35/'Income Statement'!AE8,"NM")</f>
        <v>-0.26756538299946042</v>
      </c>
      <c r="AF109" s="160">
        <f>IFERROR(AF35/'Income Statement'!AF8,"NM")</f>
        <v>-0.29145159288140576</v>
      </c>
      <c r="AG109" s="199">
        <f>IFERROR(AG35/'Income Statement'!AG8,"NM")</f>
        <v>-7.2272608976708924E-2</v>
      </c>
      <c r="AH109" s="601">
        <f>IFERROR(AH35/'Income Statement'!AH8,"NM")</f>
        <v>-0.3058450344537138</v>
      </c>
      <c r="AI109" s="160">
        <f>IFERROR(AI35/'Income Statement'!AI8,"NM")</f>
        <v>-0.33840770698900302</v>
      </c>
      <c r="AJ109" s="160">
        <f>IFERROR(AJ35/'Income Statement'!AJ8,"NM")</f>
        <v>-0.30102581360854552</v>
      </c>
      <c r="AK109" s="160">
        <f>IFERROR(AK35/'Income Statement'!AK8,"NM")</f>
        <v>-0.29106451030679015</v>
      </c>
      <c r="AL109" s="199">
        <f>IFERROR(AL35/'Income Statement'!AL8,"NM")</f>
        <v>-7.610271482237925E-2</v>
      </c>
      <c r="AM109" s="601">
        <f>IFERROR(AM35/'Income Statement'!AM8,"NM")</f>
        <v>-0.28635291298437837</v>
      </c>
      <c r="AN109" s="160">
        <f>IFERROR(AN35/'Income Statement'!AN8,"NM")</f>
        <v>-0.24704839384387037</v>
      </c>
      <c r="AO109" s="160">
        <f>IFERROR(AO35/'Income Statement'!AO8,"NM")</f>
        <v>-0.24759175354096613</v>
      </c>
      <c r="AP109" s="160">
        <f>IFERROR(AP35/'Income Statement'!AP8,"NM")</f>
        <v>-0.23237143908174124</v>
      </c>
      <c r="AQ109" s="199">
        <f>IFERROR(AQ35/'Income Statement'!AQ8,"NM")</f>
        <v>-6.2652051117138771E-2</v>
      </c>
      <c r="AR109" s="601">
        <f>IFERROR(AR35/'Income Statement'!AR8,"NM")</f>
        <v>-0.21920824662440108</v>
      </c>
      <c r="AS109" s="160">
        <f>IFERROR(AS35/'Income Statement'!AS8,"NM")</f>
        <v>-0.19429578541594575</v>
      </c>
      <c r="AT109" s="160">
        <f>IFERROR(AT35/'Income Statement'!AT8,"NM")</f>
        <v>-0.20115110319767637</v>
      </c>
      <c r="AU109" s="160">
        <f>IFERROR(AU35/'Income Statement'!AU8,"NM")</f>
        <v>-0.25233862924453215</v>
      </c>
      <c r="AV109" s="199">
        <f>IFERROR(AV35/'Income Statement'!AV8,"NM")</f>
        <v>-5.926275860414025E-2</v>
      </c>
      <c r="AW109" s="601">
        <f>IFERROR(AW35/'Income Statement'!AW8,"NM")</f>
        <v>-0.25757908362160975</v>
      </c>
      <c r="AX109" s="160">
        <f>IFERROR(AX35/'Income Statement'!AX8,"NM")</f>
        <v>-0.26654928867787087</v>
      </c>
      <c r="AY109" s="160">
        <f>IFERROR(AY35/'Income Statement'!AY8,"NM")</f>
        <v>-0.23958387086786453</v>
      </c>
      <c r="AZ109" s="160">
        <f>IFERROR(AZ35/'Income Statement'!AZ8,"NM")</f>
        <v>-0.21888163465276406</v>
      </c>
      <c r="BA109" s="199">
        <f>IFERROR(BA35/'Income Statement'!BA8,"NM")</f>
        <v>-5.7058067982146382E-2</v>
      </c>
      <c r="BB109" s="601">
        <f>IFERROR(BB35/'Income Statement'!BB8,"NM")</f>
        <v>-0.24005962041668052</v>
      </c>
      <c r="BC109" s="160">
        <f>IFERROR(BC35/'Income Statement'!BC8,"NM")</f>
        <v>-0.22379270301393023</v>
      </c>
      <c r="BD109" s="160">
        <f>IFERROR(BD35/'Income Statement'!BD8,"NM")</f>
        <v>-0.22076396830316483</v>
      </c>
      <c r="BE109" s="160">
        <f>IFERROR(BE35/'Income Statement'!BE8,"NM")</f>
        <v>-0.21515921532316251</v>
      </c>
      <c r="BF109" s="199">
        <f>IFERROR(BF35/'Income Statement'!BF8,"NM")</f>
        <v>-5.2898477914336203E-2</v>
      </c>
      <c r="BG109" s="601">
        <f>IFERROR(BG35/'Income Statement'!BG8,"NM")</f>
        <v>-0.25577975692095878</v>
      </c>
      <c r="BH109" s="160">
        <f>IFERROR(BH35/'Income Statement'!BH8,"NM")</f>
        <v>-0.25458765005099154</v>
      </c>
      <c r="BI109" s="160">
        <f>IFERROR(BI35/'Income Statement'!BI8,"NM")</f>
        <v>-0.25133289095088529</v>
      </c>
      <c r="BJ109" s="160">
        <f>IFERROR(BJ35/'Income Statement'!BJ8,"NM")</f>
        <v>-0.25449752865578273</v>
      </c>
      <c r="BK109" s="199">
        <f>IFERROR(BK35/'Income Statement'!BK8,"NM")</f>
        <v>-6.3632497948977837E-2</v>
      </c>
      <c r="BL109" s="601">
        <f>IFERROR(BL35/'Income Statement'!BL8,"NM")</f>
        <v>-0.25898320275786391</v>
      </c>
      <c r="BM109" s="160">
        <f>IFERROR(BM35/'Income Statement'!BM8,"NM")</f>
        <v>-0.25752332716619347</v>
      </c>
      <c r="BN109" s="160">
        <f>IFERROR(BN35/'Income Statement'!BN8,"NM")</f>
        <v>-0.25433189980795534</v>
      </c>
      <c r="BO109" s="160">
        <f>IFERROR(BO35/'Income Statement'!BO8,"NM")</f>
        <v>-0.26291352383896416</v>
      </c>
      <c r="BP109" s="199">
        <f>IFERROR(BP35/'Income Statement'!BP8,"NM")</f>
        <v>-6.7232231663159073E-2</v>
      </c>
      <c r="BQ109" s="601">
        <f>IFERROR(BQ35/'Income Statement'!BQ8,"NM")</f>
        <v>-0.2610969140511441</v>
      </c>
      <c r="BR109" s="160">
        <f>IFERROR(BR35/'Income Statement'!BR8,"NM")</f>
        <v>-0.25945682953935206</v>
      </c>
      <c r="BS109" s="160">
        <f>IFERROR(BS35/'Income Statement'!BS8,"NM")</f>
        <v>-0.25629460519738811</v>
      </c>
      <c r="BT109" s="160">
        <f>IFERROR(BT35/'Income Statement'!BT8,"NM")</f>
        <v>-0.26477389805914076</v>
      </c>
      <c r="BU109" s="199">
        <f>IFERROR(BU35/'Income Statement'!BU8,"NM")</f>
        <v>-6.7507905211126165E-2</v>
      </c>
      <c r="BV109" s="601">
        <f>IFERROR(BV35/'Income Statement'!BV8,"NM")</f>
        <v>-0.26290399480204529</v>
      </c>
      <c r="BW109" s="160">
        <f>IFERROR(BW35/'Income Statement'!BW8,"NM")</f>
        <v>-0.26113609535741672</v>
      </c>
      <c r="BX109" s="160">
        <f>IFERROR(BX35/'Income Statement'!BX8,"NM")</f>
        <v>-0.25791256920199984</v>
      </c>
      <c r="BY109" s="160">
        <f>IFERROR(BY35/'Income Statement'!BY8,"NM")</f>
        <v>-0.26628223977994991</v>
      </c>
      <c r="BZ109" s="199">
        <f>IFERROR(BZ35/'Income Statement'!BZ8,"NM")</f>
        <v>-6.7333653351406536E-2</v>
      </c>
    </row>
    <row r="110" spans="1:78" s="114" customFormat="1" ht="14.1" customHeight="1" x14ac:dyDescent="0.2">
      <c r="A110"/>
      <c r="B110"/>
      <c r="C110" s="594" t="str">
        <f>C37&amp;" / "&amp;'Income Statement'!C8</f>
        <v>Total Capital Invested / Revenue</v>
      </c>
      <c r="E110" s="180">
        <f>IFERROR(E37/'Income Statement'!E8,"NM")</f>
        <v>0.49371435965435773</v>
      </c>
      <c r="F110" s="180">
        <f>IFERROR(F37/'Income Statement'!F8,"NM")</f>
        <v>0.59139547834457817</v>
      </c>
      <c r="G110" s="180">
        <f>IFERROR(G37/'Income Statement'!G8,"NM")</f>
        <v>0.61594981469145049</v>
      </c>
      <c r="H110" s="180">
        <f>IFERROR(H37/'Income Statement'!H8,"NM")</f>
        <v>0.55670064805234731</v>
      </c>
      <c r="I110" s="180">
        <f>IFERROR(I37/'Income Statement'!I8,"NM")</f>
        <v>0.55388016791920802</v>
      </c>
      <c r="J110" s="669">
        <f>IFERROR(J37/'Income Statement'!J8,"NM")</f>
        <v>0.61913152240569203</v>
      </c>
      <c r="K110" s="180">
        <f>IFERROR(K37/'Income Statement'!K8,"NM")</f>
        <v>0.81160298098367678</v>
      </c>
      <c r="L110" s="180">
        <f>IFERROR(L37/'Income Statement'!L8,"NM")</f>
        <v>0.84079037050235539</v>
      </c>
      <c r="M110" s="180">
        <f>IFERROR(M37/'Income Statement'!M8,"NM")</f>
        <v>0.82101655200518042</v>
      </c>
      <c r="N110" s="180">
        <f>IFERROR(N37/'Income Statement'!N8,"NM")</f>
        <v>0.8178625109845612</v>
      </c>
      <c r="O110" s="665">
        <f>IFERROR(O37/'Income Statement'!O8,"NM")</f>
        <v>0.80512764897739397</v>
      </c>
      <c r="R110" s="594" t="str">
        <f t="shared" si="59"/>
        <v>Total Capital Invested / Revenue</v>
      </c>
      <c r="S110" s="694"/>
      <c r="T110" s="694"/>
      <c r="U110" s="694"/>
      <c r="V110" s="694"/>
      <c r="W110" s="694"/>
      <c r="X110" s="180">
        <f>IFERROR(X37/'Income Statement'!X8,"NM")</f>
        <v>1.907997606955105</v>
      </c>
      <c r="Y110" s="180">
        <f>IFERROR(Y37/'Income Statement'!Y8,"NM")</f>
        <v>1.8514713154138247</v>
      </c>
      <c r="Z110" s="180">
        <f>IFERROR(Z37/'Income Statement'!Z8,"NM")</f>
        <v>1.8566013882818486</v>
      </c>
      <c r="AA110" s="180">
        <f>IFERROR(AA37/'Income Statement'!AA8,"NM")</f>
        <v>2.0074468346650285</v>
      </c>
      <c r="AB110" s="180">
        <f>IFERROR(AB37/'Income Statement'!AB8,"NM")</f>
        <v>0.49371435965435773</v>
      </c>
      <c r="AC110" s="677">
        <f>IFERROR(AC37/'Income Statement'!AC8,"NM")</f>
        <v>2.2941030337275685</v>
      </c>
      <c r="AD110" s="180">
        <f>IFERROR(AD37/'Income Statement'!AD8,"NM")</f>
        <v>2.1752905567703231</v>
      </c>
      <c r="AE110" s="180">
        <f>IFERROR(AE37/'Income Statement'!AE8,"NM")</f>
        <v>2.2659360064492602</v>
      </c>
      <c r="AF110" s="180">
        <f>IFERROR(AF37/'Income Statement'!AF8,"NM")</f>
        <v>2.3849028923521387</v>
      </c>
      <c r="AG110" s="665">
        <f>IFERROR(AG37/'Income Statement'!AG8,"NM")</f>
        <v>0.59139547834457817</v>
      </c>
      <c r="AH110" s="677">
        <f>IFERROR(AH37/'Income Statement'!AH8,"NM")</f>
        <v>2.5901128146309551</v>
      </c>
      <c r="AI110" s="180">
        <f>IFERROR(AI37/'Income Statement'!AI8,"NM")</f>
        <v>2.7038630612703716</v>
      </c>
      <c r="AJ110" s="180">
        <f>IFERROR(AJ37/'Income Statement'!AJ8,"NM")</f>
        <v>2.353872456759194</v>
      </c>
      <c r="AK110" s="180">
        <f>IFERROR(AK37/'Income Statement'!AK8,"NM")</f>
        <v>2.3557783924681308</v>
      </c>
      <c r="AL110" s="665">
        <f>IFERROR(AL37/'Income Statement'!AL8,"NM")</f>
        <v>0.61594981469145049</v>
      </c>
      <c r="AM110" s="677">
        <f>IFERROR(AM37/'Income Statement'!AM8,"NM")</f>
        <v>2.3221181059094276</v>
      </c>
      <c r="AN110" s="180">
        <f>IFERROR(AN37/'Income Statement'!AN8,"NM")</f>
        <v>2.0641133979658099</v>
      </c>
      <c r="AO110" s="180">
        <f>IFERROR(AO37/'Income Statement'!AO8,"NM")</f>
        <v>1.9234667713918496</v>
      </c>
      <c r="AP110" s="180">
        <f>IFERROR(AP37/'Income Statement'!AP8,"NM")</f>
        <v>2.0647581111717899</v>
      </c>
      <c r="AQ110" s="665">
        <f>IFERROR(AQ37/'Income Statement'!AQ8,"NM")</f>
        <v>0.55670064805234731</v>
      </c>
      <c r="AR110" s="677">
        <f>IFERROR(AR37/'Income Statement'!AR8,"NM")</f>
        <v>1.9677306659245992</v>
      </c>
      <c r="AS110" s="180">
        <f>IFERROR(AS37/'Income Statement'!AS8,"NM")</f>
        <v>1.8950511968281307</v>
      </c>
      <c r="AT110" s="180">
        <f>IFERROR(AT37/'Income Statement'!AT8,"NM")</f>
        <v>2.0582857362167117</v>
      </c>
      <c r="AU110" s="180">
        <f>IFERROR(AU37/'Income Statement'!AU8,"NM")</f>
        <v>2.3584012224618225</v>
      </c>
      <c r="AV110" s="665">
        <f>IFERROR(AV37/'Income Statement'!AV8,"NM")</f>
        <v>0.55388016791920802</v>
      </c>
      <c r="AW110" s="677">
        <f>IFERROR(AW37/'Income Statement'!AW8,"NM")</f>
        <v>2.4675815815967366</v>
      </c>
      <c r="AX110" s="180">
        <f>IFERROR(AX37/'Income Statement'!AX8,"NM")</f>
        <v>2.3703280345281321</v>
      </c>
      <c r="AY110" s="180">
        <f>IFERROR(AY37/'Income Statement'!AY8,"NM")</f>
        <v>2.2560814506723914</v>
      </c>
      <c r="AZ110" s="180">
        <f>IFERROR(AZ37/'Income Statement'!AZ8,"NM")</f>
        <v>2.3750632378862839</v>
      </c>
      <c r="BA110" s="665">
        <f>IFERROR(BA37/'Income Statement'!BA8,"NM")</f>
        <v>0.61913152240569203</v>
      </c>
      <c r="BB110" s="677">
        <f>IFERROR(BB37/'Income Statement'!BB8,"NM")</f>
        <v>2.9484243648769501</v>
      </c>
      <c r="BC110" s="180">
        <f>IFERROR(BC37/'Income Statement'!BC8,"NM")</f>
        <v>2.9458265107307184</v>
      </c>
      <c r="BD110" s="180">
        <f>IFERROR(BD37/'Income Statement'!BD8,"NM")</f>
        <v>2.9996888741638488</v>
      </c>
      <c r="BE110" s="180">
        <f>IFERROR(BE37/'Income Statement'!BE8,"NM")</f>
        <v>3.3011131402527947</v>
      </c>
      <c r="BF110" s="665">
        <f>IFERROR(BF37/'Income Statement'!BF8,"NM")</f>
        <v>0.81160298098367678</v>
      </c>
      <c r="BG110" s="677">
        <f>IFERROR(BG37/'Income Statement'!BG8,"NM")</f>
        <v>3.2059860940235358</v>
      </c>
      <c r="BH110" s="180">
        <f>IFERROR(BH37/'Income Statement'!BH8,"NM")</f>
        <v>3.0392109752873839</v>
      </c>
      <c r="BI110" s="180">
        <f>IFERROR(BI37/'Income Statement'!BI8,"NM")</f>
        <v>3.0676476610890657</v>
      </c>
      <c r="BJ110" s="180">
        <f>IFERROR(BJ37/'Income Statement'!BJ8,"NM")</f>
        <v>3.3627325393072462</v>
      </c>
      <c r="BK110" s="665">
        <f>IFERROR(BK37/'Income Statement'!BK8,"NM")</f>
        <v>0.84079037050235539</v>
      </c>
      <c r="BL110" s="677">
        <f>IFERROR(BL37/'Income Statement'!BL8,"NM")</f>
        <v>3.2558091609405095</v>
      </c>
      <c r="BM110" s="180">
        <f>IFERROR(BM37/'Income Statement'!BM8,"NM")</f>
        <v>3.0601075425920223</v>
      </c>
      <c r="BN110" s="180">
        <f>IFERROR(BN37/'Income Statement'!BN8,"NM")</f>
        <v>3.0637254331976971</v>
      </c>
      <c r="BO110" s="180">
        <f>IFERROR(BO37/'Income Statement'!BO8,"NM")</f>
        <v>3.2106082079687974</v>
      </c>
      <c r="BP110" s="665">
        <f>IFERROR(BP37/'Income Statement'!BP8,"NM")</f>
        <v>0.82101655200518042</v>
      </c>
      <c r="BQ110" s="677">
        <f>IFERROR(BQ37/'Income Statement'!BQ8,"NM")</f>
        <v>3.3591050717359563</v>
      </c>
      <c r="BR110" s="180">
        <f>IFERROR(BR37/'Income Statement'!BR8,"NM")</f>
        <v>3.1262802195926573</v>
      </c>
      <c r="BS110" s="180">
        <f>IFERROR(BS37/'Income Statement'!BS8,"NM")</f>
        <v>3.0640567823721612</v>
      </c>
      <c r="BT110" s="180">
        <f>IFERROR(BT37/'Income Statement'!BT8,"NM")</f>
        <v>3.207752402219838</v>
      </c>
      <c r="BU110" s="665">
        <f>IFERROR(BU37/'Income Statement'!BU8,"NM")</f>
        <v>0.8178625109845612</v>
      </c>
      <c r="BV110" s="677">
        <f>IFERROR(BV37/'Income Statement'!BV8,"NM")</f>
        <v>3.337606466593432</v>
      </c>
      <c r="BW110" s="180">
        <f>IFERROR(BW37/'Income Statement'!BW8,"NM")</f>
        <v>3.0901154569139511</v>
      </c>
      <c r="BX110" s="180">
        <f>IFERROR(BX37/'Income Statement'!BX8,"NM")</f>
        <v>2.9892004296436041</v>
      </c>
      <c r="BY110" s="180">
        <f>IFERROR(BY37/'Income Statement'!BY8,"NM")</f>
        <v>3.184012496092897</v>
      </c>
      <c r="BZ110" s="665">
        <f>IFERROR(BZ37/'Income Statement'!BZ8,"NM")</f>
        <v>0.80512764897739397</v>
      </c>
    </row>
    <row r="111" spans="1:78" s="114" customFormat="1" ht="14.1" customHeight="1" x14ac:dyDescent="0.2">
      <c r="A111"/>
      <c r="B111"/>
      <c r="C111" s="634"/>
      <c r="D111" s="203"/>
      <c r="E111" s="203"/>
      <c r="F111" s="203"/>
      <c r="G111" s="203"/>
      <c r="H111" s="203"/>
      <c r="I111" s="203"/>
      <c r="J111" s="671"/>
      <c r="K111" s="203"/>
      <c r="L111" s="203"/>
      <c r="M111" s="203"/>
      <c r="N111" s="203"/>
      <c r="O111" s="204"/>
      <c r="R111" s="634"/>
      <c r="S111" s="203"/>
      <c r="T111" s="203"/>
      <c r="U111" s="203"/>
      <c r="V111" s="203"/>
      <c r="W111" s="203"/>
      <c r="X111" s="203"/>
      <c r="Y111" s="203"/>
      <c r="Z111" s="203"/>
      <c r="AA111" s="203"/>
      <c r="AB111" s="203"/>
      <c r="AC111" s="634"/>
      <c r="AD111" s="203"/>
      <c r="AE111" s="203"/>
      <c r="AF111" s="203"/>
      <c r="AG111" s="204"/>
      <c r="AH111" s="634"/>
      <c r="AI111" s="203"/>
      <c r="AJ111" s="203"/>
      <c r="AK111" s="203"/>
      <c r="AL111" s="204"/>
      <c r="AM111" s="634"/>
      <c r="AN111" s="203"/>
      <c r="AO111" s="203"/>
      <c r="AP111" s="203"/>
      <c r="AQ111" s="204"/>
      <c r="AR111" s="634"/>
      <c r="AS111" s="203"/>
      <c r="AT111" s="203"/>
      <c r="AU111" s="203"/>
      <c r="AV111" s="204"/>
      <c r="AW111" s="634"/>
      <c r="AX111" s="203"/>
      <c r="AY111" s="203"/>
      <c r="AZ111" s="203"/>
      <c r="BA111" s="204"/>
      <c r="BB111" s="634"/>
      <c r="BC111" s="203"/>
      <c r="BD111" s="203"/>
      <c r="BE111" s="203"/>
      <c r="BF111" s="204"/>
      <c r="BG111" s="634"/>
      <c r="BH111" s="203"/>
      <c r="BI111" s="203"/>
      <c r="BJ111" s="203"/>
      <c r="BK111" s="204"/>
      <c r="BL111" s="634"/>
      <c r="BM111" s="203"/>
      <c r="BN111" s="203"/>
      <c r="BO111" s="203"/>
      <c r="BP111" s="204"/>
      <c r="BQ111" s="634"/>
      <c r="BR111" s="203"/>
      <c r="BS111" s="203"/>
      <c r="BT111" s="203"/>
      <c r="BU111" s="204"/>
      <c r="BV111" s="634"/>
      <c r="BW111" s="203"/>
      <c r="BX111" s="203"/>
      <c r="BY111" s="203"/>
      <c r="BZ111" s="204"/>
    </row>
    <row r="112" spans="1:78" s="114" customFormat="1" ht="14.1" customHeight="1" x14ac:dyDescent="0.2">
      <c r="A112"/>
      <c r="B112"/>
    </row>
    <row r="113" spans="1:3" s="114" customFormat="1" ht="14.1" customHeight="1" x14ac:dyDescent="0.2">
      <c r="A113"/>
      <c r="B113"/>
    </row>
    <row r="114" spans="1:3" s="114" customFormat="1" ht="14.1" customHeight="1" x14ac:dyDescent="0.2">
      <c r="A114"/>
      <c r="B114"/>
    </row>
    <row r="115" spans="1:3" s="114" customFormat="1" ht="14.1" customHeight="1" x14ac:dyDescent="0.2">
      <c r="A115"/>
      <c r="B115"/>
    </row>
    <row r="116" spans="1:3" s="114" customFormat="1" ht="14.1" customHeight="1" x14ac:dyDescent="0.2">
      <c r="A116"/>
      <c r="B116"/>
    </row>
    <row r="117" spans="1:3" s="114" customFormat="1" ht="14.1" customHeight="1" x14ac:dyDescent="0.2">
      <c r="A117"/>
      <c r="B117"/>
    </row>
    <row r="118" spans="1:3" s="114" customFormat="1" ht="14.1" customHeight="1" x14ac:dyDescent="0.2">
      <c r="A118"/>
      <c r="B118"/>
    </row>
    <row r="119" spans="1:3" s="114" customFormat="1" ht="14.1" customHeight="1" x14ac:dyDescent="0.2">
      <c r="A119"/>
      <c r="B119"/>
    </row>
    <row r="120" spans="1:3" s="114" customFormat="1" ht="14.1" customHeight="1" x14ac:dyDescent="0.2">
      <c r="A120"/>
      <c r="B120"/>
    </row>
    <row r="121" spans="1:3" s="114" customFormat="1" ht="14.1" customHeight="1" x14ac:dyDescent="0.2">
      <c r="A121"/>
      <c r="B121"/>
    </row>
    <row r="122" spans="1:3" s="114" customFormat="1" ht="14.1" customHeight="1" x14ac:dyDescent="0.2">
      <c r="A122"/>
      <c r="B122"/>
    </row>
    <row r="123" spans="1:3" s="114" customFormat="1" ht="14.1" customHeight="1" x14ac:dyDescent="0.2">
      <c r="A123"/>
      <c r="B123"/>
    </row>
    <row r="124" spans="1:3" s="114" customFormat="1" ht="14.1" customHeight="1" x14ac:dyDescent="0.2">
      <c r="A124"/>
      <c r="B124"/>
    </row>
    <row r="125" spans="1:3" s="161" customFormat="1" ht="14.1" customHeight="1" x14ac:dyDescent="0.2">
      <c r="A125"/>
      <c r="B125"/>
      <c r="C125" s="114"/>
    </row>
    <row r="126" spans="1:3" s="114" customFormat="1" ht="14.1" customHeight="1" x14ac:dyDescent="0.2">
      <c r="A126"/>
      <c r="B126"/>
    </row>
    <row r="127" spans="1:3" s="114" customFormat="1" ht="14.1" customHeight="1" x14ac:dyDescent="0.2">
      <c r="A127"/>
      <c r="B127"/>
    </row>
    <row r="128" spans="1:3" s="114" customFormat="1" ht="14.1" customHeight="1" x14ac:dyDescent="0.2">
      <c r="A128"/>
      <c r="B128"/>
    </row>
    <row r="129" spans="1:2" s="114" customFormat="1" ht="14.1" customHeight="1" x14ac:dyDescent="0.2">
      <c r="A129"/>
      <c r="B129"/>
    </row>
    <row r="130" spans="1:2" s="114" customFormat="1" ht="14.1" customHeight="1" x14ac:dyDescent="0.2">
      <c r="A130"/>
      <c r="B130"/>
    </row>
    <row r="131" spans="1:2" s="114" customFormat="1" ht="14.1" customHeight="1" x14ac:dyDescent="0.2">
      <c r="A131"/>
      <c r="B131"/>
    </row>
    <row r="132" spans="1:2" s="114" customFormat="1" ht="14.1" customHeight="1" x14ac:dyDescent="0.2">
      <c r="A132"/>
      <c r="B132"/>
    </row>
    <row r="133" spans="1:2" s="114" customFormat="1" ht="14.1" customHeight="1" x14ac:dyDescent="0.2">
      <c r="A133"/>
      <c r="B133"/>
    </row>
    <row r="134" spans="1:2" s="114" customFormat="1" ht="14.1" customHeight="1" x14ac:dyDescent="0.2">
      <c r="A134"/>
      <c r="B134"/>
    </row>
    <row r="163" spans="9:11" ht="14.1" customHeight="1" x14ac:dyDescent="0.2">
      <c r="J163" s="60">
        <v>501</v>
      </c>
      <c r="K163" s="60" t="s">
        <v>554</v>
      </c>
    </row>
    <row r="164" spans="9:11" ht="14.1" customHeight="1" x14ac:dyDescent="0.2">
      <c r="I164" s="60">
        <v>448</v>
      </c>
      <c r="J164" s="60">
        <v>529</v>
      </c>
      <c r="K164" s="60" t="s">
        <v>553</v>
      </c>
    </row>
    <row r="165" spans="9:11" ht="14.1" customHeight="1" x14ac:dyDescent="0.2">
      <c r="J165" s="60">
        <v>565</v>
      </c>
      <c r="K165" s="60" t="s">
        <v>555</v>
      </c>
    </row>
    <row r="166" spans="9:11" ht="14.1" customHeight="1" x14ac:dyDescent="0.2">
      <c r="I166" s="926">
        <v>0.1111111111111111</v>
      </c>
      <c r="J166" s="927" t="str">
        <f>"+12 Month"</f>
        <v>+12 Month</v>
      </c>
    </row>
    <row r="191" spans="3:9" ht="14.1" customHeight="1" thickBot="1" x14ac:dyDescent="0.25"/>
    <row r="192" spans="3:9" ht="14.1" customHeight="1" x14ac:dyDescent="0.2">
      <c r="C192" s="928" t="s">
        <v>559</v>
      </c>
      <c r="D192" s="929">
        <f>'Revenue Build'!J7</f>
        <v>45291</v>
      </c>
      <c r="E192" s="930">
        <f>'Revenue Build'!K7</f>
        <v>45657</v>
      </c>
      <c r="F192" s="931">
        <f>'Revenue Build'!L7</f>
        <v>46022</v>
      </c>
      <c r="G192" s="931">
        <f>'Revenue Build'!M7</f>
        <v>46387</v>
      </c>
      <c r="H192" s="931">
        <f>'Revenue Build'!N7</f>
        <v>46752</v>
      </c>
      <c r="I192" s="932">
        <f>'Revenue Build'!O7</f>
        <v>47118</v>
      </c>
    </row>
    <row r="193" spans="3:10" ht="14.1" customHeight="1" x14ac:dyDescent="0.2">
      <c r="C193" s="933" t="s">
        <v>558</v>
      </c>
      <c r="D193" s="156">
        <f>'Revenue Build'!J11</f>
        <v>2881.433</v>
      </c>
      <c r="E193" s="156">
        <f>'Revenue Build'!K11</f>
        <v>3209.1038092250042</v>
      </c>
      <c r="F193" s="156">
        <f>'Revenue Build'!L11</f>
        <v>3562.4709953821234</v>
      </c>
      <c r="G193" s="156">
        <f>'Revenue Build'!M11</f>
        <v>4091.1190527385556</v>
      </c>
      <c r="H193" s="156">
        <f>'Revenue Build'!N11</f>
        <v>4453.9683821196895</v>
      </c>
      <c r="I193" s="934">
        <f>'Revenue Build'!O11</f>
        <v>4808.2133569301513</v>
      </c>
    </row>
    <row r="194" spans="3:10" ht="14.1" customHeight="1" x14ac:dyDescent="0.2">
      <c r="C194" s="935" t="s">
        <v>556</v>
      </c>
      <c r="D194" s="311">
        <f>'Income Statement'!J59</f>
        <v>0.16205959708242404</v>
      </c>
      <c r="E194" s="311">
        <f>'Income Statement'!K59</f>
        <v>0.15411444456347134</v>
      </c>
      <c r="F194" s="311">
        <f>'Income Statement'!L59</f>
        <v>0.1838960578592351</v>
      </c>
      <c r="G194" s="311">
        <f>'Income Statement'!M59</f>
        <v>0.20315120345541482</v>
      </c>
      <c r="H194" s="311">
        <f>'Income Statement'!N59</f>
        <v>0.21586176129142348</v>
      </c>
      <c r="I194" s="936">
        <f>'Income Statement'!O59</f>
        <v>0.22764474511979579</v>
      </c>
    </row>
    <row r="195" spans="3:10" ht="14.1" customHeight="1" x14ac:dyDescent="0.2">
      <c r="C195" s="935" t="s">
        <v>557</v>
      </c>
      <c r="D195" s="937">
        <f>'Revenue Build'!J19</f>
        <v>5.5430000000000001</v>
      </c>
      <c r="E195" s="937">
        <f>'Revenue Build'!K19</f>
        <v>6.0357439999999993</v>
      </c>
      <c r="F195" s="937">
        <f>'Revenue Build'!L19</f>
        <v>6.3805845919999999</v>
      </c>
      <c r="G195" s="937">
        <f>'Revenue Build'!M19</f>
        <v>6.8642150898703997</v>
      </c>
      <c r="H195" s="937">
        <f>'Revenue Build'!N19</f>
        <v>7.2971834075471538</v>
      </c>
      <c r="I195" s="938">
        <f>'Revenue Build'!O19</f>
        <v>7.7062699369505427</v>
      </c>
    </row>
    <row r="196" spans="3:10" ht="14.1" customHeight="1" thickBot="1" x14ac:dyDescent="0.25">
      <c r="C196" s="939" t="str">
        <f>'Revenue Build'!C23&amp;" (Estimate)"</f>
        <v>LTL Revenue Per Hundredweight (Estimate)</v>
      </c>
      <c r="D196" s="940">
        <f>'Revenue Build'!J23</f>
        <v>25.38</v>
      </c>
      <c r="E196" s="940">
        <f>'Revenue Build'!K23</f>
        <v>25.9890075</v>
      </c>
      <c r="F196" s="940">
        <f>'Revenue Build'!L23</f>
        <v>27.262354419999998</v>
      </c>
      <c r="G196" s="940">
        <f>'Revenue Build'!M23</f>
        <v>28.975598468501996</v>
      </c>
      <c r="H196" s="940">
        <f>'Revenue Build'!N23</f>
        <v>29.671341018137088</v>
      </c>
      <c r="I196" s="941">
        <f>'Revenue Build'!O23</f>
        <v>30.330100265377144</v>
      </c>
      <c r="J196" s="248"/>
    </row>
  </sheetData>
  <mergeCells count="44">
    <mergeCell ref="CA5:CE5"/>
    <mergeCell ref="P3:Q7"/>
    <mergeCell ref="R3:AZ3"/>
    <mergeCell ref="R4:BA4"/>
    <mergeCell ref="S5:W5"/>
    <mergeCell ref="X5:AB5"/>
    <mergeCell ref="AC5:AG5"/>
    <mergeCell ref="AH5:AL5"/>
    <mergeCell ref="AM5:AQ5"/>
    <mergeCell ref="AR5:AV5"/>
    <mergeCell ref="AW5:BA5"/>
    <mergeCell ref="BB5:BF5"/>
    <mergeCell ref="BG5:BK5"/>
    <mergeCell ref="BL5:BP5"/>
    <mergeCell ref="BQ5:BU5"/>
    <mergeCell ref="BV5:BZ5"/>
    <mergeCell ref="R91:AZ91"/>
    <mergeCell ref="R49:AZ49"/>
    <mergeCell ref="R50:BA50"/>
    <mergeCell ref="S52:W52"/>
    <mergeCell ref="X52:AB52"/>
    <mergeCell ref="AC52:AG52"/>
    <mergeCell ref="AH52:AL52"/>
    <mergeCell ref="AM52:AQ52"/>
    <mergeCell ref="AR52:AV52"/>
    <mergeCell ref="AW52:BA52"/>
    <mergeCell ref="BB52:BF52"/>
    <mergeCell ref="BG52:BK52"/>
    <mergeCell ref="BL52:BP52"/>
    <mergeCell ref="BQ52:BU52"/>
    <mergeCell ref="BV52:BZ52"/>
    <mergeCell ref="R92:BA92"/>
    <mergeCell ref="S94:W94"/>
    <mergeCell ref="X94:AB94"/>
    <mergeCell ref="AC94:AG94"/>
    <mergeCell ref="AH94:AL94"/>
    <mergeCell ref="AM94:AQ94"/>
    <mergeCell ref="AR94:AV94"/>
    <mergeCell ref="AW94:BA94"/>
    <mergeCell ref="BB94:BF94"/>
    <mergeCell ref="BG94:BK94"/>
    <mergeCell ref="BL94:BP94"/>
    <mergeCell ref="BQ94:BU94"/>
    <mergeCell ref="BV94:BZ94"/>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6634E-4314-41BD-A409-D6DC4EF9D195}">
  <dimension ref="A1:BO138"/>
  <sheetViews>
    <sheetView showGridLines="0" workbookViewId="0">
      <pane xSplit="3" topLeftCell="G1" activePane="topRight" state="frozen"/>
      <selection activeCell="E57" sqref="E57"/>
      <selection pane="topRight" activeCell="R35" sqref="R35"/>
    </sheetView>
  </sheetViews>
  <sheetFormatPr defaultColWidth="9.01171875" defaultRowHeight="14.1" customHeight="1" outlineLevelCol="1" x14ac:dyDescent="0.2"/>
  <cols>
    <col min="1" max="1" width="0.671875" customWidth="1"/>
    <col min="2" max="2" width="0.8046875" customWidth="1"/>
    <col min="3" max="3" width="44.79296875" style="114" customWidth="1"/>
    <col min="4" max="6" width="10.22265625" style="114" hidden="1" customWidth="1" outlineLevel="1"/>
    <col min="7" max="7" width="10.22265625" style="114" customWidth="1" collapsed="1"/>
    <col min="8" max="9" width="10.22265625" style="114" bestFit="1" customWidth="1"/>
    <col min="10" max="10" width="10.22265625" style="114" customWidth="1"/>
    <col min="11" max="15" width="10.22265625" style="114" bestFit="1" customWidth="1"/>
    <col min="16" max="16" width="2.5546875" style="114" customWidth="1"/>
    <col min="17" max="17" width="5.6484375" style="114" customWidth="1"/>
    <col min="18" max="18" width="41.96875" style="114" customWidth="1"/>
    <col min="19" max="19" width="10.22265625" style="114" hidden="1" customWidth="1" outlineLevel="1"/>
    <col min="20" max="53" width="9.01171875" style="114" hidden="1" customWidth="1" outlineLevel="1"/>
    <col min="54" max="54" width="9.01171875" style="114" collapsed="1"/>
    <col min="55" max="57" width="9.01171875" style="114"/>
    <col min="58" max="62" width="9.01171875" style="114" customWidth="1"/>
    <col min="63" max="16384" width="9.01171875" style="114"/>
  </cols>
  <sheetData>
    <row r="1" spans="1:67" customFormat="1" ht="3" customHeight="1" x14ac:dyDescent="0.2"/>
    <row r="2" spans="1:67" customFormat="1" ht="1.1499999999999999" customHeight="1" x14ac:dyDescent="0.2"/>
    <row r="3" spans="1:67" s="41" customFormat="1" ht="18.75" x14ac:dyDescent="0.25">
      <c r="A3"/>
      <c r="B3"/>
      <c r="C3" s="47" t="str">
        <f>Company_Name</f>
        <v>SAIA, Inc.</v>
      </c>
      <c r="D3" s="48"/>
      <c r="E3" s="48"/>
      <c r="F3" s="48"/>
      <c r="G3" s="48"/>
      <c r="H3" s="48"/>
      <c r="I3" s="48"/>
      <c r="J3" s="48"/>
      <c r="K3" s="48"/>
      <c r="L3" s="48"/>
      <c r="M3" s="48"/>
      <c r="N3" s="67" t="str">
        <f>'Balance Sheet'!BR3</f>
        <v>Model Case:</v>
      </c>
      <c r="O3" s="48" t="str">
        <f>'Invested Capital'!O3</f>
        <v>Base</v>
      </c>
      <c r="P3" s="1373" t="s">
        <v>172</v>
      </c>
      <c r="Q3" s="1373"/>
      <c r="R3" s="1374" t="str">
        <f>C3</f>
        <v>SAIA, Inc.</v>
      </c>
      <c r="S3" s="1374"/>
      <c r="T3" s="1374"/>
      <c r="U3" s="1374"/>
      <c r="V3" s="1374"/>
      <c r="W3" s="1374"/>
      <c r="X3" s="1374"/>
      <c r="Y3" s="1374"/>
      <c r="Z3" s="1374"/>
      <c r="AA3" s="1374"/>
      <c r="AB3" s="1374"/>
      <c r="AC3" s="1374"/>
      <c r="AD3" s="1374"/>
      <c r="AE3" s="1374"/>
      <c r="AF3" s="1374"/>
      <c r="AG3" s="1374"/>
      <c r="AH3" s="1374"/>
      <c r="AI3" s="1374"/>
      <c r="AJ3" s="1374"/>
      <c r="AK3" s="1374"/>
      <c r="AL3" s="1374"/>
      <c r="AM3" s="1374"/>
      <c r="AN3" s="1374"/>
      <c r="AO3" s="1374"/>
      <c r="AP3" s="1374"/>
      <c r="AQ3" s="1374"/>
      <c r="AR3" s="1374"/>
      <c r="AS3" s="1374"/>
      <c r="AT3" s="1374"/>
      <c r="AU3" s="1374"/>
      <c r="AV3" s="1374"/>
      <c r="AW3" s="1374"/>
      <c r="AX3" s="1374"/>
      <c r="AY3" s="1374"/>
      <c r="AZ3" s="1374"/>
      <c r="BA3" s="47"/>
      <c r="BB3" s="47"/>
      <c r="BC3" s="47"/>
      <c r="BD3" s="47"/>
      <c r="BE3" s="47"/>
      <c r="BF3" s="47"/>
      <c r="BG3" s="47"/>
      <c r="BH3" s="67" t="str">
        <f>N3</f>
        <v>Model Case:</v>
      </c>
      <c r="BI3" s="48" t="str">
        <f>O3</f>
        <v>Base</v>
      </c>
      <c r="BJ3" s="47"/>
      <c r="BK3" s="876"/>
      <c r="BL3" s="876"/>
      <c r="BM3" s="67" t="str">
        <f>N4</f>
        <v>DCF Share Value as of 12/31/2024:</v>
      </c>
      <c r="BN3" s="95">
        <f>O4</f>
        <v>520.1066763818468</v>
      </c>
    </row>
    <row r="4" spans="1:67" s="62" customFormat="1" ht="15" x14ac:dyDescent="0.2">
      <c r="A4"/>
      <c r="B4"/>
      <c r="C4" s="48" t="str">
        <f>"WACC and Capital Structure Assumptions"</f>
        <v>WACC and Capital Structure Assumptions</v>
      </c>
      <c r="D4" s="48"/>
      <c r="E4" s="48"/>
      <c r="F4" s="48"/>
      <c r="G4" s="48"/>
      <c r="H4" s="48"/>
      <c r="I4" s="48"/>
      <c r="J4" s="48"/>
      <c r="K4" s="48"/>
      <c r="L4" s="48"/>
      <c r="M4" s="48"/>
      <c r="N4" s="67" t="str" cm="1">
        <f t="array" ref="N4">"DCF Share Value as of "&amp;TEXT(DCF_ShareValue_Date,"MM/DD/YYYY")&amp;":"</f>
        <v>DCF Share Value as of 12/31/2024:</v>
      </c>
      <c r="O4" s="65">
        <f>DCF_Share_Value</f>
        <v>520.1066763818468</v>
      </c>
      <c r="P4" s="1373"/>
      <c r="Q4" s="1373"/>
      <c r="R4" s="1375" t="str">
        <f>C4&amp;" Quarterly and Year Basis"</f>
        <v>WACC and Capital Structure Assumptions Quarterly and Year Basis</v>
      </c>
      <c r="S4" s="1375"/>
      <c r="T4" s="1375"/>
      <c r="U4" s="1375"/>
      <c r="V4" s="1375"/>
      <c r="W4" s="1375"/>
      <c r="X4" s="1375"/>
      <c r="Y4" s="1375"/>
      <c r="Z4" s="1375"/>
      <c r="AA4" s="1375"/>
      <c r="AB4" s="1375"/>
      <c r="AC4" s="1375"/>
      <c r="AD4" s="1375"/>
      <c r="AE4" s="1375"/>
      <c r="AF4" s="1375"/>
      <c r="AG4" s="1375"/>
      <c r="AH4" s="1375"/>
      <c r="AI4" s="1375"/>
      <c r="AJ4" s="1375"/>
      <c r="AK4" s="1375"/>
      <c r="AL4" s="1375"/>
      <c r="AM4" s="1375"/>
      <c r="AN4" s="1375"/>
      <c r="AO4" s="1375"/>
      <c r="AP4" s="1375"/>
      <c r="AQ4" s="1375"/>
      <c r="AR4" s="1375"/>
      <c r="AS4" s="1375"/>
      <c r="AT4" s="1375"/>
      <c r="AU4" s="1375"/>
      <c r="AV4" s="1375"/>
      <c r="AW4" s="1375"/>
      <c r="AX4" s="1375"/>
      <c r="AY4" s="1375"/>
      <c r="AZ4" s="1375"/>
      <c r="BA4" s="1375"/>
      <c r="BB4" s="63"/>
      <c r="BC4" s="63"/>
      <c r="BD4" s="63"/>
      <c r="BE4" s="63"/>
      <c r="BF4" s="63"/>
      <c r="BG4" s="63"/>
      <c r="BH4" s="63"/>
      <c r="BI4" s="63"/>
      <c r="BJ4" s="63"/>
      <c r="BK4" s="877"/>
      <c r="BL4" s="877"/>
      <c r="BM4" s="321" t="str">
        <f>N5</f>
        <v>Market Share Price as of 12/31/2024:</v>
      </c>
      <c r="BN4" s="322">
        <f>O5</f>
        <v>455.73</v>
      </c>
    </row>
    <row r="5" spans="1:67" s="61" customFormat="1" ht="15" x14ac:dyDescent="0.2">
      <c r="A5"/>
      <c r="B5"/>
      <c r="C5" s="46" t="str">
        <f>"($ in millions, fiscal year ending "&amp;TEXT(FY_Year_End,"MMMM,DD")&amp;")"</f>
        <v>($ in millions, fiscal year ending December,31)</v>
      </c>
      <c r="D5" s="49"/>
      <c r="E5" s="49"/>
      <c r="F5" s="49"/>
      <c r="G5" s="49"/>
      <c r="H5" s="49" t="str">
        <f>"Ticker: "&amp;Company_Ticker</f>
        <v>Ticker: SAIA</v>
      </c>
      <c r="I5" s="49"/>
      <c r="J5" s="49"/>
      <c r="K5" s="49"/>
      <c r="L5" s="49"/>
      <c r="M5" s="49"/>
      <c r="N5" s="66" t="str" cm="1">
        <f t="array" ref="N5">"Market Share Price as of "&amp;TEXT(Market_Share_Price_Date,"MM/DD/YYYY")&amp;":"</f>
        <v>Market Share Price as of 12/31/2024:</v>
      </c>
      <c r="O5" s="65">
        <f>Market_Share_Price</f>
        <v>455.73</v>
      </c>
      <c r="P5" s="1373"/>
      <c r="Q5" s="1373"/>
      <c r="R5" s="96"/>
      <c r="S5" s="1367">
        <f>D7</f>
        <v>43100</v>
      </c>
      <c r="T5" s="1368"/>
      <c r="U5" s="1368"/>
      <c r="V5" s="1368"/>
      <c r="W5" s="1368"/>
      <c r="X5" s="1368">
        <f>DATE(YEAR(S5)+1,MONTH(S5),DAY(S5))</f>
        <v>43465</v>
      </c>
      <c r="Y5" s="1368"/>
      <c r="Z5" s="1368"/>
      <c r="AA5" s="1368"/>
      <c r="AB5" s="1368"/>
      <c r="AC5" s="1368">
        <f>DATE(YEAR(X5)+1,MONTH(X5),DAY(X5))</f>
        <v>43830</v>
      </c>
      <c r="AD5" s="1368"/>
      <c r="AE5" s="1368"/>
      <c r="AF5" s="1368"/>
      <c r="AG5" s="1368"/>
      <c r="AH5" s="1368">
        <f>DATE(YEAR(AC5)+1,MONTH(AC5),DAY(AC5))</f>
        <v>44196</v>
      </c>
      <c r="AI5" s="1368"/>
      <c r="AJ5" s="1368"/>
      <c r="AK5" s="1368"/>
      <c r="AL5" s="1368"/>
      <c r="AM5" s="1368">
        <f>DATE(YEAR(AH5)+1,MONTH(AH5),DAY(AH5))</f>
        <v>44561</v>
      </c>
      <c r="AN5" s="1368"/>
      <c r="AO5" s="1368"/>
      <c r="AP5" s="1368"/>
      <c r="AQ5" s="1368"/>
      <c r="AR5" s="1368">
        <f>DATE(YEAR(AM5)+1,MONTH(AM5),DAY(AM5))</f>
        <v>44926</v>
      </c>
      <c r="AS5" s="1368"/>
      <c r="AT5" s="1368"/>
      <c r="AU5" s="1368"/>
      <c r="AV5" s="1368"/>
      <c r="AW5" s="1368">
        <f>DATE(YEAR(AR5)+1,MONTH(AR5),DAY(AR5))</f>
        <v>45291</v>
      </c>
      <c r="AX5" s="1368"/>
      <c r="AY5" s="1368"/>
      <c r="AZ5" s="1368"/>
      <c r="BA5" s="1368"/>
      <c r="BB5" s="1369">
        <f>DATE(YEAR(AW5)+1,MONTH(AW5),DAY(AW5))</f>
        <v>45657</v>
      </c>
      <c r="BC5" s="1369"/>
      <c r="BD5" s="1369"/>
      <c r="BE5" s="1369"/>
      <c r="BF5" s="1369"/>
      <c r="BG5" s="1428">
        <f>DATE(YEAR(BB5)+1,MONTH(BB5),DAY(BB5))</f>
        <v>46022</v>
      </c>
      <c r="BH5" s="1429"/>
      <c r="BI5" s="1429"/>
      <c r="BJ5" s="1429"/>
      <c r="BK5" s="1430"/>
      <c r="BL5" s="312">
        <f>DATE(YEAR(BG5)+1,MONTH(BG5),DAY(BG5))</f>
        <v>46387</v>
      </c>
      <c r="BM5" s="312">
        <f>DATE(YEAR(BL5)+1,MONTH(BL5),DAY(BL5))</f>
        <v>46752</v>
      </c>
      <c r="BN5" s="312">
        <f>DATE(YEAR(BM5)+1,MONTH(BM5),DAY(BM5))</f>
        <v>47118</v>
      </c>
    </row>
    <row r="6" spans="1:67" s="45" customFormat="1" ht="1.5" customHeight="1" x14ac:dyDescent="0.2">
      <c r="A6"/>
      <c r="B6"/>
      <c r="C6" s="42" t="s">
        <v>49</v>
      </c>
      <c r="D6" s="42">
        <v>6</v>
      </c>
      <c r="E6" s="42">
        <v>5</v>
      </c>
      <c r="F6" s="42">
        <v>4</v>
      </c>
      <c r="G6" s="42">
        <v>3</v>
      </c>
      <c r="H6" s="42">
        <v>2</v>
      </c>
      <c r="I6" s="42">
        <v>1</v>
      </c>
      <c r="J6" s="42"/>
      <c r="K6" s="42">
        <v>1</v>
      </c>
      <c r="L6" s="42">
        <v>2</v>
      </c>
      <c r="M6" s="42">
        <v>3</v>
      </c>
      <c r="N6" s="42">
        <v>4</v>
      </c>
      <c r="O6" s="42">
        <v>5</v>
      </c>
      <c r="P6" s="1373"/>
      <c r="Q6" s="1373"/>
      <c r="R6" s="42"/>
      <c r="S6" s="43">
        <v>42825</v>
      </c>
      <c r="T6" s="43">
        <f>DATE(YEAR(S6),MONTH(S6)+3,DAY(S6)-1)</f>
        <v>42916</v>
      </c>
      <c r="U6" s="43">
        <f>DATE(YEAR(T6),MONTH(T6)+3,DAY(T6))</f>
        <v>43008</v>
      </c>
      <c r="V6" s="43">
        <f>DATE(YEAR(U6),MONTH(U6)+3,DAY(U6)+1)</f>
        <v>43100</v>
      </c>
      <c r="W6" s="43">
        <f>V6</f>
        <v>43100</v>
      </c>
      <c r="X6" s="43">
        <f>DATE(YEAR(W6),MONTH(W6)+3,DAY(W6))</f>
        <v>43190</v>
      </c>
      <c r="Y6" s="43">
        <f>DATE(YEAR(X6),MONTH(X6)+3,DAY(X6)-1)</f>
        <v>43281</v>
      </c>
      <c r="Z6" s="43">
        <f>DATE(YEAR(Y6),MONTH(Y6)+3,DAY(Y6))</f>
        <v>43373</v>
      </c>
      <c r="AA6" s="43">
        <f>DATE(YEAR(Z6),MONTH(Z6)+3,DAY(Z6)+1)</f>
        <v>43465</v>
      </c>
      <c r="AB6" s="43">
        <f>AA6</f>
        <v>43465</v>
      </c>
      <c r="AC6" s="43">
        <f>DATE(YEAR(AB6),MONTH(AB6)+3,DAY(AB6))</f>
        <v>43555</v>
      </c>
      <c r="AD6" s="43">
        <f>DATE(YEAR(AC6),MONTH(AC6)+3,DAY(AC6)-1)</f>
        <v>43646</v>
      </c>
      <c r="AE6" s="43">
        <f>DATE(YEAR(AD6),MONTH(AD6)+3,DAY(AD6))</f>
        <v>43738</v>
      </c>
      <c r="AF6" s="43">
        <f>DATE(YEAR(AE6),MONTH(AE6)+3,DAY(AE6)+1)</f>
        <v>43830</v>
      </c>
      <c r="AG6" s="43">
        <f>AF6</f>
        <v>43830</v>
      </c>
      <c r="AH6" s="43">
        <f>DATE(YEAR(AG6),MONTH(AG6)+3,DAY(AG6))</f>
        <v>43921</v>
      </c>
      <c r="AI6" s="43">
        <f>DATE(YEAR(AH6),MONTH(AH6)+3,DAY(AH6)-1)</f>
        <v>44012</v>
      </c>
      <c r="AJ6" s="43">
        <f>DATE(YEAR(AI6),MONTH(AI6)+3,DAY(AI6))</f>
        <v>44104</v>
      </c>
      <c r="AK6" s="43">
        <f>DATE(YEAR(AJ6),MONTH(AJ6)+3,DAY(AJ6)+1)</f>
        <v>44196</v>
      </c>
      <c r="AL6" s="43">
        <f>AK6</f>
        <v>44196</v>
      </c>
      <c r="AM6" s="43">
        <f>DATE(YEAR(AL6),MONTH(AL6)+3,DAY(AL6))</f>
        <v>44286</v>
      </c>
      <c r="AN6" s="43">
        <f>DATE(YEAR(AM6),MONTH(AM6)+3,DAY(AM6)-1)</f>
        <v>44377</v>
      </c>
      <c r="AO6" s="43">
        <f>DATE(YEAR(AN6),MONTH(AN6)+3,DAY(AN6))</f>
        <v>44469</v>
      </c>
      <c r="AP6" s="43">
        <f>DATE(YEAR(AO6),MONTH(AO6)+3,DAY(AO6)+1)</f>
        <v>44561</v>
      </c>
      <c r="AQ6" s="43">
        <f>AP6</f>
        <v>44561</v>
      </c>
      <c r="AR6" s="43">
        <f>DATE(YEAR(AQ6),MONTH(AQ6)+3,DAY(AQ6))</f>
        <v>44651</v>
      </c>
      <c r="AS6" s="43">
        <f>DATE(YEAR(AR6),MONTH(AR6)+3,DAY(AR6)-1)</f>
        <v>44742</v>
      </c>
      <c r="AT6" s="43">
        <f>DATE(YEAR(AS6),MONTH(AS6)+3,DAY(AS6))</f>
        <v>44834</v>
      </c>
      <c r="AU6" s="43">
        <f>DATE(YEAR(AT6),MONTH(AT6)+3,DAY(AT6)+1)</f>
        <v>44926</v>
      </c>
      <c r="AV6" s="43">
        <f>AU6</f>
        <v>44926</v>
      </c>
      <c r="AW6" s="43">
        <f>DATE(YEAR(AV6),MONTH(AV6)+3,DAY(AV6))</f>
        <v>45016</v>
      </c>
      <c r="AX6" s="43">
        <f>DATE(YEAR(AW6),MONTH(AW6)+3,DAY(AW6)-1)</f>
        <v>45107</v>
      </c>
      <c r="AY6" s="43">
        <f>DATE(YEAR(AX6),MONTH(AX6)+3,DAY(AX6))</f>
        <v>45199</v>
      </c>
      <c r="AZ6" s="43">
        <f>DATE(YEAR(AY6),MONTH(AY6)+3,DAY(AY6)+1)</f>
        <v>45291</v>
      </c>
      <c r="BA6" s="43">
        <f>AZ6</f>
        <v>45291</v>
      </c>
      <c r="BB6" s="43">
        <f>DATE(YEAR(BA6),MONTH(BA6)+3,DAY(BA6))</f>
        <v>45382</v>
      </c>
      <c r="BC6" s="43">
        <f>DATE(YEAR(BB6),MONTH(BB6)+3,DAY(BB6)-1)</f>
        <v>45473</v>
      </c>
      <c r="BD6" s="43">
        <f>DATE(YEAR(BC6),MONTH(BC6)+3,DAY(BC6))</f>
        <v>45565</v>
      </c>
      <c r="BE6" s="43">
        <f>DATE(YEAR(BD6),MONTH(BD6)+3,DAY(BD6)+1)</f>
        <v>45657</v>
      </c>
      <c r="BF6" s="43">
        <f>BE6</f>
        <v>45657</v>
      </c>
      <c r="BG6" s="43"/>
      <c r="BH6" s="43"/>
      <c r="BI6" s="43"/>
      <c r="BJ6" s="43"/>
      <c r="BK6" s="44"/>
      <c r="BL6" s="44"/>
      <c r="BM6" s="44"/>
      <c r="BN6" s="44"/>
      <c r="BO6" s="44"/>
    </row>
    <row r="7" spans="1:67" s="50" customFormat="1" ht="15" x14ac:dyDescent="0.2">
      <c r="A7"/>
      <c r="B7"/>
      <c r="C7" s="163"/>
      <c r="D7" s="51">
        <f t="shared" ref="D7:I7" si="0">DATE(Base_Year-D6,MONTH(FY_Year_End),DAY(FY_Year_End))</f>
        <v>43100</v>
      </c>
      <c r="E7" s="52">
        <f t="shared" si="0"/>
        <v>43465</v>
      </c>
      <c r="F7" s="52">
        <f t="shared" si="0"/>
        <v>43830</v>
      </c>
      <c r="G7" s="52">
        <f t="shared" si="0"/>
        <v>44196</v>
      </c>
      <c r="H7" s="52">
        <f t="shared" si="0"/>
        <v>44561</v>
      </c>
      <c r="I7" s="52">
        <f t="shared" si="0"/>
        <v>44926</v>
      </c>
      <c r="J7" s="52">
        <f>DATE(Base_Year,MONTH(FY_Year_End),DAY(FY_Year_End))</f>
        <v>45291</v>
      </c>
      <c r="K7" s="53">
        <f>DATE(Base_Year+K6,MONTH(FY_Year_End),DAY(FY_Year_End))</f>
        <v>45657</v>
      </c>
      <c r="L7" s="54">
        <f>DATE(Base_Year+L6,MONTH(FY_Year_End),DAY(FY_Year_End))</f>
        <v>46022</v>
      </c>
      <c r="M7" s="54">
        <f>DATE(Base_Year+M6,MONTH(FY_Year_End),DAY(FY_Year_End))</f>
        <v>46387</v>
      </c>
      <c r="N7" s="54">
        <f>DATE(Base_Year+N6,MONTH(FY_Year_End),DAY(FY_Year_End))</f>
        <v>46752</v>
      </c>
      <c r="O7" s="55">
        <f>DATE(Base_Year+O6,MONTH(FY_Year_End),DAY(FY_Year_End))</f>
        <v>47118</v>
      </c>
      <c r="P7" s="1373"/>
      <c r="Q7" s="1373"/>
      <c r="R7" s="56"/>
      <c r="S7" s="56" t="str">
        <f>TEXT(S5,"YYYY")&amp; " Q"&amp;$K$6</f>
        <v>2017 Q1</v>
      </c>
      <c r="T7" s="57" t="str">
        <f>TEXT(S5,"YYYY")&amp; " Q"&amp;$L$6</f>
        <v>2017 Q2</v>
      </c>
      <c r="U7" s="57" t="str">
        <f>TEXT(S5,"YYYY")&amp; " Q"&amp;$M$6</f>
        <v>2017 Q3</v>
      </c>
      <c r="V7" s="57" t="str">
        <f>TEXT(S5,"YYYY")&amp; " Q"&amp;$N$6</f>
        <v>2017 Q4</v>
      </c>
      <c r="W7" s="57" t="str">
        <f>TEXT(S5,"YYYY")&amp; " FY"</f>
        <v>2017 FY</v>
      </c>
      <c r="X7" s="57" t="str">
        <f>TEXT(X5,"YYYY")&amp; " Q"&amp;$K$6</f>
        <v>2018 Q1</v>
      </c>
      <c r="Y7" s="57" t="str">
        <f>TEXT(X5,"YYYY")&amp; " Q"&amp;$L$6</f>
        <v>2018 Q2</v>
      </c>
      <c r="Z7" s="57" t="str">
        <f>TEXT(X5,"YYYY")&amp; " Q"&amp;$M$6</f>
        <v>2018 Q3</v>
      </c>
      <c r="AA7" s="57" t="str">
        <f>TEXT(X5,"YYYY")&amp; " Q"&amp;$N$6</f>
        <v>2018 Q4</v>
      </c>
      <c r="AB7" s="57" t="str">
        <f>TEXT(X5,"YYYY")&amp; " FY"</f>
        <v>2018 FY</v>
      </c>
      <c r="AC7" s="57" t="str">
        <f>TEXT(AC5,"YYYY")&amp; " Q"&amp;$K$6</f>
        <v>2019 Q1</v>
      </c>
      <c r="AD7" s="57" t="str">
        <f>TEXT(AC5,"YYYY")&amp; " Q"&amp;$L$6</f>
        <v>2019 Q2</v>
      </c>
      <c r="AE7" s="57" t="str">
        <f>TEXT(AC5,"YYYY")&amp; " Q"&amp;$M$6</f>
        <v>2019 Q3</v>
      </c>
      <c r="AF7" s="57" t="str">
        <f>TEXT(AC5,"YYYY")&amp; " Q"&amp;$N$6</f>
        <v>2019 Q4</v>
      </c>
      <c r="AG7" s="57" t="str">
        <f>TEXT(AC5,"YYYY")&amp; " FY"</f>
        <v>2019 FY</v>
      </c>
      <c r="AH7" s="57" t="str">
        <f>TEXT(AH5,"YYYY")&amp; " Q"&amp;$K$6</f>
        <v>2020 Q1</v>
      </c>
      <c r="AI7" s="57" t="str">
        <f>TEXT(AH5,"YYYY")&amp; " Q"&amp;$L$6</f>
        <v>2020 Q2</v>
      </c>
      <c r="AJ7" s="57" t="str">
        <f>TEXT(AH5,"YYYY")&amp; " Q"&amp;$M$6</f>
        <v>2020 Q3</v>
      </c>
      <c r="AK7" s="57" t="str">
        <f>TEXT(AH5,"YYYY")&amp; " Q"&amp;$N$6</f>
        <v>2020 Q4</v>
      </c>
      <c r="AL7" s="57" t="str">
        <f>TEXT(AH5,"YYYY")&amp; " FY"</f>
        <v>2020 FY</v>
      </c>
      <c r="AM7" s="57" t="str">
        <f>TEXT(AM5,"YYYY")&amp; " Q"&amp;$K$6</f>
        <v>2021 Q1</v>
      </c>
      <c r="AN7" s="57" t="str">
        <f>TEXT(AM5,"YYYY")&amp; " Q"&amp;$L$6</f>
        <v>2021 Q2</v>
      </c>
      <c r="AO7" s="57" t="str">
        <f>TEXT(AM5,"YYYY")&amp; " Q"&amp;$M$6</f>
        <v>2021 Q3</v>
      </c>
      <c r="AP7" s="57" t="str">
        <f>TEXT(AM5,"YYYY")&amp; " Q"&amp;$N$6</f>
        <v>2021 Q4</v>
      </c>
      <c r="AQ7" s="57" t="str">
        <f>TEXT(AM5,"YYYY")&amp; " FY"</f>
        <v>2021 FY</v>
      </c>
      <c r="AR7" s="57" t="str">
        <f>TEXT(AR5,"YYYY")&amp; " Q"&amp;$K$6</f>
        <v>2022 Q1</v>
      </c>
      <c r="AS7" s="57" t="str">
        <f>TEXT(AR5,"YYYY")&amp; " Q"&amp;$L$6</f>
        <v>2022 Q2</v>
      </c>
      <c r="AT7" s="57" t="str">
        <f>TEXT(AR5,"YYYY")&amp; " Q"&amp;$M$6</f>
        <v>2022 Q3</v>
      </c>
      <c r="AU7" s="57" t="str">
        <f>TEXT(AR5,"YYYY")&amp; " Q"&amp;$N$6</f>
        <v>2022 Q4</v>
      </c>
      <c r="AV7" s="57" t="str">
        <f>TEXT(AR5,"YYYY")&amp; " FY"</f>
        <v>2022 FY</v>
      </c>
      <c r="AW7" s="57" t="str">
        <f>TEXT(AW5,"YYYY")&amp; " Q"&amp;$K$6</f>
        <v>2023 Q1</v>
      </c>
      <c r="AX7" s="57" t="str">
        <f>TEXT(AW5,"YYYY")&amp; " Q"&amp;$L$6</f>
        <v>2023 Q2</v>
      </c>
      <c r="AY7" s="57" t="str">
        <f>TEXT(AW5,"YYYY")&amp; " Q"&amp;$M$6</f>
        <v>2023 Q3</v>
      </c>
      <c r="AZ7" s="57" t="str">
        <f>TEXT(AW5,"YYYY")&amp; " Q"&amp;$N$6</f>
        <v>2023 Q4</v>
      </c>
      <c r="BA7" s="57" t="str">
        <f>TEXT(AW5,"YYYY")&amp; " FY"</f>
        <v>2023 FY</v>
      </c>
      <c r="BB7" s="57" t="str">
        <f>TEXT(BB5,"YYYY")&amp; " Q"&amp;$K$6</f>
        <v>2024 Q1</v>
      </c>
      <c r="BC7" s="57" t="str">
        <f>TEXT(BB5,"YYYY")&amp; " Q"&amp;$L$6</f>
        <v>2024 Q2</v>
      </c>
      <c r="BD7" s="57" t="str">
        <f>TEXT(BB5,"YYYY")&amp; " Q"&amp;$M$6</f>
        <v>2024 Q3</v>
      </c>
      <c r="BE7" s="58" t="str">
        <f>TEXT(BB5,"YYYY")&amp; " Q"&amp;$N$6</f>
        <v>2024 Q4</v>
      </c>
      <c r="BF7" s="58" t="str">
        <f>TEXT(BB5,"YYYY")&amp; " FY"</f>
        <v>2024 FY</v>
      </c>
      <c r="BG7" s="58" t="str">
        <f>TEXT(BG5,"YYYY")&amp; " Q1"</f>
        <v>2025 Q1</v>
      </c>
      <c r="BH7" s="58" t="str">
        <f>TEXT(BG5,"YYYY")&amp; " Q2"</f>
        <v>2025 Q2</v>
      </c>
      <c r="BI7" s="58" t="str">
        <f>TEXT(BG5,"YYYY")&amp; " Q3"</f>
        <v>2025 Q3</v>
      </c>
      <c r="BJ7" s="58" t="str">
        <f>TEXT(BG5,"YYYY")&amp; " Q4"</f>
        <v>2025 Q4</v>
      </c>
      <c r="BK7" s="58" t="str">
        <f>TEXT(BG5,"YYYY")&amp; " FY"</f>
        <v>2025 FY</v>
      </c>
      <c r="BL7" s="58" t="str">
        <f>TEXT(BL5,"YYYY")&amp; " FY"</f>
        <v>2026 FY</v>
      </c>
      <c r="BM7" s="58" t="str">
        <f>TEXT(BM5,"YYYY")&amp; " FY"</f>
        <v>2027 FY</v>
      </c>
      <c r="BN7" s="58" t="str">
        <f>TEXT(BN5,"YYYY")&amp; " FY"</f>
        <v>2028 FY</v>
      </c>
    </row>
    <row r="8" spans="1:67" ht="14.1" customHeight="1" x14ac:dyDescent="0.2">
      <c r="C8" s="216" t="s">
        <v>187</v>
      </c>
      <c r="D8" s="130"/>
      <c r="E8" s="130"/>
      <c r="F8" s="130"/>
      <c r="G8" s="130"/>
      <c r="H8" s="130"/>
      <c r="I8" s="130"/>
      <c r="J8" s="887"/>
      <c r="K8" s="919"/>
      <c r="L8" s="919"/>
      <c r="M8" s="919"/>
      <c r="N8" s="919"/>
      <c r="O8" s="920"/>
      <c r="R8" s="216" t="str">
        <f t="shared" ref="R8:R18" si="1">C8</f>
        <v>Capital Structure Values:</v>
      </c>
      <c r="S8" s="130"/>
      <c r="T8" s="130"/>
      <c r="U8" s="130"/>
      <c r="V8" s="130"/>
      <c r="W8" s="130"/>
      <c r="X8" s="130"/>
      <c r="Y8" s="130"/>
      <c r="Z8" s="130"/>
      <c r="AA8" s="130"/>
      <c r="AB8" s="130"/>
      <c r="AC8" s="130"/>
      <c r="AD8" s="130"/>
      <c r="AE8" s="130"/>
      <c r="AF8" s="130"/>
      <c r="AG8" s="130"/>
      <c r="AH8" s="130"/>
      <c r="AI8" s="130"/>
      <c r="AJ8" s="130"/>
      <c r="AK8" s="130"/>
      <c r="AL8" s="130"/>
      <c r="AM8" s="130"/>
      <c r="AN8" s="130"/>
      <c r="AO8" s="130"/>
      <c r="AP8" s="130"/>
      <c r="AQ8" s="130"/>
      <c r="AR8" s="130"/>
      <c r="AS8" s="130"/>
      <c r="AT8" s="130"/>
      <c r="AU8" s="130"/>
      <c r="AV8" s="130"/>
      <c r="AW8" s="130"/>
      <c r="AX8" s="130"/>
      <c r="AY8" s="130"/>
      <c r="AZ8" s="130"/>
      <c r="BA8" s="130"/>
      <c r="BB8" s="130"/>
      <c r="BC8" s="130"/>
      <c r="BD8" s="130"/>
      <c r="BE8" s="130"/>
      <c r="BF8" s="130"/>
      <c r="BG8" s="130"/>
      <c r="BH8" s="130"/>
      <c r="BI8" s="130"/>
      <c r="BJ8" s="130"/>
      <c r="BN8" s="200"/>
    </row>
    <row r="9" spans="1:67" s="161" customFormat="1" ht="14.1" customHeight="1" x14ac:dyDescent="0.2">
      <c r="A9"/>
      <c r="B9"/>
      <c r="C9" s="205" t="s">
        <v>188</v>
      </c>
      <c r="D9" s="188">
        <f>_xlfn.XLOOKUP(D7,Data!$B$39:$B$2305,Data!$C$39:$C$2305,,-1)</f>
        <v>70.75</v>
      </c>
      <c r="E9" s="188">
        <f>_xlfn.XLOOKUP(E7,Data!$B$39:$B$2305,Data!$C$39:$C$2305,,-1)</f>
        <v>55.82</v>
      </c>
      <c r="F9" s="188">
        <f>_xlfn.XLOOKUP(F7,Data!$B$39:$B$2305,Data!$C$39:$C$2305,,-1)</f>
        <v>93.12</v>
      </c>
      <c r="G9" s="188">
        <f>_xlfn.XLOOKUP(G7,Data!$B$39:$B$2305,Data!$C$39:$C$2305,,-1)</f>
        <v>180.8</v>
      </c>
      <c r="H9" s="188">
        <f>_xlfn.XLOOKUP(H7,Data!$B$39:$B$2305,Data!$C$39:$C$2305,,-1)</f>
        <v>337.03</v>
      </c>
      <c r="I9" s="188">
        <f>_xlfn.XLOOKUP(I7,Data!$B$39:$B$2305,Data!$C$39:$C$2305,,-1)</f>
        <v>209.68</v>
      </c>
      <c r="J9" s="888">
        <f>_xlfn.XLOOKUP(J7,Data!$B$39:$B$2305,Data!$C$39:$C$2305,,-1)</f>
        <v>438.22</v>
      </c>
      <c r="K9" s="188"/>
      <c r="L9" s="188"/>
      <c r="M9" s="188"/>
      <c r="N9" s="188"/>
      <c r="O9" s="921"/>
      <c r="R9" s="205" t="str">
        <f t="shared" si="1"/>
        <v>Market Share Price</v>
      </c>
      <c r="S9" s="188">
        <f>_xlfn.XLOOKUP(S6,Data!$B$39:$B$2305,Data!$C$39:$C$2305,,-1)</f>
        <v>44.3</v>
      </c>
      <c r="T9" s="188">
        <f>_xlfn.XLOOKUP(T6,Data!$B$39:$B$2305,Data!$C$39:$C$2305,,-1)</f>
        <v>51.3</v>
      </c>
      <c r="U9" s="188">
        <f>_xlfn.XLOOKUP(U6,Data!$B$39:$B$2305,Data!$C$39:$C$2305,,-1)</f>
        <v>62.65</v>
      </c>
      <c r="V9" s="188">
        <f>_xlfn.XLOOKUP(V6,Data!$B$39:$B$2305,Data!$C$39:$C$2305,,-1)</f>
        <v>70.75</v>
      </c>
      <c r="W9" s="188">
        <f>_xlfn.XLOOKUP(W6,Data!$B$39:$B$2305,Data!$C$39:$C$2305,,-1)</f>
        <v>70.75</v>
      </c>
      <c r="X9" s="188">
        <f>_xlfn.XLOOKUP(X6,Data!$B$39:$B$2305,Data!$C$39:$C$2305,,-1)</f>
        <v>75.150000000000006</v>
      </c>
      <c r="Y9" s="188">
        <f>_xlfn.XLOOKUP(Y6,Data!$B$39:$B$2305,Data!$C$39:$C$2305,,-1)</f>
        <v>80.849999999999994</v>
      </c>
      <c r="Z9" s="188">
        <f>_xlfn.XLOOKUP(Z6,Data!$B$39:$B$2305,Data!$C$39:$C$2305,,-1)</f>
        <v>76.45</v>
      </c>
      <c r="AA9" s="188">
        <f>_xlfn.XLOOKUP(AA6,Data!$B$39:$B$2305,Data!$C$39:$C$2305,,-1)</f>
        <v>55.82</v>
      </c>
      <c r="AB9" s="188">
        <f>_xlfn.XLOOKUP(AB6,Data!$B$39:$B$2305,Data!$C$39:$C$2305,,-1)</f>
        <v>55.82</v>
      </c>
      <c r="AC9" s="188">
        <f>_xlfn.XLOOKUP(AC6,Data!$B$39:$B$2305,Data!$C$39:$C$2305,,-1)</f>
        <v>61.1</v>
      </c>
      <c r="AD9" s="188">
        <f>_xlfn.XLOOKUP(AD6,Data!$B$39:$B$2305,Data!$C$39:$C$2305,,-1)</f>
        <v>64.67</v>
      </c>
      <c r="AE9" s="188">
        <f>_xlfn.XLOOKUP(AE6,Data!$B$39:$B$2305,Data!$C$39:$C$2305,,-1)</f>
        <v>93.7</v>
      </c>
      <c r="AF9" s="188">
        <f>_xlfn.XLOOKUP(AF6,Data!$B$39:$B$2305,Data!$C$39:$C$2305,,-1)</f>
        <v>93.12</v>
      </c>
      <c r="AG9" s="188">
        <f>_xlfn.XLOOKUP(AG6,Data!$B$39:$B$2305,Data!$C$39:$C$2305,,-1)</f>
        <v>93.12</v>
      </c>
      <c r="AH9" s="188">
        <f>_xlfn.XLOOKUP(AH6,Data!$B$39:$B$2305,Data!$C$39:$C$2305,,-1)</f>
        <v>73.540000000000006</v>
      </c>
      <c r="AI9" s="188">
        <f>_xlfn.XLOOKUP(AI6,Data!$B$39:$B$2305,Data!$C$39:$C$2305,,-1)</f>
        <v>111.18</v>
      </c>
      <c r="AJ9" s="188">
        <f>_xlfn.XLOOKUP(AJ6,Data!$B$39:$B$2305,Data!$C$39:$C$2305,,-1)</f>
        <v>126.14</v>
      </c>
      <c r="AK9" s="188">
        <f>_xlfn.XLOOKUP(AK6,Data!$B$39:$B$2305,Data!$C$39:$C$2305,,-1)</f>
        <v>180.8</v>
      </c>
      <c r="AL9" s="188">
        <f>_xlfn.XLOOKUP(AL6,Data!$B$39:$B$2305,Data!$C$39:$C$2305,,-1)</f>
        <v>180.8</v>
      </c>
      <c r="AM9" s="188">
        <f>_xlfn.XLOOKUP(AM6,Data!$B$39:$B$2305,Data!$C$39:$C$2305,,-1)</f>
        <v>230.58</v>
      </c>
      <c r="AN9" s="188">
        <f>_xlfn.XLOOKUP(AN6,Data!$B$39:$B$2305,Data!$C$39:$C$2305,,-1)</f>
        <v>209.49</v>
      </c>
      <c r="AO9" s="188">
        <f>_xlfn.XLOOKUP(AO6,Data!$B$39:$B$2305,Data!$C$39:$C$2305,,-1)</f>
        <v>238.03</v>
      </c>
      <c r="AP9" s="188">
        <f>_xlfn.XLOOKUP(AP6,Data!$B$39:$B$2305,Data!$C$39:$C$2305,,-1)</f>
        <v>337.03</v>
      </c>
      <c r="AQ9" s="188">
        <f>_xlfn.XLOOKUP(AQ6,Data!$B$39:$B$2305,Data!$C$39:$C$2305,,-1)</f>
        <v>337.03</v>
      </c>
      <c r="AR9" s="188">
        <f>_xlfn.XLOOKUP(AR6,Data!$B$39:$B$2305,Data!$C$39:$C$2305,,-1)</f>
        <v>243.82</v>
      </c>
      <c r="AS9" s="188">
        <f>_xlfn.XLOOKUP(AS6,Data!$B$39:$B$2305,Data!$C$39:$C$2305,,-1)</f>
        <v>188</v>
      </c>
      <c r="AT9" s="188">
        <f>_xlfn.XLOOKUP(AT6,Data!$B$39:$B$2305,Data!$C$39:$C$2305,,-1)</f>
        <v>190</v>
      </c>
      <c r="AU9" s="188">
        <f>_xlfn.XLOOKUP(AU6,Data!$B$39:$B$2305,Data!$C$39:$C$2305,,-1)</f>
        <v>209.68</v>
      </c>
      <c r="AV9" s="188">
        <f>_xlfn.XLOOKUP(AV6,Data!$B$39:$B$2305,Data!$C$39:$C$2305,,-1)</f>
        <v>209.68</v>
      </c>
      <c r="AW9" s="188">
        <f>_xlfn.XLOOKUP(AW6,Data!$B$39:$B$2305,Data!$C$39:$C$2305,,-1)</f>
        <v>272.08</v>
      </c>
      <c r="AX9" s="188">
        <f>_xlfn.XLOOKUP(AX6,Data!$B$39:$B$2305,Data!$C$39:$C$2305,,-1)</f>
        <v>342.41</v>
      </c>
      <c r="AY9" s="188">
        <f>_xlfn.XLOOKUP(AY6,Data!$B$39:$B$2305,Data!$C$39:$C$2305,,-1)</f>
        <v>398.65</v>
      </c>
      <c r="AZ9" s="188">
        <f>_xlfn.XLOOKUP(AZ6,Data!$B$39:$B$2305,Data!$C$39:$C$2305,,-1)</f>
        <v>438.22</v>
      </c>
      <c r="BA9" s="188">
        <f>_xlfn.XLOOKUP(BA6,Data!$B$39:$B$2305,Data!$C$39:$C$2305,,-1)</f>
        <v>438.22</v>
      </c>
      <c r="BB9" s="188">
        <f>_xlfn.XLOOKUP(BB6,Data!$B$39:$B$2305,Data!$C$39:$C$2305,,-1)</f>
        <v>585</v>
      </c>
      <c r="BC9" s="188">
        <f>_xlfn.XLOOKUP(BC6,Data!$B$39:$B$2305,Data!$C$39:$C$2305,,-1)</f>
        <v>474.29</v>
      </c>
      <c r="BD9" s="188">
        <f>_xlfn.XLOOKUP(BD6,Data!$B$39:$B$2305,Data!$C$39:$C$2305,,-1)</f>
        <v>437.26</v>
      </c>
      <c r="BE9" s="188">
        <f>_xlfn.XLOOKUP(BE6,Data!$B$39:$B$2305,Data!$C$39:$C$2305,,-1)</f>
        <v>455.73</v>
      </c>
      <c r="BF9" s="188">
        <f>_xlfn.XLOOKUP(BF6,Data!$B$39:$B$2305,Data!$C$39:$C$2305,,-1)</f>
        <v>455.73</v>
      </c>
      <c r="BN9" s="218"/>
    </row>
    <row r="10" spans="1:67" ht="0.6" customHeight="1" x14ac:dyDescent="0.2">
      <c r="C10" s="208"/>
      <c r="J10" s="889"/>
      <c r="K10" s="743"/>
      <c r="L10" s="743"/>
      <c r="M10" s="743"/>
      <c r="N10" s="743"/>
      <c r="O10" s="922"/>
      <c r="R10" s="205">
        <f t="shared" si="1"/>
        <v>0</v>
      </c>
      <c r="BN10" s="200"/>
    </row>
    <row r="11" spans="1:67" s="189" customFormat="1" ht="14.1" customHeight="1" x14ac:dyDescent="0.2">
      <c r="A11"/>
      <c r="B11"/>
      <c r="C11" s="208" t="s">
        <v>40</v>
      </c>
      <c r="D11" s="189">
        <f>W11</f>
        <v>25.381307</v>
      </c>
      <c r="E11" s="189">
        <f>AB11</f>
        <v>25.550037</v>
      </c>
      <c r="F11" s="189">
        <f>AG11</f>
        <v>25.792545</v>
      </c>
      <c r="G11" s="189">
        <f>AL11</f>
        <v>26.144682</v>
      </c>
      <c r="H11" s="189">
        <f>AQ11</f>
        <v>26.241962000000001</v>
      </c>
      <c r="I11" s="189">
        <f>AV11</f>
        <v>26.394214999999999</v>
      </c>
      <c r="J11" s="943">
        <f>BA11</f>
        <v>26.479700000000001</v>
      </c>
      <c r="K11" s="743"/>
      <c r="L11" s="743"/>
      <c r="M11" s="743"/>
      <c r="N11" s="743"/>
      <c r="O11" s="922"/>
      <c r="R11" s="476" t="str">
        <f t="shared" si="1"/>
        <v>Shares Outstanding on Balance Sheet Date</v>
      </c>
      <c r="S11" s="189" cm="1">
        <f t="array" ref="S11:BD11">IF(C11&lt;&gt;"Shares Outstanding on Filing Date",TRANSPOSE(Data!K40:K77),TRANSPOSE(Data!J40:J77))</f>
        <v>25.276608</v>
      </c>
      <c r="T11" s="189">
        <v>25.278472000000001</v>
      </c>
      <c r="U11" s="189">
        <v>25.319481</v>
      </c>
      <c r="V11" s="189">
        <v>25.381307</v>
      </c>
      <c r="W11" s="189">
        <v>25.381307</v>
      </c>
      <c r="X11" s="189">
        <v>25.520036000000001</v>
      </c>
      <c r="Y11" s="189">
        <v>25.536853000000001</v>
      </c>
      <c r="Z11" s="189">
        <v>25.552769000000001</v>
      </c>
      <c r="AA11" s="189">
        <v>25.550037</v>
      </c>
      <c r="AB11" s="189">
        <v>25.550037</v>
      </c>
      <c r="AC11" s="189">
        <v>25.745640000000002</v>
      </c>
      <c r="AD11" s="189">
        <v>25.757598000000002</v>
      </c>
      <c r="AE11" s="189">
        <v>25.791549</v>
      </c>
      <c r="AF11" s="189">
        <v>25.792545</v>
      </c>
      <c r="AG11" s="189">
        <v>25.792545</v>
      </c>
      <c r="AH11" s="189">
        <v>25.906451000000001</v>
      </c>
      <c r="AI11" s="189">
        <v>25.993853999999999</v>
      </c>
      <c r="AJ11" s="189">
        <v>26.002063</v>
      </c>
      <c r="AK11" s="189">
        <v>26.144682</v>
      </c>
      <c r="AL11" s="189">
        <v>26.144682</v>
      </c>
      <c r="AM11" s="189">
        <v>26.238803999999998</v>
      </c>
      <c r="AN11" s="189">
        <v>26.239668000000002</v>
      </c>
      <c r="AO11" s="189">
        <v>26.241150999999999</v>
      </c>
      <c r="AP11" s="189">
        <v>26.241962000000001</v>
      </c>
      <c r="AQ11" s="189">
        <v>26.241962000000001</v>
      </c>
      <c r="AR11" s="189">
        <v>26.328227999999999</v>
      </c>
      <c r="AS11" s="189">
        <v>26.328538999999999</v>
      </c>
      <c r="AT11" s="189">
        <v>26.391884999999998</v>
      </c>
      <c r="AU11" s="189">
        <v>26.394214999999999</v>
      </c>
      <c r="AV11" s="189">
        <v>26.394214999999999</v>
      </c>
      <c r="AW11" s="189">
        <v>26.461966</v>
      </c>
      <c r="AX11" s="189">
        <v>26.464939999999999</v>
      </c>
      <c r="AY11" s="189">
        <v>26.478255000000001</v>
      </c>
      <c r="AZ11" s="189">
        <v>26.479700000000001</v>
      </c>
      <c r="BA11" s="189">
        <v>26.479700000000001</v>
      </c>
      <c r="BB11" s="189">
        <v>26.518750000000001</v>
      </c>
      <c r="BC11" s="189">
        <v>26.518611</v>
      </c>
      <c r="BD11" s="189">
        <v>26.524515000000001</v>
      </c>
      <c r="BN11" s="219"/>
    </row>
    <row r="12" spans="1:67" ht="14.1" customHeight="1" x14ac:dyDescent="0.2">
      <c r="C12" s="220" t="s">
        <v>189</v>
      </c>
      <c r="D12" s="118">
        <f>D9*D11</f>
        <v>1795.7274702499999</v>
      </c>
      <c r="E12" s="118">
        <f t="shared" ref="E12:J12" si="2">E9*E11</f>
        <v>1426.20306534</v>
      </c>
      <c r="F12" s="118">
        <f t="shared" si="2"/>
        <v>2401.8017904000003</v>
      </c>
      <c r="G12" s="118">
        <f t="shared" si="2"/>
        <v>4726.9585056000005</v>
      </c>
      <c r="H12" s="118">
        <f t="shared" si="2"/>
        <v>8844.3284528599997</v>
      </c>
      <c r="I12" s="118">
        <f t="shared" si="2"/>
        <v>5534.3390012</v>
      </c>
      <c r="J12" s="890">
        <f t="shared" si="2"/>
        <v>11603.934134000001</v>
      </c>
      <c r="K12" s="743"/>
      <c r="L12" s="743"/>
      <c r="M12" s="743"/>
      <c r="N12" s="743"/>
      <c r="O12" s="922"/>
      <c r="R12" s="477" t="str">
        <f t="shared" si="1"/>
        <v>Market Capitalization</v>
      </c>
      <c r="S12" s="118">
        <f t="shared" ref="S12:BF12" si="3">S9*S11</f>
        <v>1119.7537344</v>
      </c>
      <c r="T12" s="118">
        <f t="shared" si="3"/>
        <v>1296.7856136</v>
      </c>
      <c r="U12" s="118">
        <f t="shared" si="3"/>
        <v>1586.26548465</v>
      </c>
      <c r="V12" s="118">
        <f t="shared" si="3"/>
        <v>1795.7274702499999</v>
      </c>
      <c r="W12" s="118">
        <f t="shared" si="3"/>
        <v>1795.7274702499999</v>
      </c>
      <c r="X12" s="118">
        <f t="shared" si="3"/>
        <v>1917.8307054000002</v>
      </c>
      <c r="Y12" s="118">
        <f t="shared" si="3"/>
        <v>2064.6545650499997</v>
      </c>
      <c r="Z12" s="118">
        <f t="shared" si="3"/>
        <v>1953.5091900500001</v>
      </c>
      <c r="AA12" s="118">
        <f t="shared" si="3"/>
        <v>1426.20306534</v>
      </c>
      <c r="AB12" s="118">
        <f t="shared" si="3"/>
        <v>1426.20306534</v>
      </c>
      <c r="AC12" s="118">
        <f t="shared" si="3"/>
        <v>1573.0586040000001</v>
      </c>
      <c r="AD12" s="118">
        <f t="shared" si="3"/>
        <v>1665.7438626600001</v>
      </c>
      <c r="AE12" s="118">
        <f t="shared" si="3"/>
        <v>2416.6681413000001</v>
      </c>
      <c r="AF12" s="118">
        <f t="shared" si="3"/>
        <v>2401.8017904000003</v>
      </c>
      <c r="AG12" s="118">
        <f t="shared" si="3"/>
        <v>2401.8017904000003</v>
      </c>
      <c r="AH12" s="118">
        <f t="shared" si="3"/>
        <v>1905.1604065400002</v>
      </c>
      <c r="AI12" s="118">
        <f t="shared" si="3"/>
        <v>2889.99668772</v>
      </c>
      <c r="AJ12" s="118">
        <f t="shared" si="3"/>
        <v>3279.9002268200002</v>
      </c>
      <c r="AK12" s="118">
        <f t="shared" si="3"/>
        <v>4726.9585056000005</v>
      </c>
      <c r="AL12" s="118">
        <f t="shared" si="3"/>
        <v>4726.9585056000005</v>
      </c>
      <c r="AM12" s="118">
        <f t="shared" si="3"/>
        <v>6050.1434263199999</v>
      </c>
      <c r="AN12" s="118">
        <f t="shared" si="3"/>
        <v>5496.9480493200008</v>
      </c>
      <c r="AO12" s="118">
        <f t="shared" si="3"/>
        <v>6246.1811725299995</v>
      </c>
      <c r="AP12" s="118">
        <f t="shared" si="3"/>
        <v>8844.3284528599997</v>
      </c>
      <c r="AQ12" s="118">
        <f t="shared" si="3"/>
        <v>8844.3284528599997</v>
      </c>
      <c r="AR12" s="118">
        <f t="shared" si="3"/>
        <v>6419.3485509599996</v>
      </c>
      <c r="AS12" s="118">
        <f t="shared" si="3"/>
        <v>4949.7653319999999</v>
      </c>
      <c r="AT12" s="118">
        <f t="shared" si="3"/>
        <v>5014.4581499999995</v>
      </c>
      <c r="AU12" s="118">
        <f t="shared" si="3"/>
        <v>5534.3390012</v>
      </c>
      <c r="AV12" s="118">
        <f t="shared" si="3"/>
        <v>5534.3390012</v>
      </c>
      <c r="AW12" s="118">
        <f t="shared" si="3"/>
        <v>7199.7717092799994</v>
      </c>
      <c r="AX12" s="118">
        <f t="shared" si="3"/>
        <v>9061.860105400001</v>
      </c>
      <c r="AY12" s="118">
        <f t="shared" si="3"/>
        <v>10555.556355749999</v>
      </c>
      <c r="AZ12" s="118">
        <f t="shared" si="3"/>
        <v>11603.934134000001</v>
      </c>
      <c r="BA12" s="118">
        <f t="shared" si="3"/>
        <v>11603.934134000001</v>
      </c>
      <c r="BB12" s="118">
        <f t="shared" si="3"/>
        <v>15513.46875</v>
      </c>
      <c r="BC12" s="118">
        <f t="shared" si="3"/>
        <v>12577.51201119</v>
      </c>
      <c r="BD12" s="118">
        <f t="shared" si="3"/>
        <v>11598.109428899999</v>
      </c>
      <c r="BE12" s="118">
        <f t="shared" si="3"/>
        <v>0</v>
      </c>
      <c r="BF12" s="118">
        <f t="shared" si="3"/>
        <v>0</v>
      </c>
      <c r="BN12" s="200"/>
    </row>
    <row r="13" spans="1:67" ht="14.1" customHeight="1" x14ac:dyDescent="0.2">
      <c r="C13" s="207" t="s">
        <v>190</v>
      </c>
      <c r="D13" s="114">
        <f>IFERROR('Balance Sheet'!D28+'Balance Sheet'!D29+'Balance Sheet'!D30+'Balance Sheet'!D37+'Balance Sheet'!D38,"NM")</f>
        <v>132.916</v>
      </c>
      <c r="E13" s="114">
        <f>IFERROR('Balance Sheet'!E28+'Balance Sheet'!E29+'Balance Sheet'!E30+'Balance Sheet'!E37+'Balance Sheet'!E38,"NM")</f>
        <v>122.85900000000001</v>
      </c>
      <c r="F13" s="114">
        <f>IFERROR('Balance Sheet'!F28+'Balance Sheet'!F29+'Balance Sheet'!F30+'Balance Sheet'!F37+'Balance Sheet'!F38,"NM")</f>
        <v>241.68910000000002</v>
      </c>
      <c r="G13" s="114">
        <f>IFERROR('Balance Sheet'!G28+'Balance Sheet'!G29+'Balance Sheet'!G30+'Balance Sheet'!G37+'Balance Sheet'!G38,"NM")</f>
        <v>186.506</v>
      </c>
      <c r="H13" s="114">
        <f>IFERROR('Balance Sheet'!H28+'Balance Sheet'!H29+'Balance Sheet'!H30+'Balance Sheet'!H37+'Balance Sheet'!H38,"NM")</f>
        <v>160.37799999999999</v>
      </c>
      <c r="I13" s="114">
        <f>IFERROR('Balance Sheet'!I28+'Balance Sheet'!I29+'Balance Sheet'!I30+'Balance Sheet'!I37+'Balance Sheet'!I38,"NM")</f>
        <v>154.51400000000001</v>
      </c>
      <c r="J13" s="889">
        <f>IFERROR('Balance Sheet'!J28+'Balance Sheet'!J29+'Balance Sheet'!J30+'Balance Sheet'!J37+'Balance Sheet'!J38,"NM")</f>
        <v>138.70699999999999</v>
      </c>
      <c r="K13" s="114">
        <f>IFERROR('Balance Sheet'!K28+'Balance Sheet'!K29+'Balance Sheet'!K30+'Balance Sheet'!K37+'Balance Sheet'!K38,"NM")</f>
        <v>307.38771106673875</v>
      </c>
      <c r="L13" s="114">
        <f>IFERROR('Balance Sheet'!L28+'Balance Sheet'!L29+'Balance Sheet'!L30+'Balance Sheet'!L37+'Balance Sheet'!L38,"NM")</f>
        <v>367.98972135792729</v>
      </c>
      <c r="M13" s="114">
        <f>IFERROR('Balance Sheet'!M28+'Balance Sheet'!M29+'Balance Sheet'!M30+'Balance Sheet'!M37+'Balance Sheet'!M38,"NM")</f>
        <v>345.45486973374904</v>
      </c>
      <c r="N13" s="114">
        <f>IFERROR('Balance Sheet'!N28+'Balance Sheet'!N29+'Balance Sheet'!N30+'Balance Sheet'!N37+'Balance Sheet'!N38,"NM")</f>
        <v>353.96997242316269</v>
      </c>
      <c r="O13" s="200">
        <f>IFERROR('Balance Sheet'!O28+'Balance Sheet'!O29+'Balance Sheet'!O30+'Balance Sheet'!O37+'Balance Sheet'!O38,"NM")</f>
        <v>381.6735569918369</v>
      </c>
      <c r="R13" s="208" t="str">
        <f t="shared" si="1"/>
        <v>Debt Value</v>
      </c>
      <c r="S13" s="114">
        <f>IFERROR('Balance Sheet'!S28+'Balance Sheet'!S29+'Balance Sheet'!S30+'Balance Sheet'!S37+'Balance Sheet'!S38,"NM")</f>
        <v>137.738</v>
      </c>
      <c r="T13" s="114">
        <f>IFERROR('Balance Sheet'!T28+'Balance Sheet'!T29+'Balance Sheet'!T30+'Balance Sheet'!T37+'Balance Sheet'!T38,"NM")</f>
        <v>148.36800000000002</v>
      </c>
      <c r="U13" s="114">
        <f>IFERROR('Balance Sheet'!U28+'Balance Sheet'!U29+'Balance Sheet'!U30+'Balance Sheet'!U37+'Balance Sheet'!U38,"NM")</f>
        <v>127.233</v>
      </c>
      <c r="V13" s="114">
        <f>IFERROR('Balance Sheet'!V28+'Balance Sheet'!V29+'Balance Sheet'!V30+'Balance Sheet'!V37+'Balance Sheet'!V38,"NM")</f>
        <v>132.916</v>
      </c>
      <c r="W13" s="114">
        <f>IFERROR('Balance Sheet'!W28+'Balance Sheet'!W29+'Balance Sheet'!W30+'Balance Sheet'!W37+'Balance Sheet'!W38,"NM")</f>
        <v>132.916</v>
      </c>
      <c r="X13" s="114">
        <f>IFERROR('Balance Sheet'!X28+'Balance Sheet'!X29+'Balance Sheet'!X30+'Balance Sheet'!X37+'Balance Sheet'!X38,"NM")</f>
        <v>142.57300000000001</v>
      </c>
      <c r="Y13" s="114">
        <f>IFERROR('Balance Sheet'!Y28+'Balance Sheet'!Y29+'Balance Sheet'!Y30+'Balance Sheet'!Y37+'Balance Sheet'!Y38,"NM")</f>
        <v>155</v>
      </c>
      <c r="Z13" s="114">
        <f>IFERROR('Balance Sheet'!Z28+'Balance Sheet'!Z29+'Balance Sheet'!Z30+'Balance Sheet'!Z37+'Balance Sheet'!Z38,"NM")</f>
        <v>121.337</v>
      </c>
      <c r="AA13" s="114">
        <f>IFERROR('Balance Sheet'!AA28+'Balance Sheet'!AA29+'Balance Sheet'!AA30+'Balance Sheet'!AA37+'Balance Sheet'!AA38,"NM")</f>
        <v>122.85900000000001</v>
      </c>
      <c r="AB13" s="114">
        <f>IFERROR('Balance Sheet'!AB28+'Balance Sheet'!AB29+'Balance Sheet'!AB30+'Balance Sheet'!AB37+'Balance Sheet'!AB38,"NM")</f>
        <v>122.85900000000001</v>
      </c>
      <c r="AC13" s="114">
        <f>IFERROR('Balance Sheet'!AC28+'Balance Sheet'!AC29+'Balance Sheet'!AC30+'Balance Sheet'!AC37+'Balance Sheet'!AC38,"NM")</f>
        <v>224.303</v>
      </c>
      <c r="AD13" s="114">
        <f>IFERROR('Balance Sheet'!AD28+'Balance Sheet'!AD29+'Balance Sheet'!AD30+'Balance Sheet'!AD37+'Balance Sheet'!AD38,"NM")</f>
        <v>252.76</v>
      </c>
      <c r="AE13" s="114">
        <f>IFERROR('Balance Sheet'!AE28+'Balance Sheet'!AE29+'Balance Sheet'!AE30+'Balance Sheet'!AE37+'Balance Sheet'!AE38,"NM")</f>
        <v>270.12100000000004</v>
      </c>
      <c r="AF13" s="114">
        <f>IFERROR('Balance Sheet'!AF28+'Balance Sheet'!AF29+'Balance Sheet'!AF30+'Balance Sheet'!AF37+'Balance Sheet'!AF38,"NM")</f>
        <v>241.68910000000002</v>
      </c>
      <c r="AG13" s="114">
        <f>IFERROR('Balance Sheet'!AG28+'Balance Sheet'!AG29+'Balance Sheet'!AG30+'Balance Sheet'!AG37+'Balance Sheet'!AG38,"NM")</f>
        <v>241.68910000000002</v>
      </c>
      <c r="AH13" s="114">
        <f>IFERROR('Balance Sheet'!AH28+'Balance Sheet'!AH29+'Balance Sheet'!AH30+'Balance Sheet'!AH37+'Balance Sheet'!AH38,"NM")</f>
        <v>359.738</v>
      </c>
      <c r="AI13" s="114">
        <f>IFERROR('Balance Sheet'!AI28+'Balance Sheet'!AI29+'Balance Sheet'!AI30+'Balance Sheet'!AI37+'Balance Sheet'!AI38,"NM")</f>
        <v>284.71299999999997</v>
      </c>
      <c r="AJ13" s="114">
        <f>IFERROR('Balance Sheet'!AJ28+'Balance Sheet'!AJ29+'Balance Sheet'!AJ30+'Balance Sheet'!AJ37+'Balance Sheet'!AJ38,"NM")</f>
        <v>240.096</v>
      </c>
      <c r="AK13" s="114">
        <f>IFERROR('Balance Sheet'!AK28+'Balance Sheet'!AK29+'Balance Sheet'!AK30+'Balance Sheet'!AK37+'Balance Sheet'!AK38,"NM")</f>
        <v>186.506</v>
      </c>
      <c r="AL13" s="114">
        <f>IFERROR('Balance Sheet'!AL28+'Balance Sheet'!AL29+'Balance Sheet'!AL30+'Balance Sheet'!AL37+'Balance Sheet'!AL38,"NM")</f>
        <v>186.506</v>
      </c>
      <c r="AM13" s="114">
        <f>IFERROR('Balance Sheet'!AM28+'Balance Sheet'!AM29+'Balance Sheet'!AM30+'Balance Sheet'!AM37+'Balance Sheet'!AM38,"NM")</f>
        <v>179.71899999999999</v>
      </c>
      <c r="AN13" s="114">
        <f>IFERROR('Balance Sheet'!AN28+'Balance Sheet'!AN29+'Balance Sheet'!AN30+'Balance Sheet'!AN37+'Balance Sheet'!AN38,"NM")</f>
        <v>168.99799999999999</v>
      </c>
      <c r="AO13" s="114">
        <f>IFERROR('Balance Sheet'!AO28+'Balance Sheet'!AO29+'Balance Sheet'!AO30+'Balance Sheet'!AO37+'Balance Sheet'!AO38,"NM")</f>
        <v>162.24700000000001</v>
      </c>
      <c r="AP13" s="114">
        <f>IFERROR('Balance Sheet'!AP28+'Balance Sheet'!AP29+'Balance Sheet'!AP30+'Balance Sheet'!AP37+'Balance Sheet'!AP38,"NM")</f>
        <v>160.37799999999999</v>
      </c>
      <c r="AQ13" s="114">
        <f>IFERROR('Balance Sheet'!AQ28+'Balance Sheet'!AQ29+'Balance Sheet'!AQ30+'Balance Sheet'!AQ37+'Balance Sheet'!AQ38,"NM")</f>
        <v>160.37799999999999</v>
      </c>
      <c r="AR13" s="114">
        <f>IFERROR('Balance Sheet'!AR28+'Balance Sheet'!AR29+'Balance Sheet'!AR30+'Balance Sheet'!AR37+'Balance Sheet'!AR38,"NM")</f>
        <v>150.93</v>
      </c>
      <c r="AS13" s="114">
        <f>IFERROR('Balance Sheet'!AS28+'Balance Sheet'!AS29+'Balance Sheet'!AS30+'Balance Sheet'!AS37+'Balance Sheet'!AS38,"NM")</f>
        <v>146.97200000000001</v>
      </c>
      <c r="AT13" s="114">
        <f>IFERROR('Balance Sheet'!AT28+'Balance Sheet'!AT29+'Balance Sheet'!AT30+'Balance Sheet'!AT37+'Balance Sheet'!AT38,"NM")</f>
        <v>144.988</v>
      </c>
      <c r="AU13" s="114">
        <f>IFERROR('Balance Sheet'!AU28+'Balance Sheet'!AU29+'Balance Sheet'!AU30+'Balance Sheet'!AU37+'Balance Sheet'!AU38,"NM")</f>
        <v>154.51400000000001</v>
      </c>
      <c r="AV13" s="114">
        <f>IFERROR('Balance Sheet'!AV28+'Balance Sheet'!AV29+'Balance Sheet'!AV30+'Balance Sheet'!AV37+'Balance Sheet'!AV38,"NM")</f>
        <v>154.51400000000001</v>
      </c>
      <c r="AW13" s="114">
        <f>IFERROR('Balance Sheet'!AW28+'Balance Sheet'!AW29+'Balance Sheet'!AW30+'Balance Sheet'!AW37+'Balance Sheet'!AW38,"NM")</f>
        <v>145.40899999999999</v>
      </c>
      <c r="AX13" s="114">
        <f>IFERROR('Balance Sheet'!AX28+'Balance Sheet'!AX29+'Balance Sheet'!AX30+'Balance Sheet'!AX37+'Balance Sheet'!AX38,"NM")</f>
        <v>135.25700000000001</v>
      </c>
      <c r="AY13" s="114">
        <f>IFERROR('Balance Sheet'!AY28+'Balance Sheet'!AY29+'Balance Sheet'!AY30+'Balance Sheet'!AY37+'Balance Sheet'!AY38,"NM")</f>
        <v>148.58699999999999</v>
      </c>
      <c r="AZ13" s="114">
        <f>IFERROR('Balance Sheet'!AZ28+'Balance Sheet'!AZ29+'Balance Sheet'!AZ30+'Balance Sheet'!AZ37+'Balance Sheet'!AZ38,"NM")</f>
        <v>138.70699999999999</v>
      </c>
      <c r="BA13" s="114">
        <f>IFERROR('Balance Sheet'!BA28+'Balance Sheet'!BA29+'Balance Sheet'!BA30+'Balance Sheet'!BA37+'Balance Sheet'!BA38,"NM")</f>
        <v>138.70699999999999</v>
      </c>
      <c r="BB13" s="114">
        <f>IFERROR('Balance Sheet'!BB28+'Balance Sheet'!BB29+'Balance Sheet'!BB30+'Balance Sheet'!BB37+'Balance Sheet'!BB38,"NM")</f>
        <v>208.767</v>
      </c>
      <c r="BC13" s="114">
        <f>IFERROR('Balance Sheet'!BC28+'Balance Sheet'!BC29+'Balance Sheet'!BC30+'Balance Sheet'!BC37+'Balance Sheet'!BC38,"NM")</f>
        <v>300.21700000000004</v>
      </c>
      <c r="BD13" s="114">
        <f>IFERROR('Balance Sheet'!BD28+'Balance Sheet'!BD29+'Balance Sheet'!BD30+'Balance Sheet'!BD37+'Balance Sheet'!BD38,"NM")</f>
        <v>308.96699999999998</v>
      </c>
      <c r="BE13" s="114">
        <f>IFERROR('Balance Sheet'!BE28+'Balance Sheet'!BE29+'Balance Sheet'!BE30+'Balance Sheet'!BE37+'Balance Sheet'!BE38,"NM")</f>
        <v>307.38771106673875</v>
      </c>
      <c r="BF13" s="114">
        <f>IFERROR('Balance Sheet'!BF28+'Balance Sheet'!BF29+'Balance Sheet'!BF30+'Balance Sheet'!BF37+'Balance Sheet'!BF38,"NM")</f>
        <v>307.38771106673875</v>
      </c>
      <c r="BN13" s="200"/>
    </row>
    <row r="14" spans="1:67" ht="14.1" customHeight="1" x14ac:dyDescent="0.2">
      <c r="C14" s="207" t="s">
        <v>191</v>
      </c>
      <c r="D14" s="114">
        <v>0</v>
      </c>
      <c r="E14" s="114">
        <v>0</v>
      </c>
      <c r="F14" s="114">
        <v>0</v>
      </c>
      <c r="G14" s="114">
        <v>0</v>
      </c>
      <c r="H14" s="114">
        <v>0</v>
      </c>
      <c r="I14" s="114">
        <v>0</v>
      </c>
      <c r="J14" s="889">
        <v>0</v>
      </c>
      <c r="K14" s="114">
        <v>0</v>
      </c>
      <c r="L14" s="114">
        <v>0</v>
      </c>
      <c r="M14" s="114">
        <v>0</v>
      </c>
      <c r="N14" s="114">
        <v>0</v>
      </c>
      <c r="O14" s="200">
        <v>0</v>
      </c>
      <c r="R14" s="208" t="str">
        <f t="shared" si="1"/>
        <v>Preferred Stock &amp; Non-Controlling Interest Value</v>
      </c>
      <c r="BN14" s="200"/>
    </row>
    <row r="15" spans="1:67" ht="14.1" customHeight="1" x14ac:dyDescent="0.2">
      <c r="C15" s="207" t="s">
        <v>192</v>
      </c>
      <c r="D15" s="114">
        <f>SUM('Balance Sheet'!D9:D10)</f>
        <v>4.72</v>
      </c>
      <c r="E15" s="114">
        <f>SUM('Balance Sheet'!E9:E10)</f>
        <v>2.194</v>
      </c>
      <c r="F15" s="114">
        <f>SUM('Balance Sheet'!F9:F10)</f>
        <v>0.248</v>
      </c>
      <c r="G15" s="114">
        <f>SUM('Balance Sheet'!G9:G10)</f>
        <v>25.308</v>
      </c>
      <c r="H15" s="114">
        <f>SUM('Balance Sheet'!H9:H10)</f>
        <v>106.58799999999999</v>
      </c>
      <c r="I15" s="114">
        <f>SUM('Balance Sheet'!I9:I10)</f>
        <v>187.39</v>
      </c>
      <c r="J15" s="889">
        <f>SUM('Balance Sheet'!J9:J10)</f>
        <v>296.21499999999997</v>
      </c>
      <c r="K15" s="114">
        <f>SUM('Balance Sheet'!K9:K10)</f>
        <v>15.51038909052204</v>
      </c>
      <c r="L15" s="114">
        <f>SUM('Balance Sheet'!L9:L10)</f>
        <v>108.41190961167149</v>
      </c>
      <c r="M15" s="114">
        <f>SUM('Balance Sheet'!M9:M10)</f>
        <v>289.2564698727565</v>
      </c>
      <c r="N15" s="114">
        <f>SUM('Balance Sheet'!N9:N10)</f>
        <v>336.27147380200586</v>
      </c>
      <c r="O15" s="200">
        <f>SUM('Balance Sheet'!O9:O10)</f>
        <v>346.12552962495101</v>
      </c>
      <c r="R15" s="208" t="str">
        <f t="shared" si="1"/>
        <v>Marketable Securities &amp; Cash and cash equivalents Value</v>
      </c>
      <c r="S15" s="114">
        <f>SUM('Balance Sheet'!S9:S10)</f>
        <v>0.71099999999999997</v>
      </c>
      <c r="T15" s="114">
        <f>SUM('Balance Sheet'!T9:T10)</f>
        <v>0.39900000000000002</v>
      </c>
      <c r="U15" s="114">
        <f>SUM('Balance Sheet'!U9:U10)</f>
        <v>8.1000000000000003E-2</v>
      </c>
      <c r="V15" s="114">
        <f>SUM('Balance Sheet'!V9:V10)</f>
        <v>4.72</v>
      </c>
      <c r="W15" s="114">
        <f>SUM('Balance Sheet'!W9:W10)</f>
        <v>4.72</v>
      </c>
      <c r="X15" s="114">
        <f>SUM('Balance Sheet'!X9:X10)</f>
        <v>0.496</v>
      </c>
      <c r="Y15" s="114">
        <f>SUM('Balance Sheet'!Y9:Y10)</f>
        <v>1.1890000000000001</v>
      </c>
      <c r="Z15" s="114">
        <f>SUM('Balance Sheet'!Z9:Z10)</f>
        <v>0.52900000000000003</v>
      </c>
      <c r="AA15" s="114">
        <f>SUM('Balance Sheet'!AA9:AA10)</f>
        <v>2.194</v>
      </c>
      <c r="AB15" s="114">
        <f>SUM('Balance Sheet'!AB9:AB10)</f>
        <v>2.194</v>
      </c>
      <c r="AC15" s="114">
        <f>SUM('Balance Sheet'!AC9:AC10)</f>
        <v>3.1E-2</v>
      </c>
      <c r="AD15" s="114">
        <f>SUM('Balance Sheet'!AD9:AD10)</f>
        <v>0.503</v>
      </c>
      <c r="AE15" s="114">
        <f>SUM('Balance Sheet'!AE9:AE10)</f>
        <v>1.4999999999999999E-2</v>
      </c>
      <c r="AF15" s="114">
        <f>SUM('Balance Sheet'!AF9:AF10)</f>
        <v>0.248</v>
      </c>
      <c r="AG15" s="114">
        <f>SUM('Balance Sheet'!AG9:AG10)</f>
        <v>0.248</v>
      </c>
      <c r="AH15" s="114">
        <f>SUM('Balance Sheet'!AH9:AH10)</f>
        <v>46.908999999999999</v>
      </c>
      <c r="AI15" s="114">
        <f>SUM('Balance Sheet'!AI9:AI10)</f>
        <v>29.28</v>
      </c>
      <c r="AJ15" s="114">
        <f>SUM('Balance Sheet'!AJ9:AJ10)</f>
        <v>25.469000000000001</v>
      </c>
      <c r="AK15" s="114">
        <f>SUM('Balance Sheet'!AK9:AK10)</f>
        <v>25.308</v>
      </c>
      <c r="AL15" s="114">
        <f>SUM('Balance Sheet'!AL9:AL10)</f>
        <v>25.308</v>
      </c>
      <c r="AM15" s="114">
        <f>SUM('Balance Sheet'!AM9:AM10)</f>
        <v>53.26</v>
      </c>
      <c r="AN15" s="114">
        <f>SUM('Balance Sheet'!AN9:AN10)</f>
        <v>52.86</v>
      </c>
      <c r="AO15" s="114">
        <f>SUM('Balance Sheet'!AO9:AO10)</f>
        <v>121.702</v>
      </c>
      <c r="AP15" s="114">
        <f>SUM('Balance Sheet'!AP9:AP10)</f>
        <v>106.58799999999999</v>
      </c>
      <c r="AQ15" s="114">
        <f>SUM('Balance Sheet'!AQ9:AQ10)</f>
        <v>106.58799999999999</v>
      </c>
      <c r="AR15" s="114">
        <f>SUM('Balance Sheet'!AR9:AR10)</f>
        <v>141.32499999999999</v>
      </c>
      <c r="AS15" s="114">
        <f>SUM('Balance Sheet'!AS9:AS10)</f>
        <v>137.87100000000001</v>
      </c>
      <c r="AT15" s="114">
        <f>SUM('Balance Sheet'!AT9:AT10)</f>
        <v>149.82499999999999</v>
      </c>
      <c r="AU15" s="114">
        <f>SUM('Balance Sheet'!AU9:AU10)</f>
        <v>187.39</v>
      </c>
      <c r="AV15" s="114">
        <f>SUM('Balance Sheet'!AV9:AV10)</f>
        <v>187.39</v>
      </c>
      <c r="AW15" s="114">
        <f>SUM('Balance Sheet'!AW9:AW10)</f>
        <v>166.42500000000001</v>
      </c>
      <c r="AX15" s="114">
        <f>SUM('Balance Sheet'!AX9:AX10)</f>
        <v>234.99700000000001</v>
      </c>
      <c r="AY15" s="114">
        <f>SUM('Balance Sheet'!AY9:AY10)</f>
        <v>249.262</v>
      </c>
      <c r="AZ15" s="114">
        <f>SUM('Balance Sheet'!AZ9:AZ10)</f>
        <v>296.21499999999997</v>
      </c>
      <c r="BA15" s="114">
        <f>SUM('Balance Sheet'!BA9:BA10)</f>
        <v>296.21499999999997</v>
      </c>
      <c r="BB15" s="114">
        <f>SUM('Balance Sheet'!BB9:BB10)</f>
        <v>12.308</v>
      </c>
      <c r="BC15" s="114">
        <f>SUM('Balance Sheet'!BC9:BC10)</f>
        <v>11.169</v>
      </c>
      <c r="BD15" s="114">
        <f>SUM('Balance Sheet'!BD9:BD10)</f>
        <v>14.404999999999999</v>
      </c>
      <c r="BE15" s="114">
        <f>SUM('Balance Sheet'!BE9:BE10)</f>
        <v>15.51038909052204</v>
      </c>
      <c r="BF15" s="114">
        <f>SUM('Balance Sheet'!BF9:BF10)</f>
        <v>15.51038909052204</v>
      </c>
      <c r="BN15" s="200"/>
    </row>
    <row r="16" spans="1:67" ht="14.1" customHeight="1" x14ac:dyDescent="0.2">
      <c r="C16" s="206" t="s">
        <v>193</v>
      </c>
      <c r="D16" s="114">
        <v>0</v>
      </c>
      <c r="E16" s="114">
        <v>0</v>
      </c>
      <c r="F16" s="114">
        <v>0</v>
      </c>
      <c r="G16" s="114">
        <v>0</v>
      </c>
      <c r="H16" s="114">
        <v>0</v>
      </c>
      <c r="I16" s="114">
        <v>0</v>
      </c>
      <c r="J16" s="889">
        <v>0</v>
      </c>
      <c r="K16" s="114">
        <v>0</v>
      </c>
      <c r="L16" s="114">
        <v>0</v>
      </c>
      <c r="M16" s="114">
        <v>0</v>
      </c>
      <c r="N16" s="114">
        <v>0</v>
      </c>
      <c r="O16" s="200">
        <v>0</v>
      </c>
      <c r="R16" s="208" t="str">
        <f t="shared" si="1"/>
        <v>Other Non-Operating Asset Value</v>
      </c>
      <c r="BN16" s="200"/>
    </row>
    <row r="17" spans="1:66" ht="14.1" customHeight="1" x14ac:dyDescent="0.2">
      <c r="C17" s="221" t="s">
        <v>194</v>
      </c>
      <c r="D17" s="118">
        <f>D12+D13+D14-D15-D16</f>
        <v>1923.9234702499998</v>
      </c>
      <c r="E17" s="118">
        <f t="shared" ref="E17:J17" si="4">E12+E13+E14-E15-E16</f>
        <v>1546.8680653399999</v>
      </c>
      <c r="F17" s="118">
        <f t="shared" si="4"/>
        <v>2643.2428904000003</v>
      </c>
      <c r="G17" s="118">
        <f t="shared" si="4"/>
        <v>4888.1565056000009</v>
      </c>
      <c r="H17" s="118">
        <f t="shared" si="4"/>
        <v>8898.1184528600006</v>
      </c>
      <c r="I17" s="118">
        <f t="shared" si="4"/>
        <v>5501.4630011999998</v>
      </c>
      <c r="J17" s="890">
        <f t="shared" si="4"/>
        <v>11446.426134000001</v>
      </c>
      <c r="O17" s="200"/>
      <c r="R17" s="221" t="str">
        <f t="shared" si="1"/>
        <v>Enterprise Value (Based on Maket Value)</v>
      </c>
      <c r="S17" s="118">
        <f t="shared" ref="S17:BF17" si="5">S12+S13+S14-S15-S16</f>
        <v>1256.7807344</v>
      </c>
      <c r="T17" s="118">
        <f t="shared" si="5"/>
        <v>1444.7546136000001</v>
      </c>
      <c r="U17" s="118">
        <f t="shared" si="5"/>
        <v>1713.41748465</v>
      </c>
      <c r="V17" s="118">
        <f t="shared" si="5"/>
        <v>1923.9234702499998</v>
      </c>
      <c r="W17" s="118">
        <f t="shared" si="5"/>
        <v>1923.9234702499998</v>
      </c>
      <c r="X17" s="118">
        <f t="shared" si="5"/>
        <v>2059.9077053999999</v>
      </c>
      <c r="Y17" s="118">
        <f t="shared" si="5"/>
        <v>2218.4655650499999</v>
      </c>
      <c r="Z17" s="118">
        <f t="shared" si="5"/>
        <v>2074.3171900500001</v>
      </c>
      <c r="AA17" s="118">
        <f t="shared" si="5"/>
        <v>1546.8680653399999</v>
      </c>
      <c r="AB17" s="118">
        <f t="shared" si="5"/>
        <v>1546.8680653399999</v>
      </c>
      <c r="AC17" s="118">
        <f t="shared" si="5"/>
        <v>1797.3306040000002</v>
      </c>
      <c r="AD17" s="118">
        <f t="shared" si="5"/>
        <v>1918.0008626600002</v>
      </c>
      <c r="AE17" s="118">
        <f t="shared" si="5"/>
        <v>2686.7741413000003</v>
      </c>
      <c r="AF17" s="118">
        <f t="shared" si="5"/>
        <v>2643.2428904000003</v>
      </c>
      <c r="AG17" s="118">
        <f t="shared" si="5"/>
        <v>2643.2428904000003</v>
      </c>
      <c r="AH17" s="118">
        <f t="shared" si="5"/>
        <v>2217.9894065399999</v>
      </c>
      <c r="AI17" s="118">
        <f t="shared" si="5"/>
        <v>3145.4296877199999</v>
      </c>
      <c r="AJ17" s="118">
        <f t="shared" si="5"/>
        <v>3494.5272268200001</v>
      </c>
      <c r="AK17" s="118">
        <f t="shared" si="5"/>
        <v>4888.1565056000009</v>
      </c>
      <c r="AL17" s="118">
        <f t="shared" si="5"/>
        <v>4888.1565056000009</v>
      </c>
      <c r="AM17" s="118">
        <f t="shared" si="5"/>
        <v>6176.6024263199997</v>
      </c>
      <c r="AN17" s="118">
        <f t="shared" si="5"/>
        <v>5613.0860493200007</v>
      </c>
      <c r="AO17" s="118">
        <f t="shared" si="5"/>
        <v>6286.7261725299995</v>
      </c>
      <c r="AP17" s="118">
        <f t="shared" si="5"/>
        <v>8898.1184528600006</v>
      </c>
      <c r="AQ17" s="118">
        <f t="shared" si="5"/>
        <v>8898.1184528600006</v>
      </c>
      <c r="AR17" s="118">
        <f t="shared" si="5"/>
        <v>6428.95355096</v>
      </c>
      <c r="AS17" s="118">
        <f t="shared" si="5"/>
        <v>4958.8663319999996</v>
      </c>
      <c r="AT17" s="118">
        <f t="shared" si="5"/>
        <v>5009.6211499999999</v>
      </c>
      <c r="AU17" s="118">
        <f t="shared" si="5"/>
        <v>5501.4630011999998</v>
      </c>
      <c r="AV17" s="118">
        <f t="shared" si="5"/>
        <v>5501.4630011999998</v>
      </c>
      <c r="AW17" s="118">
        <f t="shared" si="5"/>
        <v>7178.7557092799989</v>
      </c>
      <c r="AX17" s="118">
        <f t="shared" si="5"/>
        <v>8962.1201054000012</v>
      </c>
      <c r="AY17" s="118">
        <f t="shared" si="5"/>
        <v>10454.881355749998</v>
      </c>
      <c r="AZ17" s="118">
        <f t="shared" si="5"/>
        <v>11446.426134000001</v>
      </c>
      <c r="BA17" s="118">
        <f t="shared" si="5"/>
        <v>11446.426134000001</v>
      </c>
      <c r="BB17" s="118">
        <f t="shared" si="5"/>
        <v>15709.927749999999</v>
      </c>
      <c r="BC17" s="118">
        <f t="shared" si="5"/>
        <v>12866.56001119</v>
      </c>
      <c r="BD17" s="118">
        <f t="shared" si="5"/>
        <v>11892.671428899999</v>
      </c>
      <c r="BE17" s="118">
        <f t="shared" si="5"/>
        <v>291.87732197621671</v>
      </c>
      <c r="BF17" s="118">
        <f t="shared" si="5"/>
        <v>291.87732197621671</v>
      </c>
      <c r="BN17" s="200"/>
    </row>
    <row r="18" spans="1:66" ht="14.1" customHeight="1" x14ac:dyDescent="0.2">
      <c r="C18" s="222" t="s">
        <v>195</v>
      </c>
      <c r="D18" s="203"/>
      <c r="E18" s="203"/>
      <c r="F18" s="203"/>
      <c r="G18" s="203"/>
      <c r="H18" s="203"/>
      <c r="I18" s="203"/>
      <c r="J18" s="891"/>
      <c r="K18" s="1136">
        <f>'Intrinsic Value'!K24</f>
        <v>14100.353718657741</v>
      </c>
      <c r="L18" s="1136">
        <f>'Intrinsic Value'!L24</f>
        <v>15269.283043897398</v>
      </c>
      <c r="M18" s="1136">
        <f>'Intrinsic Value'!M24</f>
        <v>16528.941135586079</v>
      </c>
      <c r="N18" s="1136">
        <f>'Intrinsic Value'!N24</f>
        <v>17698.498621158134</v>
      </c>
      <c r="O18" s="1137">
        <f>'Intrinsic Value'!O24</f>
        <v>18709.48808783514</v>
      </c>
      <c r="R18" s="222" t="str">
        <f t="shared" si="1"/>
        <v>DCF Shareholder Value</v>
      </c>
      <c r="S18" s="203"/>
      <c r="T18" s="203"/>
      <c r="U18" s="203"/>
      <c r="V18" s="203"/>
      <c r="W18" s="203"/>
      <c r="X18" s="203"/>
      <c r="Y18" s="203"/>
      <c r="Z18" s="203"/>
      <c r="AA18" s="203"/>
      <c r="AB18" s="203"/>
      <c r="AC18" s="203"/>
      <c r="AD18" s="203"/>
      <c r="AE18" s="203"/>
      <c r="AF18" s="203"/>
      <c r="AG18" s="203"/>
      <c r="AH18" s="203"/>
      <c r="AI18" s="203"/>
      <c r="AJ18" s="203"/>
      <c r="AK18" s="203"/>
      <c r="AL18" s="203"/>
      <c r="AM18" s="203"/>
      <c r="AN18" s="203"/>
      <c r="AO18" s="203"/>
      <c r="AP18" s="203"/>
      <c r="AQ18" s="203"/>
      <c r="AR18" s="203"/>
      <c r="AS18" s="203"/>
      <c r="AT18" s="203"/>
      <c r="AU18" s="203"/>
      <c r="AV18" s="203"/>
      <c r="AW18" s="203"/>
      <c r="AX18" s="203"/>
      <c r="AY18" s="203"/>
      <c r="AZ18" s="203"/>
      <c r="BA18" s="203"/>
      <c r="BB18" s="203"/>
      <c r="BC18" s="203"/>
      <c r="BD18" s="203"/>
      <c r="BE18" s="203"/>
      <c r="BF18" s="203"/>
      <c r="BG18" s="203"/>
      <c r="BH18" s="203"/>
      <c r="BI18" s="203"/>
      <c r="BJ18" s="203"/>
      <c r="BK18" s="203"/>
      <c r="BL18" s="203"/>
      <c r="BM18" s="203"/>
      <c r="BN18" s="204"/>
    </row>
    <row r="19" spans="1:66" ht="14.1" customHeight="1" x14ac:dyDescent="0.2">
      <c r="C19" s="113"/>
      <c r="D19" s="1424" t="s">
        <v>582</v>
      </c>
      <c r="E19" s="1425"/>
      <c r="F19" s="1425"/>
      <c r="G19" s="1425"/>
      <c r="H19" s="1425"/>
      <c r="I19" s="1425"/>
      <c r="J19" s="1425"/>
      <c r="K19" s="1426" t="s">
        <v>583</v>
      </c>
      <c r="L19" s="1426"/>
      <c r="M19" s="1426"/>
      <c r="N19" s="1426"/>
      <c r="O19" s="1427"/>
      <c r="R19" s="113"/>
    </row>
    <row r="20" spans="1:66" ht="14.1" customHeight="1" x14ac:dyDescent="0.2">
      <c r="C20" s="192" t="s">
        <v>196</v>
      </c>
      <c r="D20" s="51">
        <f>D7</f>
        <v>43100</v>
      </c>
      <c r="E20" s="52">
        <f t="shared" ref="E20:O20" si="6">E7</f>
        <v>43465</v>
      </c>
      <c r="F20" s="52">
        <f t="shared" si="6"/>
        <v>43830</v>
      </c>
      <c r="G20" s="52">
        <f t="shared" si="6"/>
        <v>44196</v>
      </c>
      <c r="H20" s="52">
        <f t="shared" si="6"/>
        <v>44561</v>
      </c>
      <c r="I20" s="52">
        <f t="shared" si="6"/>
        <v>44926</v>
      </c>
      <c r="J20" s="52">
        <f t="shared" si="6"/>
        <v>45291</v>
      </c>
      <c r="K20" s="53">
        <f t="shared" si="6"/>
        <v>45657</v>
      </c>
      <c r="L20" s="54">
        <f t="shared" si="6"/>
        <v>46022</v>
      </c>
      <c r="M20" s="54">
        <f t="shared" si="6"/>
        <v>46387</v>
      </c>
      <c r="N20" s="54">
        <f t="shared" si="6"/>
        <v>46752</v>
      </c>
      <c r="O20" s="639">
        <f t="shared" si="6"/>
        <v>47118</v>
      </c>
      <c r="P20" s="115"/>
      <c r="Q20" s="115"/>
      <c r="R20" s="478" t="str">
        <f t="shared" ref="R20:R26" si="7">C20</f>
        <v>Actual and Estimated Capital Structure:</v>
      </c>
      <c r="S20" s="479" t="str">
        <f>S7</f>
        <v>2017 Q1</v>
      </c>
      <c r="T20" s="479" t="str">
        <f t="shared" ref="T20:BK20" si="8">T7</f>
        <v>2017 Q2</v>
      </c>
      <c r="U20" s="479" t="str">
        <f t="shared" si="8"/>
        <v>2017 Q3</v>
      </c>
      <c r="V20" s="479" t="str">
        <f t="shared" si="8"/>
        <v>2017 Q4</v>
      </c>
      <c r="W20" s="479" t="str">
        <f t="shared" si="8"/>
        <v>2017 FY</v>
      </c>
      <c r="X20" s="479" t="str">
        <f t="shared" si="8"/>
        <v>2018 Q1</v>
      </c>
      <c r="Y20" s="479" t="str">
        <f t="shared" si="8"/>
        <v>2018 Q2</v>
      </c>
      <c r="Z20" s="479" t="str">
        <f t="shared" si="8"/>
        <v>2018 Q3</v>
      </c>
      <c r="AA20" s="479" t="str">
        <f t="shared" si="8"/>
        <v>2018 Q4</v>
      </c>
      <c r="AB20" s="479" t="str">
        <f t="shared" si="8"/>
        <v>2018 FY</v>
      </c>
      <c r="AC20" s="479" t="str">
        <f t="shared" si="8"/>
        <v>2019 Q1</v>
      </c>
      <c r="AD20" s="479" t="str">
        <f t="shared" si="8"/>
        <v>2019 Q2</v>
      </c>
      <c r="AE20" s="479" t="str">
        <f t="shared" si="8"/>
        <v>2019 Q3</v>
      </c>
      <c r="AF20" s="479" t="str">
        <f t="shared" si="8"/>
        <v>2019 Q4</v>
      </c>
      <c r="AG20" s="479" t="str">
        <f t="shared" si="8"/>
        <v>2019 FY</v>
      </c>
      <c r="AH20" s="479" t="str">
        <f t="shared" si="8"/>
        <v>2020 Q1</v>
      </c>
      <c r="AI20" s="479" t="str">
        <f t="shared" si="8"/>
        <v>2020 Q2</v>
      </c>
      <c r="AJ20" s="479" t="str">
        <f t="shared" si="8"/>
        <v>2020 Q3</v>
      </c>
      <c r="AK20" s="479" t="str">
        <f t="shared" si="8"/>
        <v>2020 Q4</v>
      </c>
      <c r="AL20" s="479" t="str">
        <f t="shared" si="8"/>
        <v>2020 FY</v>
      </c>
      <c r="AM20" s="479" t="str">
        <f t="shared" si="8"/>
        <v>2021 Q1</v>
      </c>
      <c r="AN20" s="479" t="str">
        <f t="shared" si="8"/>
        <v>2021 Q2</v>
      </c>
      <c r="AO20" s="479" t="str">
        <f t="shared" si="8"/>
        <v>2021 Q3</v>
      </c>
      <c r="AP20" s="479" t="str">
        <f t="shared" si="8"/>
        <v>2021 Q4</v>
      </c>
      <c r="AQ20" s="479" t="str">
        <f t="shared" si="8"/>
        <v>2021 FY</v>
      </c>
      <c r="AR20" s="479" t="str">
        <f t="shared" si="8"/>
        <v>2022 Q1</v>
      </c>
      <c r="AS20" s="479" t="str">
        <f t="shared" si="8"/>
        <v>2022 Q2</v>
      </c>
      <c r="AT20" s="479" t="str">
        <f t="shared" si="8"/>
        <v>2022 Q3</v>
      </c>
      <c r="AU20" s="479" t="str">
        <f t="shared" si="8"/>
        <v>2022 Q4</v>
      </c>
      <c r="AV20" s="479" t="str">
        <f t="shared" si="8"/>
        <v>2022 FY</v>
      </c>
      <c r="AW20" s="479" t="str">
        <f t="shared" si="8"/>
        <v>2023 Q1</v>
      </c>
      <c r="AX20" s="479" t="str">
        <f t="shared" si="8"/>
        <v>2023 Q2</v>
      </c>
      <c r="AY20" s="479" t="str">
        <f t="shared" si="8"/>
        <v>2023 Q3</v>
      </c>
      <c r="AZ20" s="479" t="str">
        <f t="shared" si="8"/>
        <v>2023 Q4</v>
      </c>
      <c r="BA20" s="479" t="str">
        <f t="shared" si="8"/>
        <v>2023 FY</v>
      </c>
      <c r="BB20" s="479" t="str">
        <f t="shared" si="8"/>
        <v>2024 Q1</v>
      </c>
      <c r="BC20" s="479" t="str">
        <f t="shared" si="8"/>
        <v>2024 Q2</v>
      </c>
      <c r="BD20" s="479" t="str">
        <f t="shared" si="8"/>
        <v>2024 Q3</v>
      </c>
      <c r="BE20" s="479" t="str">
        <f t="shared" si="8"/>
        <v>2024 Q4</v>
      </c>
      <c r="BF20" s="479" t="str">
        <f t="shared" si="8"/>
        <v>2024 FY</v>
      </c>
      <c r="BG20" s="479" t="str">
        <f t="shared" si="8"/>
        <v>2025 Q1</v>
      </c>
      <c r="BH20" s="479" t="str">
        <f t="shared" si="8"/>
        <v>2025 Q2</v>
      </c>
      <c r="BI20" s="479" t="str">
        <f t="shared" si="8"/>
        <v>2025 Q3</v>
      </c>
      <c r="BJ20" s="479" t="str">
        <f t="shared" si="8"/>
        <v>2025 Q4</v>
      </c>
      <c r="BK20" s="479" t="str">
        <f t="shared" si="8"/>
        <v>2025 FY</v>
      </c>
      <c r="BL20" s="479" t="str">
        <f>BL7</f>
        <v>2026 FY</v>
      </c>
      <c r="BM20" s="479" t="str">
        <f>BM7</f>
        <v>2027 FY</v>
      </c>
      <c r="BN20" s="878" t="str">
        <f>BN7</f>
        <v>2028 FY</v>
      </c>
    </row>
    <row r="21" spans="1:66" ht="14.1" customHeight="1" x14ac:dyDescent="0.2">
      <c r="C21" s="207" t="s">
        <v>197</v>
      </c>
      <c r="D21" s="190">
        <f>IFERROR(D13/D17,"NM")</f>
        <v>6.9085908070308288E-2</v>
      </c>
      <c r="E21" s="190">
        <f t="shared" ref="E21:J21" si="9">IFERROR(E13/E17,"NM")</f>
        <v>7.9424356060383033E-2</v>
      </c>
      <c r="F21" s="190">
        <f t="shared" si="9"/>
        <v>9.1436583780397637E-2</v>
      </c>
      <c r="G21" s="190">
        <f t="shared" si="9"/>
        <v>3.8154670331511237E-2</v>
      </c>
      <c r="H21" s="190">
        <f t="shared" si="9"/>
        <v>1.8023810409992E-2</v>
      </c>
      <c r="I21" s="190">
        <f t="shared" si="9"/>
        <v>2.8085983667671097E-2</v>
      </c>
      <c r="J21" s="892">
        <f t="shared" si="9"/>
        <v>1.2117930817549272E-2</v>
      </c>
      <c r="K21" s="190">
        <f>IFERROR(K13/K18,"NM")</f>
        <v>2.18E-2</v>
      </c>
      <c r="L21" s="190">
        <f>IFERROR(L13/L18,"NM")</f>
        <v>2.41E-2</v>
      </c>
      <c r="M21" s="190">
        <f>IFERROR(M13/M18,"NM")</f>
        <v>2.0899999999999998E-2</v>
      </c>
      <c r="N21" s="190">
        <f>IFERROR(N13/N18,"NM")</f>
        <v>0.02</v>
      </c>
      <c r="O21" s="211">
        <f>IFERROR(O13/O18,"NM")</f>
        <v>2.0400000000000001E-2</v>
      </c>
      <c r="P21" s="115"/>
      <c r="Q21" s="115"/>
      <c r="R21" s="207" t="str">
        <f t="shared" si="7"/>
        <v>Debt Value to Enterprise Value (Based on Maket Value)</v>
      </c>
      <c r="S21" s="190">
        <f>IFERROR(S13/S17,"NM")</f>
        <v>0.10959588751633556</v>
      </c>
      <c r="T21" s="190">
        <f t="shared" ref="T21:BC21" si="10">IFERROR(T13/T17,"NM")</f>
        <v>0.10269425589879287</v>
      </c>
      <c r="U21" s="190">
        <f t="shared" si="10"/>
        <v>7.4256858669788761E-2</v>
      </c>
      <c r="V21" s="190">
        <f t="shared" si="10"/>
        <v>6.9085908070308288E-2</v>
      </c>
      <c r="W21" s="190">
        <f t="shared" si="10"/>
        <v>6.9085908070308288E-2</v>
      </c>
      <c r="X21" s="190">
        <f t="shared" si="10"/>
        <v>6.921329515213144E-2</v>
      </c>
      <c r="Y21" s="190">
        <f t="shared" si="10"/>
        <v>6.9868111744392392E-2</v>
      </c>
      <c r="Z21" s="190">
        <f t="shared" si="10"/>
        <v>5.8494911280697261E-2</v>
      </c>
      <c r="AA21" s="190">
        <f t="shared" si="10"/>
        <v>7.9424356060383033E-2</v>
      </c>
      <c r="AB21" s="190">
        <f t="shared" si="10"/>
        <v>7.9424356060383033E-2</v>
      </c>
      <c r="AC21" s="190">
        <f t="shared" si="10"/>
        <v>0.12479785271602707</v>
      </c>
      <c r="AD21" s="190">
        <f t="shared" si="10"/>
        <v>0.13178304813140546</v>
      </c>
      <c r="AE21" s="190">
        <f t="shared" si="10"/>
        <v>0.1005372933466233</v>
      </c>
      <c r="AF21" s="190">
        <f t="shared" si="10"/>
        <v>9.1436583780397637E-2</v>
      </c>
      <c r="AG21" s="190">
        <f t="shared" si="10"/>
        <v>9.1436583780397637E-2</v>
      </c>
      <c r="AH21" s="190">
        <f t="shared" si="10"/>
        <v>0.16219103614258509</v>
      </c>
      <c r="AI21" s="190">
        <f t="shared" si="10"/>
        <v>9.0516408969986348E-2</v>
      </c>
      <c r="AJ21" s="190">
        <f t="shared" si="10"/>
        <v>6.8706289697014603E-2</v>
      </c>
      <c r="AK21" s="190">
        <f t="shared" si="10"/>
        <v>3.8154670331511237E-2</v>
      </c>
      <c r="AL21" s="190">
        <f t="shared" si="10"/>
        <v>3.8154670331511237E-2</v>
      </c>
      <c r="AM21" s="190">
        <f t="shared" si="10"/>
        <v>2.909674082861053E-2</v>
      </c>
      <c r="AN21" s="190">
        <f t="shared" si="10"/>
        <v>3.0107858407136538E-2</v>
      </c>
      <c r="AO21" s="190">
        <f t="shared" si="10"/>
        <v>2.5807868125216297E-2</v>
      </c>
      <c r="AP21" s="190">
        <f t="shared" si="10"/>
        <v>1.8023810409992E-2</v>
      </c>
      <c r="AQ21" s="190">
        <f t="shared" si="10"/>
        <v>1.8023810409992E-2</v>
      </c>
      <c r="AR21" s="190">
        <f t="shared" si="10"/>
        <v>2.3476604521036316E-2</v>
      </c>
      <c r="AS21" s="190">
        <f t="shared" si="10"/>
        <v>2.9638225787933986E-2</v>
      </c>
      <c r="AT21" s="190">
        <f t="shared" si="10"/>
        <v>2.8941909110232818E-2</v>
      </c>
      <c r="AU21" s="190">
        <f t="shared" si="10"/>
        <v>2.8085983667671097E-2</v>
      </c>
      <c r="AV21" s="190">
        <f t="shared" si="10"/>
        <v>2.8085983667671097E-2</v>
      </c>
      <c r="AW21" s="190">
        <f t="shared" si="10"/>
        <v>2.025546012271031E-2</v>
      </c>
      <c r="AX21" s="190">
        <f t="shared" si="10"/>
        <v>1.5092076250853051E-2</v>
      </c>
      <c r="AY21" s="190">
        <f t="shared" si="10"/>
        <v>1.4212212931357637E-2</v>
      </c>
      <c r="AZ21" s="190">
        <f t="shared" si="10"/>
        <v>1.2117930817549272E-2</v>
      </c>
      <c r="BA21" s="190">
        <f t="shared" si="10"/>
        <v>1.2117930817549272E-2</v>
      </c>
      <c r="BB21" s="190">
        <f t="shared" si="10"/>
        <v>1.3288858059834171E-2</v>
      </c>
      <c r="BC21" s="190">
        <f t="shared" si="10"/>
        <v>2.3333120876046311E-2</v>
      </c>
      <c r="BD21" s="190">
        <f>IFERROR(BD13/BD17,"NM")</f>
        <v>2.5979612894138249E-2</v>
      </c>
      <c r="BE21" s="115"/>
      <c r="BF21" s="115"/>
      <c r="BG21" s="115"/>
      <c r="BH21" s="115"/>
      <c r="BI21" s="115"/>
      <c r="BJ21" s="115"/>
      <c r="BN21" s="200"/>
    </row>
    <row r="22" spans="1:66" ht="14.1" customHeight="1" x14ac:dyDescent="0.2">
      <c r="C22" s="206" t="s">
        <v>198</v>
      </c>
      <c r="D22" s="191">
        <f t="shared" ref="D22:J22" si="11">IFERROR(D14/D17,"NM")</f>
        <v>0</v>
      </c>
      <c r="E22" s="191">
        <f t="shared" si="11"/>
        <v>0</v>
      </c>
      <c r="F22" s="191">
        <f t="shared" si="11"/>
        <v>0</v>
      </c>
      <c r="G22" s="191">
        <f t="shared" si="11"/>
        <v>0</v>
      </c>
      <c r="H22" s="191">
        <f t="shared" si="11"/>
        <v>0</v>
      </c>
      <c r="I22" s="191">
        <f t="shared" si="11"/>
        <v>0</v>
      </c>
      <c r="J22" s="892">
        <f t="shared" si="11"/>
        <v>0</v>
      </c>
      <c r="K22" s="190">
        <f>IFERROR(K14/K18,"NM")</f>
        <v>0</v>
      </c>
      <c r="L22" s="190">
        <f>IFERROR(L14/L18,"NM")</f>
        <v>0</v>
      </c>
      <c r="M22" s="190">
        <f>IFERROR(M14/M18,"NM")</f>
        <v>0</v>
      </c>
      <c r="N22" s="190">
        <f>IFERROR(N14/N18,"NM")</f>
        <v>0</v>
      </c>
      <c r="O22" s="211">
        <f>IFERROR(O14/O18,"NM")</f>
        <v>0</v>
      </c>
      <c r="R22" s="207" t="str">
        <f t="shared" si="7"/>
        <v>Preferred Stock &amp; Non-Controlling Interest Value to Enterprise Value (Based on Maket Value)</v>
      </c>
      <c r="S22" s="190">
        <f t="shared" ref="S22:BD22" si="12">IFERROR(S14/S17,"NM")</f>
        <v>0</v>
      </c>
      <c r="T22" s="190">
        <f t="shared" si="12"/>
        <v>0</v>
      </c>
      <c r="U22" s="190">
        <f t="shared" si="12"/>
        <v>0</v>
      </c>
      <c r="V22" s="190">
        <f t="shared" si="12"/>
        <v>0</v>
      </c>
      <c r="W22" s="190">
        <f t="shared" si="12"/>
        <v>0</v>
      </c>
      <c r="X22" s="190">
        <f t="shared" si="12"/>
        <v>0</v>
      </c>
      <c r="Y22" s="190">
        <f t="shared" si="12"/>
        <v>0</v>
      </c>
      <c r="Z22" s="190">
        <f t="shared" si="12"/>
        <v>0</v>
      </c>
      <c r="AA22" s="190">
        <f t="shared" si="12"/>
        <v>0</v>
      </c>
      <c r="AB22" s="190">
        <f t="shared" si="12"/>
        <v>0</v>
      </c>
      <c r="AC22" s="190">
        <f t="shared" si="12"/>
        <v>0</v>
      </c>
      <c r="AD22" s="190">
        <f t="shared" si="12"/>
        <v>0</v>
      </c>
      <c r="AE22" s="190">
        <f t="shared" si="12"/>
        <v>0</v>
      </c>
      <c r="AF22" s="190">
        <f t="shared" si="12"/>
        <v>0</v>
      </c>
      <c r="AG22" s="190">
        <f t="shared" si="12"/>
        <v>0</v>
      </c>
      <c r="AH22" s="190">
        <f t="shared" si="12"/>
        <v>0</v>
      </c>
      <c r="AI22" s="190">
        <f t="shared" si="12"/>
        <v>0</v>
      </c>
      <c r="AJ22" s="190">
        <f t="shared" si="12"/>
        <v>0</v>
      </c>
      <c r="AK22" s="190">
        <f t="shared" si="12"/>
        <v>0</v>
      </c>
      <c r="AL22" s="190">
        <f t="shared" si="12"/>
        <v>0</v>
      </c>
      <c r="AM22" s="190">
        <f t="shared" si="12"/>
        <v>0</v>
      </c>
      <c r="AN22" s="190">
        <f t="shared" si="12"/>
        <v>0</v>
      </c>
      <c r="AO22" s="190">
        <f t="shared" si="12"/>
        <v>0</v>
      </c>
      <c r="AP22" s="190">
        <f t="shared" si="12"/>
        <v>0</v>
      </c>
      <c r="AQ22" s="190">
        <f t="shared" si="12"/>
        <v>0</v>
      </c>
      <c r="AR22" s="190">
        <f t="shared" si="12"/>
        <v>0</v>
      </c>
      <c r="AS22" s="190">
        <f t="shared" si="12"/>
        <v>0</v>
      </c>
      <c r="AT22" s="190">
        <f t="shared" si="12"/>
        <v>0</v>
      </c>
      <c r="AU22" s="190">
        <f t="shared" si="12"/>
        <v>0</v>
      </c>
      <c r="AV22" s="190">
        <f t="shared" si="12"/>
        <v>0</v>
      </c>
      <c r="AW22" s="190">
        <f t="shared" si="12"/>
        <v>0</v>
      </c>
      <c r="AX22" s="190">
        <f t="shared" si="12"/>
        <v>0</v>
      </c>
      <c r="AY22" s="190">
        <f t="shared" si="12"/>
        <v>0</v>
      </c>
      <c r="AZ22" s="190">
        <f t="shared" si="12"/>
        <v>0</v>
      </c>
      <c r="BA22" s="190">
        <f t="shared" si="12"/>
        <v>0</v>
      </c>
      <c r="BB22" s="190">
        <f t="shared" si="12"/>
        <v>0</v>
      </c>
      <c r="BC22" s="190">
        <f t="shared" si="12"/>
        <v>0</v>
      </c>
      <c r="BD22" s="190">
        <f t="shared" si="12"/>
        <v>0</v>
      </c>
      <c r="BN22" s="200"/>
    </row>
    <row r="23" spans="1:66" ht="14.1" customHeight="1" x14ac:dyDescent="0.2">
      <c r="C23" s="206" t="s">
        <v>199</v>
      </c>
      <c r="D23" s="191">
        <f>IFERROR(-D15/D17,"NM")</f>
        <v>-2.4533200374059943E-3</v>
      </c>
      <c r="E23" s="191">
        <f t="shared" ref="E23:J23" si="13">IFERROR(-E15/E17,"NM")</f>
        <v>-1.4183497928233208E-3</v>
      </c>
      <c r="F23" s="191">
        <f t="shared" si="13"/>
        <v>-9.3824143403813457E-5</v>
      </c>
      <c r="G23" s="191">
        <f t="shared" si="13"/>
        <v>-5.1774119693194127E-3</v>
      </c>
      <c r="H23" s="191">
        <f t="shared" si="13"/>
        <v>-1.197871219232206E-2</v>
      </c>
      <c r="I23" s="191">
        <f t="shared" si="13"/>
        <v>-3.4061848631741373E-2</v>
      </c>
      <c r="J23" s="892">
        <f t="shared" si="13"/>
        <v>-2.5878383045703227E-2</v>
      </c>
      <c r="K23" s="190">
        <f>IFERROR(-K15/K18,"NM")</f>
        <v>-1.0999999999998953E-3</v>
      </c>
      <c r="L23" s="190">
        <f>IFERROR(-L15/L18,"NM")</f>
        <v>-7.0999999999999978E-3</v>
      </c>
      <c r="M23" s="190">
        <f>IFERROR(-M15/M18,"NM")</f>
        <v>-1.7500000000000005E-2</v>
      </c>
      <c r="N23" s="190">
        <f>IFERROR(-N15/N18,"NM")</f>
        <v>-1.9000000000000072E-2</v>
      </c>
      <c r="O23" s="211">
        <f>IFERROR(-O15/O18,"NM")</f>
        <v>-1.8500000000000051E-2</v>
      </c>
      <c r="R23" s="207" t="str">
        <f t="shared" si="7"/>
        <v>Mkt Securities Value  to Enterprise Value (Based on Maket Value)</v>
      </c>
      <c r="S23" s="190">
        <f t="shared" ref="S23:BD23" si="14">IFERROR(-S15/S17,"NM")</f>
        <v>-5.6573114190793081E-4</v>
      </c>
      <c r="T23" s="190">
        <f t="shared" si="14"/>
        <v>-2.7617146624351848E-4</v>
      </c>
      <c r="U23" s="190">
        <f t="shared" si="14"/>
        <v>-4.7273942705531502E-5</v>
      </c>
      <c r="V23" s="190">
        <f t="shared" si="14"/>
        <v>-2.4533200374059943E-3</v>
      </c>
      <c r="W23" s="190">
        <f t="shared" si="14"/>
        <v>-2.4533200374059943E-3</v>
      </c>
      <c r="X23" s="190">
        <f t="shared" si="14"/>
        <v>-2.4078748708000245E-4</v>
      </c>
      <c r="Y23" s="190">
        <f t="shared" si="14"/>
        <v>-5.359560313811778E-4</v>
      </c>
      <c r="Z23" s="190">
        <f t="shared" si="14"/>
        <v>-2.5502367841209896E-4</v>
      </c>
      <c r="AA23" s="190">
        <f t="shared" si="14"/>
        <v>-1.4183497928233208E-3</v>
      </c>
      <c r="AB23" s="190">
        <f t="shared" si="14"/>
        <v>-1.4183497928233208E-3</v>
      </c>
      <c r="AC23" s="190">
        <f t="shared" si="14"/>
        <v>-1.724780067229078E-5</v>
      </c>
      <c r="AD23" s="190">
        <f t="shared" si="14"/>
        <v>-2.6225222824061145E-4</v>
      </c>
      <c r="AE23" s="190">
        <f t="shared" si="14"/>
        <v>-5.5829032181849954E-6</v>
      </c>
      <c r="AF23" s="190">
        <f t="shared" si="14"/>
        <v>-9.3824143403813457E-5</v>
      </c>
      <c r="AG23" s="190">
        <f t="shared" si="14"/>
        <v>-9.3824143403813457E-5</v>
      </c>
      <c r="AH23" s="190">
        <f t="shared" si="14"/>
        <v>-2.1149334555739245E-2</v>
      </c>
      <c r="AI23" s="190">
        <f t="shared" si="14"/>
        <v>-9.3087440848896984E-3</v>
      </c>
      <c r="AJ23" s="190">
        <f t="shared" si="14"/>
        <v>-7.2882534165219955E-3</v>
      </c>
      <c r="AK23" s="190">
        <f t="shared" si="14"/>
        <v>-5.1774119693194127E-3</v>
      </c>
      <c r="AL23" s="190">
        <f t="shared" si="14"/>
        <v>-5.1774119693194127E-3</v>
      </c>
      <c r="AM23" s="190">
        <f t="shared" si="14"/>
        <v>-8.6228635621820558E-3</v>
      </c>
      <c r="AN23" s="190">
        <f t="shared" si="14"/>
        <v>-9.4172794672199509E-3</v>
      </c>
      <c r="AO23" s="190">
        <f t="shared" si="14"/>
        <v>-1.9358565437728112E-2</v>
      </c>
      <c r="AP23" s="190">
        <f t="shared" si="14"/>
        <v>-1.197871219232206E-2</v>
      </c>
      <c r="AQ23" s="190">
        <f t="shared" si="14"/>
        <v>-1.197871219232206E-2</v>
      </c>
      <c r="AR23" s="190">
        <f t="shared" si="14"/>
        <v>-2.1982582216494115E-2</v>
      </c>
      <c r="AS23" s="190">
        <f t="shared" si="14"/>
        <v>-2.7802927275999829E-2</v>
      </c>
      <c r="AT23" s="190">
        <f t="shared" si="14"/>
        <v>-2.990745118520589E-2</v>
      </c>
      <c r="AU23" s="190">
        <f t="shared" si="14"/>
        <v>-3.4061848631741373E-2</v>
      </c>
      <c r="AV23" s="190">
        <f t="shared" si="14"/>
        <v>-3.4061848631741373E-2</v>
      </c>
      <c r="AW23" s="190">
        <f t="shared" si="14"/>
        <v>-2.3182986960381159E-2</v>
      </c>
      <c r="AX23" s="190">
        <f t="shared" si="14"/>
        <v>-2.6221139332690466E-2</v>
      </c>
      <c r="AY23" s="190">
        <f t="shared" si="14"/>
        <v>-2.3841686148156082E-2</v>
      </c>
      <c r="AZ23" s="190">
        <f t="shared" si="14"/>
        <v>-2.5878383045703227E-2</v>
      </c>
      <c r="BA23" s="190">
        <f t="shared" si="14"/>
        <v>-2.5878383045703227E-2</v>
      </c>
      <c r="BB23" s="190">
        <f t="shared" si="14"/>
        <v>-7.8345363491566663E-4</v>
      </c>
      <c r="BC23" s="190">
        <f t="shared" si="14"/>
        <v>-8.6806419045077797E-4</v>
      </c>
      <c r="BD23" s="190">
        <f t="shared" si="14"/>
        <v>-1.2112501456144555E-3</v>
      </c>
      <c r="BN23" s="200"/>
    </row>
    <row r="24" spans="1:66" ht="14.1" customHeight="1" x14ac:dyDescent="0.2">
      <c r="C24" s="206" t="s">
        <v>200</v>
      </c>
      <c r="D24" s="191">
        <f>IFERROR(D16/D17,"NM")</f>
        <v>0</v>
      </c>
      <c r="E24" s="191">
        <f t="shared" ref="E24:J24" si="15">IFERROR(E16/E17,"NM")</f>
        <v>0</v>
      </c>
      <c r="F24" s="191">
        <f t="shared" si="15"/>
        <v>0</v>
      </c>
      <c r="G24" s="191">
        <f t="shared" si="15"/>
        <v>0</v>
      </c>
      <c r="H24" s="191">
        <f t="shared" si="15"/>
        <v>0</v>
      </c>
      <c r="I24" s="191">
        <f t="shared" si="15"/>
        <v>0</v>
      </c>
      <c r="J24" s="892">
        <f t="shared" si="15"/>
        <v>0</v>
      </c>
      <c r="K24" s="190">
        <f>IFERROR(K16/K18,"NM")</f>
        <v>0</v>
      </c>
      <c r="L24" s="190">
        <f>IFERROR(L16/L18,"NM")</f>
        <v>0</v>
      </c>
      <c r="M24" s="190">
        <f>IFERROR(M16/M18,"NM")</f>
        <v>0</v>
      </c>
      <c r="N24" s="190">
        <f>IFERROR(N16/N18,"NM")</f>
        <v>0</v>
      </c>
      <c r="O24" s="211">
        <f>IFERROR(O16/O18,"NM")</f>
        <v>0</v>
      </c>
      <c r="R24" s="207" t="str">
        <f t="shared" si="7"/>
        <v>Other Non-Operating Asset Value to Enterprise Value (Based on Maket Value)</v>
      </c>
      <c r="S24" s="190">
        <f t="shared" ref="S24:BD24" si="16">IFERROR(S16/S17,"NM")</f>
        <v>0</v>
      </c>
      <c r="T24" s="190">
        <f t="shared" si="16"/>
        <v>0</v>
      </c>
      <c r="U24" s="190">
        <f t="shared" si="16"/>
        <v>0</v>
      </c>
      <c r="V24" s="190">
        <f t="shared" si="16"/>
        <v>0</v>
      </c>
      <c r="W24" s="190">
        <f t="shared" si="16"/>
        <v>0</v>
      </c>
      <c r="X24" s="190">
        <f t="shared" si="16"/>
        <v>0</v>
      </c>
      <c r="Y24" s="190">
        <f t="shared" si="16"/>
        <v>0</v>
      </c>
      <c r="Z24" s="190">
        <f t="shared" si="16"/>
        <v>0</v>
      </c>
      <c r="AA24" s="190">
        <f t="shared" si="16"/>
        <v>0</v>
      </c>
      <c r="AB24" s="190">
        <f t="shared" si="16"/>
        <v>0</v>
      </c>
      <c r="AC24" s="190">
        <f t="shared" si="16"/>
        <v>0</v>
      </c>
      <c r="AD24" s="190">
        <f t="shared" si="16"/>
        <v>0</v>
      </c>
      <c r="AE24" s="190">
        <f t="shared" si="16"/>
        <v>0</v>
      </c>
      <c r="AF24" s="190">
        <f t="shared" si="16"/>
        <v>0</v>
      </c>
      <c r="AG24" s="190">
        <f t="shared" si="16"/>
        <v>0</v>
      </c>
      <c r="AH24" s="190">
        <f t="shared" si="16"/>
        <v>0</v>
      </c>
      <c r="AI24" s="190">
        <f t="shared" si="16"/>
        <v>0</v>
      </c>
      <c r="AJ24" s="190">
        <f t="shared" si="16"/>
        <v>0</v>
      </c>
      <c r="AK24" s="190">
        <f t="shared" si="16"/>
        <v>0</v>
      </c>
      <c r="AL24" s="190">
        <f t="shared" si="16"/>
        <v>0</v>
      </c>
      <c r="AM24" s="190">
        <f t="shared" si="16"/>
        <v>0</v>
      </c>
      <c r="AN24" s="190">
        <f t="shared" si="16"/>
        <v>0</v>
      </c>
      <c r="AO24" s="190">
        <f t="shared" si="16"/>
        <v>0</v>
      </c>
      <c r="AP24" s="190">
        <f t="shared" si="16"/>
        <v>0</v>
      </c>
      <c r="AQ24" s="190">
        <f t="shared" si="16"/>
        <v>0</v>
      </c>
      <c r="AR24" s="190">
        <f t="shared" si="16"/>
        <v>0</v>
      </c>
      <c r="AS24" s="190">
        <f t="shared" si="16"/>
        <v>0</v>
      </c>
      <c r="AT24" s="190">
        <f t="shared" si="16"/>
        <v>0</v>
      </c>
      <c r="AU24" s="190">
        <f t="shared" si="16"/>
        <v>0</v>
      </c>
      <c r="AV24" s="190">
        <f t="shared" si="16"/>
        <v>0</v>
      </c>
      <c r="AW24" s="190">
        <f t="shared" si="16"/>
        <v>0</v>
      </c>
      <c r="AX24" s="190">
        <f t="shared" si="16"/>
        <v>0</v>
      </c>
      <c r="AY24" s="190">
        <f t="shared" si="16"/>
        <v>0</v>
      </c>
      <c r="AZ24" s="190">
        <f t="shared" si="16"/>
        <v>0</v>
      </c>
      <c r="BA24" s="190">
        <f t="shared" si="16"/>
        <v>0</v>
      </c>
      <c r="BB24" s="190">
        <f t="shared" si="16"/>
        <v>0</v>
      </c>
      <c r="BC24" s="190">
        <f t="shared" si="16"/>
        <v>0</v>
      </c>
      <c r="BD24" s="190">
        <f t="shared" si="16"/>
        <v>0</v>
      </c>
      <c r="BN24" s="200"/>
    </row>
    <row r="25" spans="1:66" ht="14.1" customHeight="1" x14ac:dyDescent="0.2">
      <c r="C25" s="207" t="s">
        <v>201</v>
      </c>
      <c r="D25" s="191">
        <f>IFERROR(D12/D17,"NM")</f>
        <v>0.93336741196709772</v>
      </c>
      <c r="E25" s="191">
        <f t="shared" ref="E25:J25" si="17">IFERROR(E12/E17,"NM")</f>
        <v>0.92199399373244029</v>
      </c>
      <c r="F25" s="191">
        <f t="shared" si="17"/>
        <v>0.90865724036300621</v>
      </c>
      <c r="G25" s="191">
        <f t="shared" si="17"/>
        <v>0.9670227416378081</v>
      </c>
      <c r="H25" s="191">
        <f t="shared" si="17"/>
        <v>0.99395490178232992</v>
      </c>
      <c r="I25" s="191">
        <f t="shared" si="17"/>
        <v>1.0059758649640702</v>
      </c>
      <c r="J25" s="892">
        <f t="shared" si="17"/>
        <v>1.013760452228154</v>
      </c>
      <c r="K25" s="190">
        <f>1-SUM(K21:K24)</f>
        <v>0.97929999999999995</v>
      </c>
      <c r="L25" s="190">
        <f>1-SUM(L21:L24)</f>
        <v>0.98299999999999998</v>
      </c>
      <c r="M25" s="190">
        <f>1-SUM(M21:M24)</f>
        <v>0.99660000000000004</v>
      </c>
      <c r="N25" s="190">
        <f>1-SUM(N21:N24)</f>
        <v>0.99900000000000011</v>
      </c>
      <c r="O25" s="211">
        <f>1-SUM(O21:O24)</f>
        <v>0.9981000000000001</v>
      </c>
      <c r="R25" s="207" t="str">
        <f t="shared" si="7"/>
        <v>DCF Shareholders Value to Enterprise Value (Based on Maket Value)</v>
      </c>
      <c r="S25" s="190">
        <f t="shared" ref="S25:BD25" si="18">IFERROR(S12/S17,"NM")</f>
        <v>0.8909698436255723</v>
      </c>
      <c r="T25" s="190">
        <f t="shared" si="18"/>
        <v>0.89758191556745059</v>
      </c>
      <c r="U25" s="190">
        <f t="shared" si="18"/>
        <v>0.92579041527291672</v>
      </c>
      <c r="V25" s="190">
        <f t="shared" si="18"/>
        <v>0.93336741196709772</v>
      </c>
      <c r="W25" s="190">
        <f t="shared" si="18"/>
        <v>0.93336741196709772</v>
      </c>
      <c r="X25" s="190">
        <f t="shared" si="18"/>
        <v>0.93102749233494864</v>
      </c>
      <c r="Y25" s="190">
        <f t="shared" si="18"/>
        <v>0.93066784428698868</v>
      </c>
      <c r="Z25" s="190">
        <f t="shared" si="18"/>
        <v>0.94176011239771484</v>
      </c>
      <c r="AA25" s="190">
        <f t="shared" si="18"/>
        <v>0.92199399373244029</v>
      </c>
      <c r="AB25" s="190">
        <f t="shared" si="18"/>
        <v>0.92199399373244029</v>
      </c>
      <c r="AC25" s="190">
        <f t="shared" si="18"/>
        <v>0.87521939508464508</v>
      </c>
      <c r="AD25" s="190">
        <f t="shared" si="18"/>
        <v>0.8684792040968351</v>
      </c>
      <c r="AE25" s="190">
        <f t="shared" si="18"/>
        <v>0.89946828955659486</v>
      </c>
      <c r="AF25" s="190">
        <f t="shared" si="18"/>
        <v>0.90865724036300621</v>
      </c>
      <c r="AG25" s="190">
        <f t="shared" si="18"/>
        <v>0.90865724036300621</v>
      </c>
      <c r="AH25" s="190">
        <f t="shared" si="18"/>
        <v>0.8589582984131543</v>
      </c>
      <c r="AI25" s="190">
        <f t="shared" si="18"/>
        <v>0.91879233511490332</v>
      </c>
      <c r="AJ25" s="190">
        <f t="shared" si="18"/>
        <v>0.93858196371950742</v>
      </c>
      <c r="AK25" s="190">
        <f t="shared" si="18"/>
        <v>0.9670227416378081</v>
      </c>
      <c r="AL25" s="190">
        <f t="shared" si="18"/>
        <v>0.9670227416378081</v>
      </c>
      <c r="AM25" s="190">
        <f t="shared" si="18"/>
        <v>0.97952612273357154</v>
      </c>
      <c r="AN25" s="190">
        <f t="shared" si="18"/>
        <v>0.97930942106008345</v>
      </c>
      <c r="AO25" s="190">
        <f t="shared" si="18"/>
        <v>0.99355069731251178</v>
      </c>
      <c r="AP25" s="190">
        <f t="shared" si="18"/>
        <v>0.99395490178232992</v>
      </c>
      <c r="AQ25" s="190">
        <f t="shared" si="18"/>
        <v>0.99395490178232992</v>
      </c>
      <c r="AR25" s="190">
        <f t="shared" si="18"/>
        <v>0.99850597769545768</v>
      </c>
      <c r="AS25" s="190">
        <f t="shared" si="18"/>
        <v>0.99816470148806591</v>
      </c>
      <c r="AT25" s="190">
        <f t="shared" si="18"/>
        <v>1.000965542074973</v>
      </c>
      <c r="AU25" s="190">
        <f t="shared" si="18"/>
        <v>1.0059758649640702</v>
      </c>
      <c r="AV25" s="190">
        <f t="shared" si="18"/>
        <v>1.0059758649640702</v>
      </c>
      <c r="AW25" s="190">
        <f t="shared" si="18"/>
        <v>1.0029275268376709</v>
      </c>
      <c r="AX25" s="190">
        <f t="shared" si="18"/>
        <v>1.0111290630818375</v>
      </c>
      <c r="AY25" s="190">
        <f t="shared" si="18"/>
        <v>1.0096294732167985</v>
      </c>
      <c r="AZ25" s="190">
        <f t="shared" si="18"/>
        <v>1.013760452228154</v>
      </c>
      <c r="BA25" s="190">
        <f t="shared" si="18"/>
        <v>1.013760452228154</v>
      </c>
      <c r="BB25" s="190">
        <f t="shared" si="18"/>
        <v>0.98749459557508157</v>
      </c>
      <c r="BC25" s="190">
        <f t="shared" si="18"/>
        <v>0.97753494331440438</v>
      </c>
      <c r="BD25" s="190">
        <f t="shared" si="18"/>
        <v>0.97523163725147621</v>
      </c>
      <c r="BN25" s="200"/>
    </row>
    <row r="26" spans="1:66" s="123" customFormat="1" ht="14.1" customHeight="1" x14ac:dyDescent="0.2">
      <c r="A26"/>
      <c r="B26"/>
      <c r="C26" s="212" t="s">
        <v>202</v>
      </c>
      <c r="D26" s="213">
        <f>SUM(D21:D25)</f>
        <v>1</v>
      </c>
      <c r="E26" s="213">
        <f t="shared" ref="E26:O26" si="19">SUM(E21:E25)</f>
        <v>1</v>
      </c>
      <c r="F26" s="213">
        <f t="shared" si="19"/>
        <v>1</v>
      </c>
      <c r="G26" s="213">
        <f t="shared" si="19"/>
        <v>0.99999999999999989</v>
      </c>
      <c r="H26" s="213">
        <f t="shared" si="19"/>
        <v>0.99999999999999989</v>
      </c>
      <c r="I26" s="213">
        <f t="shared" si="19"/>
        <v>0.99999999999999989</v>
      </c>
      <c r="J26" s="916">
        <f t="shared" si="19"/>
        <v>1</v>
      </c>
      <c r="K26" s="917">
        <f t="shared" si="19"/>
        <v>1</v>
      </c>
      <c r="L26" s="917">
        <f t="shared" si="19"/>
        <v>1</v>
      </c>
      <c r="M26" s="917">
        <f t="shared" si="19"/>
        <v>1</v>
      </c>
      <c r="N26" s="917">
        <f t="shared" si="19"/>
        <v>1</v>
      </c>
      <c r="O26" s="918">
        <f t="shared" si="19"/>
        <v>1</v>
      </c>
      <c r="R26" s="212" t="str">
        <f t="shared" si="7"/>
        <v>Sum of Capital Structure Weights</v>
      </c>
      <c r="S26" s="481">
        <f t="shared" ref="S26:BF26" si="20">SUM(S21:S25)</f>
        <v>0.99999999999999989</v>
      </c>
      <c r="T26" s="481">
        <f t="shared" si="20"/>
        <v>1</v>
      </c>
      <c r="U26" s="481">
        <f t="shared" si="20"/>
        <v>1</v>
      </c>
      <c r="V26" s="481">
        <f t="shared" si="20"/>
        <v>1</v>
      </c>
      <c r="W26" s="481">
        <f t="shared" si="20"/>
        <v>1</v>
      </c>
      <c r="X26" s="481">
        <f t="shared" si="20"/>
        <v>1</v>
      </c>
      <c r="Y26" s="481">
        <f t="shared" si="20"/>
        <v>0.99999999999999989</v>
      </c>
      <c r="Z26" s="481">
        <f t="shared" si="20"/>
        <v>1</v>
      </c>
      <c r="AA26" s="481">
        <f t="shared" si="20"/>
        <v>1</v>
      </c>
      <c r="AB26" s="481">
        <f t="shared" si="20"/>
        <v>1</v>
      </c>
      <c r="AC26" s="481">
        <f t="shared" si="20"/>
        <v>0.99999999999999989</v>
      </c>
      <c r="AD26" s="481">
        <f t="shared" si="20"/>
        <v>1</v>
      </c>
      <c r="AE26" s="481">
        <f t="shared" si="20"/>
        <v>1</v>
      </c>
      <c r="AF26" s="481">
        <f t="shared" si="20"/>
        <v>1</v>
      </c>
      <c r="AG26" s="481">
        <f t="shared" si="20"/>
        <v>1</v>
      </c>
      <c r="AH26" s="481">
        <f t="shared" si="20"/>
        <v>1.0000000000000002</v>
      </c>
      <c r="AI26" s="481">
        <f t="shared" si="20"/>
        <v>1</v>
      </c>
      <c r="AJ26" s="481">
        <f t="shared" si="20"/>
        <v>1</v>
      </c>
      <c r="AK26" s="481">
        <f t="shared" si="20"/>
        <v>0.99999999999999989</v>
      </c>
      <c r="AL26" s="481">
        <f t="shared" si="20"/>
        <v>0.99999999999999989</v>
      </c>
      <c r="AM26" s="481">
        <f t="shared" si="20"/>
        <v>1</v>
      </c>
      <c r="AN26" s="481">
        <f t="shared" si="20"/>
        <v>1</v>
      </c>
      <c r="AO26" s="481">
        <f t="shared" si="20"/>
        <v>1</v>
      </c>
      <c r="AP26" s="481">
        <f t="shared" si="20"/>
        <v>0.99999999999999989</v>
      </c>
      <c r="AQ26" s="481">
        <f t="shared" si="20"/>
        <v>0.99999999999999989</v>
      </c>
      <c r="AR26" s="481">
        <f t="shared" si="20"/>
        <v>0.99999999999999989</v>
      </c>
      <c r="AS26" s="481">
        <f t="shared" si="20"/>
        <v>1</v>
      </c>
      <c r="AT26" s="481">
        <f t="shared" si="20"/>
        <v>0.99999999999999989</v>
      </c>
      <c r="AU26" s="481">
        <f t="shared" si="20"/>
        <v>0.99999999999999989</v>
      </c>
      <c r="AV26" s="481">
        <f t="shared" si="20"/>
        <v>0.99999999999999989</v>
      </c>
      <c r="AW26" s="481">
        <f t="shared" si="20"/>
        <v>1</v>
      </c>
      <c r="AX26" s="481">
        <f t="shared" si="20"/>
        <v>1</v>
      </c>
      <c r="AY26" s="481">
        <f t="shared" si="20"/>
        <v>1</v>
      </c>
      <c r="AZ26" s="481">
        <f t="shared" si="20"/>
        <v>1</v>
      </c>
      <c r="BA26" s="481">
        <f t="shared" si="20"/>
        <v>1</v>
      </c>
      <c r="BB26" s="481">
        <f t="shared" si="20"/>
        <v>1</v>
      </c>
      <c r="BC26" s="481">
        <f t="shared" si="20"/>
        <v>0.99999999999999989</v>
      </c>
      <c r="BD26" s="481">
        <f t="shared" si="20"/>
        <v>1</v>
      </c>
      <c r="BE26" s="481">
        <f t="shared" si="20"/>
        <v>0</v>
      </c>
      <c r="BF26" s="481">
        <f t="shared" si="20"/>
        <v>0</v>
      </c>
      <c r="BG26" s="214"/>
      <c r="BH26" s="214"/>
      <c r="BI26" s="214"/>
      <c r="BJ26" s="214"/>
      <c r="BK26" s="214"/>
      <c r="BL26" s="214"/>
      <c r="BM26" s="214"/>
      <c r="BN26" s="215"/>
    </row>
    <row r="27" spans="1:66" ht="14.1" customHeight="1" x14ac:dyDescent="0.2">
      <c r="C27" s="113"/>
      <c r="R27" s="113"/>
    </row>
    <row r="28" spans="1:66" ht="14.1" customHeight="1" x14ac:dyDescent="0.2">
      <c r="C28" s="192" t="s">
        <v>203</v>
      </c>
      <c r="D28" s="193">
        <f>D7</f>
        <v>43100</v>
      </c>
      <c r="E28" s="194">
        <f t="shared" ref="E28:O28" si="21">E7</f>
        <v>43465</v>
      </c>
      <c r="F28" s="194">
        <f t="shared" si="21"/>
        <v>43830</v>
      </c>
      <c r="G28" s="194">
        <f t="shared" si="21"/>
        <v>44196</v>
      </c>
      <c r="H28" s="194">
        <f t="shared" si="21"/>
        <v>44561</v>
      </c>
      <c r="I28" s="194">
        <f t="shared" si="21"/>
        <v>44926</v>
      </c>
      <c r="J28" s="194">
        <f t="shared" si="21"/>
        <v>45291</v>
      </c>
      <c r="K28" s="195">
        <f t="shared" si="21"/>
        <v>45657</v>
      </c>
      <c r="L28" s="196">
        <f t="shared" si="21"/>
        <v>46022</v>
      </c>
      <c r="M28" s="196">
        <f t="shared" si="21"/>
        <v>46387</v>
      </c>
      <c r="N28" s="196">
        <f t="shared" si="21"/>
        <v>46752</v>
      </c>
      <c r="O28" s="197">
        <f t="shared" si="21"/>
        <v>47118</v>
      </c>
      <c r="R28" s="112"/>
    </row>
    <row r="29" spans="1:66" ht="14.1" customHeight="1" x14ac:dyDescent="0.2">
      <c r="C29" s="205" t="s">
        <v>204</v>
      </c>
      <c r="D29" s="869">
        <f t="shared" ref="D29:I29" si="22">D54</f>
        <v>0</v>
      </c>
      <c r="E29" s="869">
        <f t="shared" si="22"/>
        <v>0</v>
      </c>
      <c r="F29" s="869">
        <f t="shared" si="22"/>
        <v>3.3636061219170094E-2</v>
      </c>
      <c r="G29" s="869">
        <f t="shared" si="22"/>
        <v>4.243332654177346E-2</v>
      </c>
      <c r="H29" s="869">
        <f t="shared" si="22"/>
        <v>4.2171457431817327E-2</v>
      </c>
      <c r="I29" s="869">
        <f t="shared" si="22"/>
        <v>4.8190468177640847E-2</v>
      </c>
      <c r="J29" s="893">
        <f t="shared" ref="J29:O29" si="23">J54</f>
        <v>5.2335830203234165E-2</v>
      </c>
      <c r="K29" s="1292">
        <f t="shared" si="23"/>
        <v>6.0059881418307925E-2</v>
      </c>
      <c r="L29" s="1292">
        <f t="shared" si="23"/>
        <v>5.6349006593205006E-2</v>
      </c>
      <c r="M29" s="1292">
        <f t="shared" si="23"/>
        <v>5.9398230035335356E-2</v>
      </c>
      <c r="N29" s="1292">
        <f t="shared" si="23"/>
        <v>5.8836897514249836E-2</v>
      </c>
      <c r="O29" s="1291">
        <f t="shared" si="23"/>
        <v>5.8718890409393279E-2</v>
      </c>
      <c r="R29" s="186"/>
    </row>
    <row r="30" spans="1:66" ht="14.1" customHeight="1" x14ac:dyDescent="0.2">
      <c r="C30" s="206" t="s">
        <v>205</v>
      </c>
      <c r="D30" s="870">
        <v>0</v>
      </c>
      <c r="E30" s="870">
        <v>0</v>
      </c>
      <c r="F30" s="870">
        <v>0</v>
      </c>
      <c r="G30" s="870">
        <v>0</v>
      </c>
      <c r="H30" s="870">
        <v>0</v>
      </c>
      <c r="I30" s="870">
        <v>0</v>
      </c>
      <c r="J30" s="894">
        <v>0</v>
      </c>
      <c r="K30" s="870">
        <v>0</v>
      </c>
      <c r="L30" s="870">
        <v>0</v>
      </c>
      <c r="M30" s="870">
        <v>0</v>
      </c>
      <c r="N30" s="870">
        <v>0</v>
      </c>
      <c r="O30" s="699">
        <v>0</v>
      </c>
      <c r="R30" s="186"/>
    </row>
    <row r="31" spans="1:66" ht="14.1" customHeight="1" x14ac:dyDescent="0.2">
      <c r="C31" s="207" t="s">
        <v>206</v>
      </c>
      <c r="D31" s="191">
        <f>D32+(D33*D34)</f>
        <v>6.9114000000000009E-2</v>
      </c>
      <c r="E31" s="191">
        <f t="shared" ref="E31:O31" si="24">E32+(E33*E34)</f>
        <v>8.5619000000000001E-2</v>
      </c>
      <c r="F31" s="191">
        <f t="shared" si="24"/>
        <v>7.4945999999999999E-2</v>
      </c>
      <c r="G31" s="191">
        <f t="shared" si="24"/>
        <v>6.8940000000000001E-2</v>
      </c>
      <c r="H31" s="191">
        <f t="shared" si="24"/>
        <v>7.1485999999999994E-2</v>
      </c>
      <c r="I31" s="191">
        <f t="shared" si="24"/>
        <v>9.2945E-2</v>
      </c>
      <c r="J31" s="893">
        <f t="shared" si="24"/>
        <v>9.3625000000000014E-2</v>
      </c>
      <c r="K31" s="191">
        <f t="shared" si="24"/>
        <v>9.5850000000000005E-2</v>
      </c>
      <c r="L31" s="915">
        <f t="shared" si="24"/>
        <v>9.1350000000000015E-2</v>
      </c>
      <c r="M31" s="915">
        <f t="shared" si="24"/>
        <v>0.10009999999999999</v>
      </c>
      <c r="N31" s="915">
        <f t="shared" si="24"/>
        <v>9.7700000000000009E-2</v>
      </c>
      <c r="O31" s="209">
        <f t="shared" si="24"/>
        <v>9.111000000000001E-2</v>
      </c>
      <c r="R31" s="186"/>
    </row>
    <row r="32" spans="1:66" ht="14.1" customHeight="1" x14ac:dyDescent="0.2">
      <c r="C32" s="208" t="s">
        <v>43</v>
      </c>
      <c r="D32" s="191">
        <f>IF($C$32="Risk Free Rate (Treasury Constant Maturity - 10 Year)",_xlfn.XLOOKUP(D7,Data!$Q$38:$Q$2287,Data!$R$38:$R$2287,,-1),_xlfn.XLOOKUP(D7,Data!$Q$38:$Q$2287,Data!$S$38:$S$2287,,-1))</f>
        <v>2.4E-2</v>
      </c>
      <c r="E32" s="191">
        <f>IF($C$32="Risk Free Rate (Treasury Constant Maturity - 10 Year)",_xlfn.XLOOKUP(E7,Data!$Q$38:$Q$2287,Data!$R$38:$R$2287,,-1),_xlfn.XLOOKUP(E7,Data!$Q$38:$Q$2287,Data!$S$38:$S$2287,,-1))</f>
        <v>2.69E-2</v>
      </c>
      <c r="F32" s="191">
        <f>IF($C$32="Risk Free Rate (Treasury Constant Maturity - 10 Year)",_xlfn.XLOOKUP(F7,Data!$Q$38:$Q$2287,Data!$R$38:$R$2287,,-1),_xlfn.XLOOKUP(F7,Data!$Q$38:$Q$2287,Data!$S$38:$S$2287,,-1))</f>
        <v>1.9199999999999998E-2</v>
      </c>
      <c r="G32" s="191">
        <f>IF($C$32="Risk Free Rate (Treasury Constant Maturity - 10 Year)",_xlfn.XLOOKUP(G7,Data!$Q$38:$Q$2287,Data!$R$38:$R$2287,,-1),_xlfn.XLOOKUP(G7,Data!$Q$38:$Q$2287,Data!$S$38:$S$2287,,-1))</f>
        <v>9.300000000000001E-3</v>
      </c>
      <c r="H32" s="191">
        <f>IF($C$32="Risk Free Rate (Treasury Constant Maturity - 10 Year)",_xlfn.XLOOKUP(H7,Data!$Q$38:$Q$2287,Data!$R$38:$R$2287,,-1),_xlfn.XLOOKUP(H7,Data!$Q$38:$Q$2287,Data!$S$38:$S$2287,,-1))</f>
        <v>1.52E-2</v>
      </c>
      <c r="I32" s="191">
        <f>IF($C$32="Risk Free Rate (Treasury Constant Maturity - 10 Year)",_xlfn.XLOOKUP(I7,Data!$Q$38:$Q$2287,Data!$R$38:$R$2287,,-1),_xlfn.XLOOKUP(I7,Data!$Q$38:$Q$2287,Data!$S$38:$S$2287,,-1))</f>
        <v>3.8800000000000001E-2</v>
      </c>
      <c r="J32" s="893">
        <f>IF($C$32="Risk Free Rate (Treasury Constant Maturity - 10 Year)",_xlfn.XLOOKUP(J7,Data!$Q$38:$Q$2287,Data!$R$38:$R$2287,,-1),_xlfn.XLOOKUP(J7,Data!$Q$38:$Q$2287,Data!$S$38:$S$2287,,-1))</f>
        <v>3.8800000000000001E-2</v>
      </c>
      <c r="K32" s="1290">
        <f>IF($C$32="Risk Free Rate (Treasury Constant Maturity - 10 Year)",_xlfn.XLOOKUP(K7,Data!$Q$38:$Q$2287,Data!$R$38:$R$2287,,-1),_xlfn.XLOOKUP(K7,Data!$Q$38:$Q$2287,Data!$S$38:$S$2287,,-1))</f>
        <v>4.58E-2</v>
      </c>
      <c r="L32" s="1292">
        <f>K32-0.45%</f>
        <v>4.1300000000000003E-2</v>
      </c>
      <c r="M32" s="1292">
        <f>L32-0.1%</f>
        <v>4.0300000000000002E-2</v>
      </c>
      <c r="N32" s="1293">
        <f>M32-0.5%</f>
        <v>3.5300000000000005E-2</v>
      </c>
      <c r="O32" s="1291">
        <f>N32-0.75%</f>
        <v>2.7800000000000005E-2</v>
      </c>
      <c r="R32" s="187"/>
    </row>
    <row r="33" spans="1:62" ht="14.1" customHeight="1" x14ac:dyDescent="0.2">
      <c r="C33" s="208" t="s">
        <v>213</v>
      </c>
      <c r="D33" s="175">
        <f>INDEX($D$42:$O$44,MATCH($C$33,$C$42:$C$44,0),MATCH(D7,$D$7:$K$7))</f>
        <v>1.03</v>
      </c>
      <c r="E33" s="175">
        <f t="shared" ref="E33:J33" si="25">INDEX($D$42:$O$44,MATCH($C$33,$C$42:$C$44,0),MATCH(E7,$D$7:$K$7))</f>
        <v>1.1100000000000001</v>
      </c>
      <c r="F33" s="175">
        <f t="shared" si="25"/>
        <v>1.1399999999999999</v>
      </c>
      <c r="G33" s="175">
        <f t="shared" si="25"/>
        <v>1.2</v>
      </c>
      <c r="H33" s="175">
        <f t="shared" si="25"/>
        <v>1.18</v>
      </c>
      <c r="I33" s="175">
        <f t="shared" si="25"/>
        <v>1.19</v>
      </c>
      <c r="J33" s="895">
        <f t="shared" si="25"/>
        <v>1.29</v>
      </c>
      <c r="K33" s="1294">
        <f>INDEX($D$42:$O$44,MATCH($C$33,$C$42:$C$44,0),MATCH(K7,$D$7:$O$7))</f>
        <v>1.3</v>
      </c>
      <c r="L33" s="1294">
        <f>INDEX($D$42:$O$44,MATCH($C$33,$C$42:$C$44,0),MATCH(L7,$D$7:$O$7))</f>
        <v>1.3</v>
      </c>
      <c r="M33" s="1294">
        <f>INDEX($D$42:$O$44,MATCH($C$33,$C$42:$C$44,0),MATCH(M7,$D$7:$O$7))</f>
        <v>1.3</v>
      </c>
      <c r="N33" s="1294">
        <f>INDEX($D$42:$O$44,MATCH($C$33,$C$42:$C$44,0),MATCH(N7,$D$7:$O$7))</f>
        <v>1.3</v>
      </c>
      <c r="O33" s="1295">
        <f>INDEX($D$42:$O$44,MATCH($C$33,$C$42:$C$44,0),MATCH(O7,$D$7:$O$7))</f>
        <v>1.3</v>
      </c>
      <c r="R33" s="187"/>
    </row>
    <row r="34" spans="1:62" ht="14.1" customHeight="1" x14ac:dyDescent="0.2">
      <c r="C34" s="208" t="s">
        <v>208</v>
      </c>
      <c r="D34" s="742">
        <f>_xlfn.XLOOKUP(D7,Data!$Z$37:$Z$147,Data!$AA$37:$AA$147,,-1)</f>
        <v>4.3799999999999999E-2</v>
      </c>
      <c r="E34" s="742">
        <f>_xlfn.XLOOKUP(E7,Data!$Z$37:$Z$147,Data!$AA$37:$AA$147,,-1)</f>
        <v>5.2900000000000003E-2</v>
      </c>
      <c r="F34" s="742">
        <f>_xlfn.XLOOKUP(F7,Data!$Z$37:$Z$147,Data!$AA$37:$AA$147,,-1)</f>
        <v>4.8899999999999999E-2</v>
      </c>
      <c r="G34" s="742">
        <f>_xlfn.XLOOKUP(G7,Data!$Z$37:$Z$147,Data!$AA$37:$AA$147,,-1)</f>
        <v>4.9700000000000001E-2</v>
      </c>
      <c r="H34" s="742">
        <f>_xlfn.XLOOKUP(H7,Data!$Z$37:$Z$147,Data!$AA$37:$AA$147,,-1)</f>
        <v>4.7699999999999999E-2</v>
      </c>
      <c r="I34" s="742">
        <f>_xlfn.XLOOKUP(I7,Data!$Z$37:$Z$147,Data!$AA$37:$AA$147,,-1)</f>
        <v>4.5499999999999999E-2</v>
      </c>
      <c r="J34" s="896">
        <f>_xlfn.XLOOKUP(J7,Data!$Z$37:$Z$147,Data!$AA$37:$AA$147,,-1)</f>
        <v>4.2500000000000003E-2</v>
      </c>
      <c r="K34" s="1296">
        <f>_xlfn.XLOOKUP(K7,Data!$Z$37:$Z$147,Data!$AA$37:$AA$147,,-1)</f>
        <v>3.85E-2</v>
      </c>
      <c r="L34" s="1296">
        <f>K34</f>
        <v>3.85E-2</v>
      </c>
      <c r="M34" s="1292">
        <f>L34+0.75%</f>
        <v>4.5999999999999999E-2</v>
      </c>
      <c r="N34" s="1292">
        <f>M34+0.2%</f>
        <v>4.8000000000000001E-2</v>
      </c>
      <c r="O34" s="1291">
        <f>N34+0.07%</f>
        <v>4.87E-2</v>
      </c>
      <c r="R34" s="187"/>
    </row>
    <row r="35" spans="1:62" ht="14.1" customHeight="1" x14ac:dyDescent="0.2">
      <c r="C35" s="206" t="s">
        <v>209</v>
      </c>
      <c r="D35" s="915">
        <f>_xlfn.XLOOKUP(D7,Data!$AN$33:$AN$128,Data!$AP$33:$AP$128,,-1)</f>
        <v>1.32E-2</v>
      </c>
      <c r="E35" s="915">
        <f>_xlfn.XLOOKUP(E7,Data!$AN$33:$AN$128,Data!$AP$33:$AP$128,,-1)</f>
        <v>2.3700000000000002E-2</v>
      </c>
      <c r="F35" s="915">
        <f>_xlfn.XLOOKUP(F7,Data!$AN$33:$AN$128,Data!$AP$33:$AP$128,,-1)</f>
        <v>1.54E-2</v>
      </c>
      <c r="G35" s="915">
        <f>_xlfn.XLOOKUP(G7,Data!$AN$33:$AN$128,Data!$AP$33:$AP$128,,-1)</f>
        <v>8.9999999999999998E-4</v>
      </c>
      <c r="H35" s="915">
        <f>_xlfn.XLOOKUP(H7,Data!$AN$33:$AN$128,Data!$AP$33:$AP$128,,-1)</f>
        <v>5.9999999999999995E-4</v>
      </c>
      <c r="I35" s="915">
        <f>_xlfn.XLOOKUP(I7,Data!$AN$33:$AN$128,Data!$AP$33:$AP$128,,-1)</f>
        <v>4.2500000000000003E-2</v>
      </c>
      <c r="J35" s="893">
        <f>_xlfn.XLOOKUP(J7,Data!$AN$33:$AN$128,Data!$AP$33:$AP$128,,-1)</f>
        <v>5.2400000000000002E-2</v>
      </c>
      <c r="K35" s="1292">
        <f>_xlfn.XLOOKUP(K7,Data!$AN$33:$AN$128,Data!$AP$33:$AP$128,,-1)</f>
        <v>4.2699999999999995E-2</v>
      </c>
      <c r="L35" s="1296">
        <f>K35</f>
        <v>4.2699999999999995E-2</v>
      </c>
      <c r="M35" s="1296">
        <f>L35-0.25%</f>
        <v>4.0199999999999993E-2</v>
      </c>
      <c r="N35" s="1292">
        <f>M35-0.4%</f>
        <v>3.6199999999999996E-2</v>
      </c>
      <c r="O35" s="1291">
        <f>N35-0.5%</f>
        <v>3.1199999999999995E-2</v>
      </c>
      <c r="R35" s="186"/>
    </row>
    <row r="36" spans="1:62" ht="14.1" customHeight="1" x14ac:dyDescent="0.2">
      <c r="C36" s="871" t="s">
        <v>210</v>
      </c>
      <c r="D36" s="870">
        <v>0</v>
      </c>
      <c r="E36" s="870">
        <v>0</v>
      </c>
      <c r="F36" s="870">
        <v>0</v>
      </c>
      <c r="G36" s="870">
        <v>0</v>
      </c>
      <c r="H36" s="870">
        <v>0</v>
      </c>
      <c r="I36" s="870">
        <v>0</v>
      </c>
      <c r="J36" s="894">
        <v>0</v>
      </c>
      <c r="K36" s="1280">
        <v>0</v>
      </c>
      <c r="L36" s="1280">
        <v>0</v>
      </c>
      <c r="M36" s="1280">
        <v>0</v>
      </c>
      <c r="N36" s="1280">
        <v>0</v>
      </c>
      <c r="O36" s="1297">
        <v>0</v>
      </c>
      <c r="R36" s="186"/>
    </row>
    <row r="37" spans="1:62" ht="14.1" customHeight="1" x14ac:dyDescent="0.2">
      <c r="C37" s="205" t="s">
        <v>103</v>
      </c>
      <c r="D37" s="191">
        <f>'Income Statement'!D42</f>
        <v>0.37845817873895538</v>
      </c>
      <c r="E37" s="191">
        <f>'Income Statement'!E42</f>
        <v>0.24289384759226373</v>
      </c>
      <c r="F37" s="191">
        <f>'Income Statement'!F42</f>
        <v>0.24481766358454024</v>
      </c>
      <c r="G37" s="191">
        <f>'Income Statement'!G42</f>
        <v>0.24212891001713183</v>
      </c>
      <c r="H37" s="191">
        <f>'Income Statement'!H42</f>
        <v>0.24428364080018514</v>
      </c>
      <c r="I37" s="191">
        <f>'Income Statement'!I42</f>
        <v>0.24476976720336399</v>
      </c>
      <c r="J37" s="893">
        <f>'Income Statement'!J42</f>
        <v>0.24341790586988721</v>
      </c>
      <c r="K37" s="1290">
        <f>'Income Statement'!K42</f>
        <v>0.24341790586988721</v>
      </c>
      <c r="L37" s="1290">
        <f>'Income Statement'!L42</f>
        <v>0.24241790586988721</v>
      </c>
      <c r="M37" s="1290">
        <f>'Income Statement'!M42</f>
        <v>0.24241790586988721</v>
      </c>
      <c r="N37" s="1290">
        <f>'Income Statement'!N42</f>
        <v>0.24141790586988721</v>
      </c>
      <c r="O37" s="1291">
        <f>'Income Statement'!O42</f>
        <v>0.24141790586988721</v>
      </c>
      <c r="R37" s="186"/>
    </row>
    <row r="38" spans="1:62" ht="14.1" customHeight="1" x14ac:dyDescent="0.2">
      <c r="C38" s="210"/>
      <c r="J38" s="889"/>
      <c r="O38" s="200"/>
    </row>
    <row r="39" spans="1:62" ht="14.1" customHeight="1" x14ac:dyDescent="0.2">
      <c r="C39" s="223" t="s">
        <v>211</v>
      </c>
      <c r="D39" s="858">
        <f t="shared" ref="D39:J39" si="26">IFERROR(((D29*D21*(1-D37))+((D22*D30))+((D23*D35*(1-D37)))+(D24*D36*(1-D37))+(D25*D31)),8%)</f>
        <v>6.4488627409438753E-2</v>
      </c>
      <c r="E39" s="858">
        <f t="shared" si="26"/>
        <v>7.8914753709278224E-2</v>
      </c>
      <c r="F39" s="858">
        <f t="shared" si="26"/>
        <v>7.0421747897181128E-2</v>
      </c>
      <c r="G39" s="858">
        <f t="shared" si="26"/>
        <v>6.7890032095246897E-2</v>
      </c>
      <c r="H39" s="858">
        <f t="shared" si="26"/>
        <v>7.1622841318134914E-2</v>
      </c>
      <c r="I39" s="858">
        <f t="shared" si="26"/>
        <v>9.3429320434409241E-2</v>
      </c>
      <c r="J39" s="897">
        <f t="shared" si="26"/>
        <v>9.4367202241343456E-2</v>
      </c>
      <c r="K39" s="858">
        <f>IFERROR(((K29*(1-K37)*K71)+(K30*K72)+(K31*K75)+(K35*K73*(1-K37))+(K36*K74*(1-K37))),8%)</f>
        <v>9.4820965371714111E-2</v>
      </c>
      <c r="L39" s="858">
        <f>IFERROR(((L29*(1-L37)*L71)+(L30*L72)+(L31*L75)+(L35*L73*(1-L37))+(L36*L74*(1-L37))),8%)</f>
        <v>9.0596178698373053E-2</v>
      </c>
      <c r="M39" s="858">
        <f>IFERROR(((M29*(1-M37)*M71)+(M30*M72)+(M31*M75)+(M35*M73*(1-M37))+(M36*M74*(1-M37))),8%)</f>
        <v>0.10016718083868331</v>
      </c>
      <c r="N39" s="858">
        <f>IFERROR(((N29*(1-N37)*N71)+(N30*N72)+(N31*N75)+(N35*N73*(1-N37))+(N36*N74*(1-N37))),8%)</f>
        <v>9.7973199574226885E-2</v>
      </c>
      <c r="O39" s="859">
        <f>IFERROR(((O29*(1-O37)*O71)+(O30*O72)+(O31*O75)+(O35*O73*(1-O37))+(O36*O74*(1-O37))),8%)</f>
        <v>9.1407716631843883E-2</v>
      </c>
      <c r="S39" s="177"/>
      <c r="T39" s="177"/>
      <c r="U39" s="177"/>
      <c r="V39" s="177"/>
      <c r="W39" s="177"/>
      <c r="X39" s="177"/>
      <c r="Y39" s="177"/>
      <c r="Z39" s="177"/>
      <c r="AA39" s="177"/>
      <c r="AB39" s="177"/>
      <c r="AC39" s="177"/>
      <c r="AD39" s="177"/>
      <c r="AE39" s="177"/>
      <c r="AF39" s="177"/>
      <c r="AG39" s="177"/>
      <c r="AH39" s="177"/>
      <c r="AI39" s="177"/>
      <c r="AJ39" s="177"/>
      <c r="AK39" s="177"/>
      <c r="AL39" s="177"/>
      <c r="AM39" s="177"/>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row>
    <row r="40" spans="1:62" ht="14.1" customHeight="1" x14ac:dyDescent="0.2">
      <c r="D40" s="177"/>
      <c r="E40" s="177"/>
      <c r="F40" s="177"/>
      <c r="G40" s="177"/>
      <c r="H40" s="177"/>
      <c r="I40" s="177"/>
      <c r="J40" s="177"/>
      <c r="K40" s="177"/>
      <c r="L40" s="177"/>
      <c r="M40" s="177"/>
      <c r="N40" s="177"/>
      <c r="O40" s="177"/>
      <c r="S40" s="177"/>
      <c r="T40" s="177"/>
      <c r="U40" s="177"/>
      <c r="V40" s="177"/>
      <c r="W40" s="177"/>
      <c r="X40" s="177"/>
      <c r="Y40" s="177"/>
      <c r="Z40" s="177"/>
      <c r="AA40" s="177"/>
      <c r="AB40" s="177"/>
      <c r="AC40" s="177"/>
      <c r="AD40" s="177"/>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row>
    <row r="41" spans="1:62" ht="14.1" customHeight="1" x14ac:dyDescent="0.2">
      <c r="C41" s="192" t="s">
        <v>212</v>
      </c>
      <c r="D41" s="193">
        <f>D7</f>
        <v>43100</v>
      </c>
      <c r="E41" s="194">
        <f t="shared" ref="E41:O41" si="27">E7</f>
        <v>43465</v>
      </c>
      <c r="F41" s="194">
        <f t="shared" si="27"/>
        <v>43830</v>
      </c>
      <c r="G41" s="194">
        <f t="shared" si="27"/>
        <v>44196</v>
      </c>
      <c r="H41" s="194">
        <f t="shared" si="27"/>
        <v>44561</v>
      </c>
      <c r="I41" s="194">
        <f t="shared" si="27"/>
        <v>44926</v>
      </c>
      <c r="J41" s="194">
        <f t="shared" si="27"/>
        <v>45291</v>
      </c>
      <c r="K41" s="195">
        <f t="shared" si="27"/>
        <v>45657</v>
      </c>
      <c r="L41" s="196">
        <f t="shared" si="27"/>
        <v>46022</v>
      </c>
      <c r="M41" s="196">
        <f t="shared" si="27"/>
        <v>46387</v>
      </c>
      <c r="N41" s="196">
        <f t="shared" si="27"/>
        <v>46752</v>
      </c>
      <c r="O41" s="197">
        <f t="shared" si="27"/>
        <v>47118</v>
      </c>
      <c r="S41" s="16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60"/>
      <c r="BF41" s="160"/>
      <c r="BG41" s="160"/>
      <c r="BH41" s="160"/>
      <c r="BI41" s="160"/>
      <c r="BJ41" s="160"/>
    </row>
    <row r="42" spans="1:62" s="161" customFormat="1" ht="14.1" customHeight="1" x14ac:dyDescent="0.2">
      <c r="A42"/>
      <c r="B42"/>
      <c r="C42" s="198" t="s">
        <v>207</v>
      </c>
      <c r="D42" s="176">
        <v>0.9</v>
      </c>
      <c r="E42" s="176">
        <v>1</v>
      </c>
      <c r="F42" s="176">
        <v>1.07</v>
      </c>
      <c r="G42" s="176">
        <v>1.2</v>
      </c>
      <c r="H42" s="176">
        <v>1.32</v>
      </c>
      <c r="I42" s="176">
        <v>1.45</v>
      </c>
      <c r="J42" s="176">
        <v>1.55</v>
      </c>
      <c r="K42" s="1298">
        <v>1.79</v>
      </c>
      <c r="L42" s="1299">
        <f>K42-0.2</f>
        <v>1.59</v>
      </c>
      <c r="M42" s="1299">
        <f>L42-0.2</f>
        <v>1.3900000000000001</v>
      </c>
      <c r="N42" s="1299">
        <f>M42-0.2</f>
        <v>1.1900000000000002</v>
      </c>
      <c r="O42" s="1300">
        <f>N42</f>
        <v>1.1900000000000002</v>
      </c>
      <c r="R42" s="114"/>
      <c r="S42" s="160"/>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60"/>
      <c r="BF42" s="160"/>
      <c r="BG42" s="160"/>
      <c r="BH42" s="160"/>
      <c r="BI42" s="160"/>
      <c r="BJ42" s="160"/>
    </row>
    <row r="43" spans="1:62" ht="14.1" customHeight="1" x14ac:dyDescent="0.2">
      <c r="C43" s="198" t="s">
        <v>213</v>
      </c>
      <c r="D43" s="176">
        <v>1.03</v>
      </c>
      <c r="E43" s="176">
        <v>1.1100000000000001</v>
      </c>
      <c r="F43" s="176">
        <v>1.1399999999999999</v>
      </c>
      <c r="G43" s="176">
        <v>1.2</v>
      </c>
      <c r="H43" s="176">
        <v>1.18</v>
      </c>
      <c r="I43" s="176">
        <v>1.19</v>
      </c>
      <c r="J43" s="176">
        <v>1.29</v>
      </c>
      <c r="K43" s="1298">
        <v>1.3</v>
      </c>
      <c r="L43" s="1301">
        <f t="shared" ref="L43:N44" si="28">K43</f>
        <v>1.3</v>
      </c>
      <c r="M43" s="1301">
        <f t="shared" si="28"/>
        <v>1.3</v>
      </c>
      <c r="N43" s="1301">
        <f t="shared" si="28"/>
        <v>1.3</v>
      </c>
      <c r="O43" s="1302">
        <f>N43</f>
        <v>1.3</v>
      </c>
    </row>
    <row r="44" spans="1:62" ht="14.1" customHeight="1" x14ac:dyDescent="0.2">
      <c r="C44" s="201" t="s">
        <v>214</v>
      </c>
      <c r="D44" s="202">
        <v>1.19</v>
      </c>
      <c r="E44" s="202">
        <v>1.07</v>
      </c>
      <c r="F44" s="202">
        <v>1.1000000000000001</v>
      </c>
      <c r="G44" s="202">
        <v>1.1499999999999999</v>
      </c>
      <c r="H44" s="202">
        <v>1.18</v>
      </c>
      <c r="I44" s="202">
        <v>1.27</v>
      </c>
      <c r="J44" s="202">
        <v>1.31</v>
      </c>
      <c r="K44" s="1303">
        <v>1.3</v>
      </c>
      <c r="L44" s="1304">
        <f t="shared" si="28"/>
        <v>1.3</v>
      </c>
      <c r="M44" s="1304">
        <f t="shared" si="28"/>
        <v>1.3</v>
      </c>
      <c r="N44" s="1304">
        <f t="shared" si="28"/>
        <v>1.3</v>
      </c>
      <c r="O44" s="1305">
        <f>N44</f>
        <v>1.3</v>
      </c>
    </row>
    <row r="48" spans="1:62" ht="5.0999999999999996" customHeight="1" x14ac:dyDescent="0.2"/>
    <row r="49" spans="1:66" s="60" customFormat="1" ht="18" customHeight="1" x14ac:dyDescent="0.25">
      <c r="A49"/>
      <c r="B49"/>
      <c r="C49" s="136" t="str">
        <f>C3</f>
        <v>SAIA, Inc.</v>
      </c>
      <c r="D49" s="133"/>
      <c r="E49" s="133"/>
      <c r="F49" s="133"/>
      <c r="G49" s="133"/>
      <c r="H49" s="133"/>
      <c r="I49" s="133"/>
      <c r="J49" s="133"/>
      <c r="K49" s="133"/>
      <c r="L49" s="133"/>
      <c r="M49" s="133"/>
      <c r="N49" s="67" t="str">
        <f t="shared" ref="N49:O51" si="29">N3</f>
        <v>Model Case:</v>
      </c>
      <c r="O49" s="144" t="str">
        <f t="shared" si="29"/>
        <v>Base</v>
      </c>
      <c r="R49" s="1374" t="str">
        <f>R3</f>
        <v>SAIA, Inc.</v>
      </c>
      <c r="S49" s="1374"/>
      <c r="T49" s="1374"/>
      <c r="U49" s="1374"/>
      <c r="V49" s="1374"/>
      <c r="W49" s="1374"/>
      <c r="X49" s="1374"/>
      <c r="Y49" s="1374"/>
      <c r="Z49" s="1374"/>
      <c r="AA49" s="1374"/>
      <c r="AB49" s="1374"/>
      <c r="AC49" s="1374"/>
      <c r="AD49" s="1374"/>
      <c r="AE49" s="1374"/>
      <c r="AF49" s="1374"/>
      <c r="AG49" s="1374"/>
      <c r="AH49" s="1374"/>
      <c r="AI49" s="1374"/>
      <c r="AJ49" s="1374"/>
      <c r="AK49" s="1374"/>
      <c r="AL49" s="1374"/>
      <c r="AM49" s="1374"/>
      <c r="AN49" s="1374"/>
      <c r="AO49" s="1374"/>
      <c r="AP49" s="1374"/>
      <c r="AQ49" s="1374"/>
      <c r="AR49" s="1374"/>
      <c r="AS49" s="1374"/>
      <c r="AT49" s="1374"/>
      <c r="AU49" s="1374"/>
      <c r="AV49" s="1374"/>
      <c r="AW49" s="1374"/>
      <c r="AX49" s="1374"/>
      <c r="AY49" s="1374"/>
      <c r="AZ49" s="1374"/>
      <c r="BA49" s="47"/>
      <c r="BB49" s="47"/>
      <c r="BC49" s="47"/>
      <c r="BD49" s="47"/>
      <c r="BE49" s="47"/>
      <c r="BF49" s="47"/>
      <c r="BG49" s="47"/>
      <c r="BH49" s="47"/>
      <c r="BI49" s="47"/>
      <c r="BJ49" s="47"/>
      <c r="BK49" s="377"/>
      <c r="BL49" s="64"/>
      <c r="BM49" s="1155" t="str">
        <f>BH3</f>
        <v>Model Case:</v>
      </c>
      <c r="BN49" s="65" t="str">
        <f>BI3</f>
        <v>Base</v>
      </c>
    </row>
    <row r="50" spans="1:66" s="60" customFormat="1" ht="14.1" customHeight="1" x14ac:dyDescent="0.2">
      <c r="A50"/>
      <c r="B50"/>
      <c r="C50" s="133" t="str">
        <f>C4</f>
        <v>WACC and Capital Structure Assumptions</v>
      </c>
      <c r="D50" s="133"/>
      <c r="E50" s="133"/>
      <c r="F50" s="133"/>
      <c r="G50" s="133"/>
      <c r="H50" s="133"/>
      <c r="I50" s="133"/>
      <c r="J50" s="133"/>
      <c r="K50" s="133"/>
      <c r="L50" s="133"/>
      <c r="M50" s="133"/>
      <c r="N50" s="67" t="str">
        <f t="shared" si="29"/>
        <v>DCF Share Value as of 12/31/2024:</v>
      </c>
      <c r="O50" s="65">
        <f t="shared" si="29"/>
        <v>520.1066763818468</v>
      </c>
      <c r="R50" s="1387" t="str">
        <f>C50</f>
        <v>WACC and Capital Structure Assumptions</v>
      </c>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48"/>
      <c r="BC50" s="48"/>
      <c r="BD50" s="48"/>
      <c r="BE50" s="48"/>
      <c r="BF50" s="48"/>
      <c r="BG50" s="48"/>
      <c r="BH50" s="48"/>
      <c r="BI50" s="48"/>
      <c r="BJ50" s="48"/>
      <c r="BK50" s="377"/>
      <c r="BL50" s="64"/>
      <c r="BM50" s="1155" t="str">
        <f>BM3</f>
        <v>DCF Share Value as of 12/31/2024:</v>
      </c>
      <c r="BN50" s="65">
        <f>BN3</f>
        <v>520.1066763818468</v>
      </c>
    </row>
    <row r="51" spans="1:66" s="60" customFormat="1" ht="14.1" customHeight="1" x14ac:dyDescent="0.2">
      <c r="A51"/>
      <c r="B51"/>
      <c r="C51" s="151" t="str">
        <f>C5</f>
        <v>($ in millions, fiscal year ending December,31)</v>
      </c>
      <c r="D51" s="133"/>
      <c r="E51" s="133"/>
      <c r="F51" s="133"/>
      <c r="G51" s="133"/>
      <c r="H51" s="133"/>
      <c r="I51" s="133"/>
      <c r="J51" s="133"/>
      <c r="K51" s="133"/>
      <c r="L51" s="133"/>
      <c r="M51" s="133"/>
      <c r="N51" s="67" t="str">
        <f t="shared" si="29"/>
        <v>Market Share Price as of 12/31/2024:</v>
      </c>
      <c r="O51" s="65">
        <f t="shared" si="29"/>
        <v>455.73</v>
      </c>
      <c r="R51" s="144" t="str">
        <f>"Quarterly and Year Basis"</f>
        <v>Quarterly and Year Basis</v>
      </c>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c r="AS51" s="95"/>
      <c r="AT51" s="95"/>
      <c r="AU51" s="95"/>
      <c r="AV51" s="95"/>
      <c r="AW51" s="95"/>
      <c r="AX51" s="95"/>
      <c r="AY51" s="95"/>
      <c r="AZ51" s="95"/>
      <c r="BA51" s="95"/>
      <c r="BB51" s="63"/>
      <c r="BC51" s="63"/>
      <c r="BD51" s="63"/>
      <c r="BE51" s="63"/>
      <c r="BF51" s="63"/>
      <c r="BG51" s="48"/>
      <c r="BH51" s="48"/>
      <c r="BI51" s="48"/>
      <c r="BJ51" s="48"/>
      <c r="BK51" s="377"/>
      <c r="BL51" s="64"/>
      <c r="BM51" s="1155" t="str">
        <f>BM4</f>
        <v>Market Share Price as of 12/31/2024:</v>
      </c>
      <c r="BN51" s="65">
        <f>BN4</f>
        <v>455.73</v>
      </c>
    </row>
    <row r="52" spans="1:66" s="60" customFormat="1" ht="14.1" customHeight="1" x14ac:dyDescent="0.2">
      <c r="A52"/>
      <c r="B52"/>
      <c r="C52" s="96"/>
      <c r="D52" s="97">
        <f t="shared" ref="D52:O52" si="30">D7</f>
        <v>43100</v>
      </c>
      <c r="E52" s="98">
        <f t="shared" si="30"/>
        <v>43465</v>
      </c>
      <c r="F52" s="98">
        <f t="shared" si="30"/>
        <v>43830</v>
      </c>
      <c r="G52" s="98">
        <f t="shared" si="30"/>
        <v>44196</v>
      </c>
      <c r="H52" s="98">
        <f t="shared" si="30"/>
        <v>44561</v>
      </c>
      <c r="I52" s="98">
        <f t="shared" si="30"/>
        <v>44926</v>
      </c>
      <c r="J52" s="98">
        <f t="shared" si="30"/>
        <v>45291</v>
      </c>
      <c r="K52" s="137">
        <f t="shared" si="30"/>
        <v>45657</v>
      </c>
      <c r="L52" s="138">
        <f t="shared" si="30"/>
        <v>46022</v>
      </c>
      <c r="M52" s="138">
        <f t="shared" si="30"/>
        <v>46387</v>
      </c>
      <c r="N52" s="138">
        <f t="shared" si="30"/>
        <v>46752</v>
      </c>
      <c r="O52" s="139">
        <f t="shared" si="30"/>
        <v>47118</v>
      </c>
      <c r="R52" s="96"/>
      <c r="S52" s="1395">
        <f>S5</f>
        <v>43100</v>
      </c>
      <c r="T52" s="1396"/>
      <c r="U52" s="1396"/>
      <c r="V52" s="1396"/>
      <c r="W52" s="1397"/>
      <c r="X52" s="1395">
        <f>X5</f>
        <v>43465</v>
      </c>
      <c r="Y52" s="1396"/>
      <c r="Z52" s="1396"/>
      <c r="AA52" s="1396"/>
      <c r="AB52" s="1397"/>
      <c r="AC52" s="1395">
        <f>AC5</f>
        <v>43830</v>
      </c>
      <c r="AD52" s="1396"/>
      <c r="AE52" s="1396"/>
      <c r="AF52" s="1396"/>
      <c r="AG52" s="1397"/>
      <c r="AH52" s="1395">
        <f>AH5</f>
        <v>44196</v>
      </c>
      <c r="AI52" s="1396"/>
      <c r="AJ52" s="1396"/>
      <c r="AK52" s="1396"/>
      <c r="AL52" s="1397"/>
      <c r="AM52" s="1395">
        <f>AM5</f>
        <v>44561</v>
      </c>
      <c r="AN52" s="1396"/>
      <c r="AO52" s="1396"/>
      <c r="AP52" s="1396"/>
      <c r="AQ52" s="1397"/>
      <c r="AR52" s="1395">
        <f>AR5</f>
        <v>44926</v>
      </c>
      <c r="AS52" s="1396"/>
      <c r="AT52" s="1396"/>
      <c r="AU52" s="1396"/>
      <c r="AV52" s="1397"/>
      <c r="AW52" s="1395">
        <f>AW5</f>
        <v>45291</v>
      </c>
      <c r="AX52" s="1396"/>
      <c r="AY52" s="1396"/>
      <c r="AZ52" s="1396"/>
      <c r="BA52" s="1397"/>
      <c r="BB52" s="1389">
        <f>BB5</f>
        <v>45657</v>
      </c>
      <c r="BC52" s="1390"/>
      <c r="BD52" s="1390"/>
      <c r="BE52" s="1390"/>
      <c r="BF52" s="1391"/>
      <c r="BG52" s="1399">
        <f>BG5</f>
        <v>46022</v>
      </c>
      <c r="BH52" s="1423"/>
      <c r="BI52" s="1423"/>
      <c r="BJ52" s="1423"/>
      <c r="BK52" s="1423"/>
      <c r="BL52" s="375"/>
      <c r="BM52" s="375"/>
      <c r="BN52" s="375"/>
    </row>
    <row r="53" spans="1:66" s="143" customFormat="1" ht="14.1" customHeight="1" x14ac:dyDescent="0.2">
      <c r="A53"/>
      <c r="P53" s="60"/>
      <c r="Q53" s="60"/>
      <c r="R53" s="42"/>
      <c r="S53" s="96" t="str">
        <f t="shared" ref="S53:AX53" si="31">S7</f>
        <v>2017 Q1</v>
      </c>
      <c r="T53" s="140" t="str">
        <f t="shared" si="31"/>
        <v>2017 Q2</v>
      </c>
      <c r="U53" s="140" t="str">
        <f t="shared" si="31"/>
        <v>2017 Q3</v>
      </c>
      <c r="V53" s="140" t="str">
        <f t="shared" si="31"/>
        <v>2017 Q4</v>
      </c>
      <c r="W53" s="140" t="str">
        <f t="shared" si="31"/>
        <v>2017 FY</v>
      </c>
      <c r="X53" s="140" t="str">
        <f t="shared" si="31"/>
        <v>2018 Q1</v>
      </c>
      <c r="Y53" s="140" t="str">
        <f t="shared" si="31"/>
        <v>2018 Q2</v>
      </c>
      <c r="Z53" s="140" t="str">
        <f t="shared" si="31"/>
        <v>2018 Q3</v>
      </c>
      <c r="AA53" s="140" t="str">
        <f t="shared" si="31"/>
        <v>2018 Q4</v>
      </c>
      <c r="AB53" s="140" t="str">
        <f t="shared" si="31"/>
        <v>2018 FY</v>
      </c>
      <c r="AC53" s="140" t="str">
        <f t="shared" si="31"/>
        <v>2019 Q1</v>
      </c>
      <c r="AD53" s="140" t="str">
        <f t="shared" si="31"/>
        <v>2019 Q2</v>
      </c>
      <c r="AE53" s="140" t="str">
        <f t="shared" si="31"/>
        <v>2019 Q3</v>
      </c>
      <c r="AF53" s="140" t="str">
        <f t="shared" si="31"/>
        <v>2019 Q4</v>
      </c>
      <c r="AG53" s="140" t="str">
        <f t="shared" si="31"/>
        <v>2019 FY</v>
      </c>
      <c r="AH53" s="140" t="str">
        <f t="shared" si="31"/>
        <v>2020 Q1</v>
      </c>
      <c r="AI53" s="140" t="str">
        <f t="shared" si="31"/>
        <v>2020 Q2</v>
      </c>
      <c r="AJ53" s="140" t="str">
        <f t="shared" si="31"/>
        <v>2020 Q3</v>
      </c>
      <c r="AK53" s="140" t="str">
        <f t="shared" si="31"/>
        <v>2020 Q4</v>
      </c>
      <c r="AL53" s="140" t="str">
        <f t="shared" si="31"/>
        <v>2020 FY</v>
      </c>
      <c r="AM53" s="140" t="str">
        <f t="shared" si="31"/>
        <v>2021 Q1</v>
      </c>
      <c r="AN53" s="140" t="str">
        <f t="shared" si="31"/>
        <v>2021 Q2</v>
      </c>
      <c r="AO53" s="140" t="str">
        <f t="shared" si="31"/>
        <v>2021 Q3</v>
      </c>
      <c r="AP53" s="140" t="str">
        <f t="shared" si="31"/>
        <v>2021 Q4</v>
      </c>
      <c r="AQ53" s="140" t="str">
        <f t="shared" si="31"/>
        <v>2021 FY</v>
      </c>
      <c r="AR53" s="140" t="str">
        <f t="shared" si="31"/>
        <v>2022 Q1</v>
      </c>
      <c r="AS53" s="140" t="str">
        <f t="shared" si="31"/>
        <v>2022 Q2</v>
      </c>
      <c r="AT53" s="140" t="str">
        <f t="shared" si="31"/>
        <v>2022 Q3</v>
      </c>
      <c r="AU53" s="140" t="str">
        <f t="shared" si="31"/>
        <v>2022 Q4</v>
      </c>
      <c r="AV53" s="140" t="str">
        <f t="shared" si="31"/>
        <v>2022 FY</v>
      </c>
      <c r="AW53" s="140" t="str">
        <f t="shared" si="31"/>
        <v>2023 Q1</v>
      </c>
      <c r="AX53" s="140" t="str">
        <f t="shared" si="31"/>
        <v>2023 Q2</v>
      </c>
      <c r="AY53" s="140" t="str">
        <f t="shared" ref="AY53:BK53" si="32">AY7</f>
        <v>2023 Q3</v>
      </c>
      <c r="AZ53" s="140" t="str">
        <f t="shared" si="32"/>
        <v>2023 Q4</v>
      </c>
      <c r="BA53" s="140" t="str">
        <f t="shared" si="32"/>
        <v>2023 FY</v>
      </c>
      <c r="BB53" s="140" t="str">
        <f t="shared" si="32"/>
        <v>2024 Q1</v>
      </c>
      <c r="BC53" s="140" t="str">
        <f t="shared" si="32"/>
        <v>2024 Q2</v>
      </c>
      <c r="BD53" s="140" t="str">
        <f t="shared" si="32"/>
        <v>2024 Q3</v>
      </c>
      <c r="BE53" s="141" t="str">
        <f t="shared" si="32"/>
        <v>2024 Q4</v>
      </c>
      <c r="BF53" s="142" t="str">
        <f t="shared" si="32"/>
        <v>2024 FY</v>
      </c>
      <c r="BG53" s="141" t="str">
        <f t="shared" si="32"/>
        <v>2025 Q1</v>
      </c>
      <c r="BH53" s="141" t="str">
        <f t="shared" si="32"/>
        <v>2025 Q2</v>
      </c>
      <c r="BI53" s="141" t="str">
        <f t="shared" si="32"/>
        <v>2025 Q3</v>
      </c>
      <c r="BJ53" s="141" t="str">
        <f t="shared" si="32"/>
        <v>2025 Q4</v>
      </c>
      <c r="BK53" s="141" t="str">
        <f t="shared" si="32"/>
        <v>2025 FY</v>
      </c>
      <c r="BL53" s="141" t="str">
        <f>BL7</f>
        <v>2026 FY</v>
      </c>
      <c r="BM53" s="141" t="str">
        <f>BM7</f>
        <v>2027 FY</v>
      </c>
      <c r="BN53" s="142" t="str">
        <f>BN7</f>
        <v>2028 FY</v>
      </c>
    </row>
    <row r="54" spans="1:66" ht="14.1" customHeight="1" thickBot="1" x14ac:dyDescent="0.25">
      <c r="A54" s="150"/>
      <c r="C54" s="867" t="s">
        <v>215</v>
      </c>
      <c r="D54" s="868">
        <f t="shared" ref="D54:I54" si="33">IFERROR(((D66/D67)*D60)+((D65/D67)*D59)+((D64/D67)*D58)+((D63/D67)*D57)+((D62/D67)*D56),0%)</f>
        <v>0</v>
      </c>
      <c r="E54" s="868">
        <f t="shared" si="33"/>
        <v>0</v>
      </c>
      <c r="F54" s="868">
        <f t="shared" si="33"/>
        <v>3.3636061219170094E-2</v>
      </c>
      <c r="G54" s="868">
        <f t="shared" si="33"/>
        <v>4.243332654177346E-2</v>
      </c>
      <c r="H54" s="868">
        <f t="shared" si="33"/>
        <v>4.2171457431817327E-2</v>
      </c>
      <c r="I54" s="868">
        <f t="shared" si="33"/>
        <v>4.8190468177640847E-2</v>
      </c>
      <c r="J54" s="898">
        <f>((J66/J67)*J60)+((J65/J67)*J59)+((J64/J67)*J58)+((J63/J67)*J57)+((J62/J67)*J56)</f>
        <v>5.2335830203234165E-2</v>
      </c>
      <c r="K54" s="868">
        <f>IFERROR(((K66/K67)*K60)+((K65/K67)*K59)+((K64/K67)*K58)+((K63/K67)*K57)+((K62/K67)*K56),0%)</f>
        <v>6.0059881418307925E-2</v>
      </c>
      <c r="L54" s="1287">
        <v>5.6349006593205006E-2</v>
      </c>
      <c r="M54" s="1287">
        <v>5.9398230035335356E-2</v>
      </c>
      <c r="N54" s="1287">
        <v>5.8836897514249836E-2</v>
      </c>
      <c r="O54" s="1288">
        <v>5.8718890409393279E-2</v>
      </c>
      <c r="R54" s="879" t="str">
        <f t="shared" ref="R54:R61" si="34">C54</f>
        <v>Weighted Average Cost of Debt</v>
      </c>
      <c r="S54" s="880"/>
      <c r="T54" s="881"/>
      <c r="U54" s="881"/>
      <c r="V54" s="881"/>
      <c r="W54" s="880"/>
      <c r="X54" s="884"/>
      <c r="Y54" s="881"/>
      <c r="Z54" s="881"/>
      <c r="AA54" s="881"/>
      <c r="AB54" s="885"/>
      <c r="AC54" s="901">
        <f t="shared" ref="AC54:BD54" si="35">((AC66/AC67)*AC60)+((AC65/AC67)*AC59)+((AC64/AC67)*AC58)+((AC63/AC67)*AC57)+((AC62/AC67)*AC56)</f>
        <v>3.1036499734733825E-2</v>
      </c>
      <c r="AD54" s="902">
        <f t="shared" si="35"/>
        <v>2.7532532837474283E-2</v>
      </c>
      <c r="AE54" s="902">
        <f t="shared" si="35"/>
        <v>3.1328360253367937E-2</v>
      </c>
      <c r="AF54" s="902">
        <f t="shared" si="35"/>
        <v>3.4759403713282892E-2</v>
      </c>
      <c r="AG54" s="903">
        <f>((AG66/AG67)*AG60)+((AG65/AG67)*AG59)+((AG64/AG67)*AG58)+((AG63/AG67)*AG57)+((AG62/AG67)*AG56)</f>
        <v>3.5882760124473966E-2</v>
      </c>
      <c r="AH54" s="901">
        <f t="shared" si="35"/>
        <v>2.4534708593476368E-2</v>
      </c>
      <c r="AI54" s="902">
        <f t="shared" si="35"/>
        <v>3.0386540129885189E-2</v>
      </c>
      <c r="AJ54" s="902">
        <f t="shared" si="35"/>
        <v>3.4396491403438631E-2</v>
      </c>
      <c r="AK54" s="902">
        <f t="shared" si="35"/>
        <v>4.243332654177346E-2</v>
      </c>
      <c r="AL54" s="903">
        <f t="shared" si="35"/>
        <v>4.243332654177346E-2</v>
      </c>
      <c r="AM54" s="901">
        <f t="shared" si="35"/>
        <v>4.1693988949415478E-2</v>
      </c>
      <c r="AN54" s="902">
        <f t="shared" si="35"/>
        <v>4.1750056213682996E-2</v>
      </c>
      <c r="AO54" s="902">
        <f t="shared" si="35"/>
        <v>4.1939610593724384E-2</v>
      </c>
      <c r="AP54" s="902">
        <f t="shared" si="35"/>
        <v>4.2171457431817327E-2</v>
      </c>
      <c r="AQ54" s="903">
        <f t="shared" si="35"/>
        <v>4.2171457431817327E-2</v>
      </c>
      <c r="AR54" s="901">
        <f t="shared" si="35"/>
        <v>4.6837103292917244E-2</v>
      </c>
      <c r="AS54" s="902">
        <f t="shared" si="35"/>
        <v>4.725690607734806E-2</v>
      </c>
      <c r="AT54" s="902">
        <f t="shared" si="35"/>
        <v>4.7634893922255631E-2</v>
      </c>
      <c r="AU54" s="902">
        <f t="shared" si="35"/>
        <v>4.8190468177640847E-2</v>
      </c>
      <c r="AV54" s="903">
        <f t="shared" si="35"/>
        <v>4.8190468177640847E-2</v>
      </c>
      <c r="AW54" s="901">
        <f t="shared" si="35"/>
        <v>5.1448190964795859E-2</v>
      </c>
      <c r="AX54" s="902">
        <f t="shared" si="35"/>
        <v>5.1789304804926911E-2</v>
      </c>
      <c r="AY54" s="902">
        <f t="shared" si="35"/>
        <v>5.2216021590044889E-2</v>
      </c>
      <c r="AZ54" s="902">
        <f t="shared" si="35"/>
        <v>5.2335830203234165E-2</v>
      </c>
      <c r="BA54" s="903">
        <f t="shared" si="35"/>
        <v>5.2335830203234165E-2</v>
      </c>
      <c r="BB54" s="901">
        <f t="shared" si="35"/>
        <v>5.842281107646323E-2</v>
      </c>
      <c r="BC54" s="902">
        <f t="shared" si="35"/>
        <v>5.9226969158975011E-2</v>
      </c>
      <c r="BD54" s="902">
        <f t="shared" si="35"/>
        <v>5.9927756038670801E-2</v>
      </c>
      <c r="BE54" s="902">
        <f>IFERROR(((BE66/BE67)*BE60)+((BE65/BE67)*BE59)+((BE64/BE67)*BE58)+((BE63/BE67)*BE57)+((BE62/BE67)*BE56),0%)</f>
        <v>6.0059881418307925E-2</v>
      </c>
      <c r="BF54" s="903">
        <f t="shared" ref="BF54:BN54" si="36">IFERROR(((BF66/BF67)*BF60)+((BF65/BF67)*BF59)+((BF64/BF67)*BF58)+((BF63/BF67)*BF57)+((BF62/BF67)*BF56),0%)</f>
        <v>6.0059881418307925E-2</v>
      </c>
      <c r="BG54" s="902">
        <f t="shared" si="36"/>
        <v>5.9660058613587877E-2</v>
      </c>
      <c r="BH54" s="902">
        <f t="shared" si="36"/>
        <v>5.9668884579604717E-2</v>
      </c>
      <c r="BI54" s="902">
        <f t="shared" si="36"/>
        <v>5.9828764969065841E-2</v>
      </c>
      <c r="BJ54" s="902">
        <f t="shared" si="36"/>
        <v>5.9910357870877701E-2</v>
      </c>
      <c r="BK54" s="904">
        <f t="shared" si="36"/>
        <v>5.9910357870877701E-2</v>
      </c>
      <c r="BL54" s="905">
        <f t="shared" si="36"/>
        <v>5.9910357870877701E-2</v>
      </c>
      <c r="BM54" s="905">
        <f t="shared" si="36"/>
        <v>5.9910357870877701E-2</v>
      </c>
      <c r="BN54" s="905">
        <f t="shared" si="36"/>
        <v>6.0900000000000003E-2</v>
      </c>
    </row>
    <row r="55" spans="1:66" s="742" customFormat="1" ht="14.1" customHeight="1" thickTop="1" x14ac:dyDescent="0.2">
      <c r="A55"/>
      <c r="B55" s="150"/>
      <c r="C55" s="865" t="s">
        <v>216</v>
      </c>
      <c r="D55" s="866"/>
      <c r="E55" s="866"/>
      <c r="F55" s="866"/>
      <c r="G55" s="866"/>
      <c r="H55" s="866"/>
      <c r="I55" s="866"/>
      <c r="J55" s="1275"/>
      <c r="K55" s="1276"/>
      <c r="L55" s="1276"/>
      <c r="M55" s="1276"/>
      <c r="N55" s="1276"/>
      <c r="O55" s="1277"/>
      <c r="P55" s="114"/>
      <c r="Q55" s="114"/>
      <c r="R55" s="680" t="str">
        <f t="shared" si="34"/>
        <v>Cost of Debt:</v>
      </c>
      <c r="T55" s="861"/>
      <c r="U55" s="861"/>
      <c r="V55" s="861"/>
      <c r="X55" s="906"/>
      <c r="Y55" s="861"/>
      <c r="Z55" s="861"/>
      <c r="AA55" s="861"/>
      <c r="AB55" s="907"/>
      <c r="AC55" s="906"/>
      <c r="AD55" s="861"/>
      <c r="AE55" s="861"/>
      <c r="AF55" s="861"/>
      <c r="AG55" s="907"/>
      <c r="AH55" s="906"/>
      <c r="AI55" s="861"/>
      <c r="AJ55" s="861"/>
      <c r="AK55" s="861"/>
      <c r="AL55" s="907"/>
      <c r="AM55" s="906"/>
      <c r="AN55" s="861"/>
      <c r="AO55" s="861"/>
      <c r="AP55" s="861"/>
      <c r="AQ55" s="907"/>
      <c r="AR55" s="906"/>
      <c r="AS55" s="861"/>
      <c r="AT55" s="861"/>
      <c r="AU55" s="861"/>
      <c r="AV55" s="907"/>
      <c r="AW55" s="906"/>
      <c r="AX55" s="861"/>
      <c r="AY55" s="861"/>
      <c r="AZ55" s="861"/>
      <c r="BA55" s="907"/>
      <c r="BB55" s="906"/>
      <c r="BC55" s="861"/>
      <c r="BD55" s="861"/>
      <c r="BE55" s="861"/>
      <c r="BF55" s="907"/>
      <c r="BG55" s="861"/>
      <c r="BH55" s="861"/>
      <c r="BI55" s="861"/>
      <c r="BJ55" s="861"/>
      <c r="BL55" s="908"/>
      <c r="BM55" s="908"/>
      <c r="BN55" s="908"/>
    </row>
    <row r="56" spans="1:66" s="742" customFormat="1" ht="14.1" customHeight="1" x14ac:dyDescent="0.2">
      <c r="A56"/>
      <c r="B56"/>
      <c r="C56" s="683" t="s">
        <v>217</v>
      </c>
      <c r="D56" s="165">
        <f>W56</f>
        <v>0</v>
      </c>
      <c r="E56" s="165">
        <f>AB56</f>
        <v>0</v>
      </c>
      <c r="F56" s="165">
        <f>AG56</f>
        <v>0</v>
      </c>
      <c r="G56" s="165">
        <f>AL56</f>
        <v>0</v>
      </c>
      <c r="H56" s="165">
        <f>AQ56</f>
        <v>0</v>
      </c>
      <c r="I56" s="165">
        <f>AV56</f>
        <v>0</v>
      </c>
      <c r="J56" s="1278">
        <f>BA56</f>
        <v>0</v>
      </c>
      <c r="K56" s="1279">
        <f>BF56</f>
        <v>0</v>
      </c>
      <c r="L56" s="1279"/>
      <c r="M56" s="1279"/>
      <c r="N56" s="1279"/>
      <c r="O56" s="1231"/>
      <c r="P56" s="114"/>
      <c r="Q56" s="114"/>
      <c r="R56" s="683" t="str">
        <f t="shared" si="34"/>
        <v>Cost of Short-Term Debt</v>
      </c>
      <c r="T56" s="861"/>
      <c r="U56" s="861"/>
      <c r="V56" s="861"/>
      <c r="X56" s="906"/>
      <c r="Y56" s="861"/>
      <c r="Z56" s="861"/>
      <c r="AA56" s="861"/>
      <c r="AB56" s="907"/>
      <c r="AC56" s="906"/>
      <c r="AD56" s="861"/>
      <c r="AE56" s="861"/>
      <c r="AF56" s="861"/>
      <c r="AG56" s="907"/>
      <c r="AH56" s="906"/>
      <c r="AI56" s="861"/>
      <c r="AJ56" s="861"/>
      <c r="AK56" s="861"/>
      <c r="AL56" s="907"/>
      <c r="AM56" s="906"/>
      <c r="AN56" s="861"/>
      <c r="AO56" s="861"/>
      <c r="AP56" s="861"/>
      <c r="AQ56" s="907"/>
      <c r="AR56" s="906"/>
      <c r="AS56" s="861"/>
      <c r="AT56" s="861"/>
      <c r="AU56" s="861"/>
      <c r="AV56" s="907"/>
      <c r="AW56" s="906"/>
      <c r="AX56" s="861"/>
      <c r="AY56" s="861"/>
      <c r="AZ56" s="861"/>
      <c r="BA56" s="907"/>
      <c r="BB56" s="906"/>
      <c r="BC56" s="861"/>
      <c r="BD56" s="861"/>
      <c r="BE56" s="861"/>
      <c r="BF56" s="907"/>
      <c r="BG56" s="861"/>
      <c r="BH56" s="861"/>
      <c r="BI56" s="861"/>
      <c r="BJ56" s="861"/>
      <c r="BL56" s="908"/>
      <c r="BM56" s="908"/>
      <c r="BN56" s="908"/>
    </row>
    <row r="57" spans="1:66" s="742" customFormat="1" ht="14.1" customHeight="1" x14ac:dyDescent="0.2">
      <c r="A57"/>
      <c r="B57"/>
      <c r="C57" s="683" t="s">
        <v>481</v>
      </c>
      <c r="D57" s="165">
        <f>W57</f>
        <v>0</v>
      </c>
      <c r="E57" s="165">
        <f>AB57</f>
        <v>0</v>
      </c>
      <c r="F57" s="165">
        <f>AG57</f>
        <v>0</v>
      </c>
      <c r="G57" s="165">
        <f>AL57</f>
        <v>0</v>
      </c>
      <c r="H57" s="165">
        <f>AQ57</f>
        <v>0</v>
      </c>
      <c r="I57" s="165">
        <f>AV57</f>
        <v>0</v>
      </c>
      <c r="J57" s="1278">
        <f>BA57</f>
        <v>0</v>
      </c>
      <c r="K57" s="1279">
        <f>BF57</f>
        <v>6.9000000000000006E-2</v>
      </c>
      <c r="L57" s="1279"/>
      <c r="M57" s="1279"/>
      <c r="N57" s="1279"/>
      <c r="O57" s="1231"/>
      <c r="P57" s="114"/>
      <c r="Q57" s="114"/>
      <c r="R57" s="683" t="str">
        <f t="shared" si="34"/>
        <v>Cost of Long-term debt</v>
      </c>
      <c r="T57" s="861"/>
      <c r="U57" s="861"/>
      <c r="V57" s="861"/>
      <c r="X57" s="906"/>
      <c r="Y57" s="861"/>
      <c r="Z57" s="861"/>
      <c r="AA57" s="861"/>
      <c r="AB57" s="907"/>
      <c r="AC57" s="906"/>
      <c r="AD57" s="861"/>
      <c r="AE57" s="861"/>
      <c r="AF57" s="861"/>
      <c r="AG57" s="907"/>
      <c r="AH57" s="906"/>
      <c r="AI57" s="861"/>
      <c r="AJ57" s="861"/>
      <c r="AK57" s="861"/>
      <c r="AL57" s="907"/>
      <c r="AM57" s="906"/>
      <c r="AN57" s="861"/>
      <c r="AO57" s="861"/>
      <c r="AP57" s="861"/>
      <c r="AQ57" s="907"/>
      <c r="AR57" s="906"/>
      <c r="AS57" s="861"/>
      <c r="AT57" s="861"/>
      <c r="AU57" s="861"/>
      <c r="AV57" s="907"/>
      <c r="AW57" s="906"/>
      <c r="AX57" s="861"/>
      <c r="AY57" s="861"/>
      <c r="AZ57" s="861"/>
      <c r="BA57" s="907"/>
      <c r="BB57" s="906">
        <f>BC57</f>
        <v>6.9000000000000006E-2</v>
      </c>
      <c r="BC57" s="861">
        <f>BD57</f>
        <v>6.9000000000000006E-2</v>
      </c>
      <c r="BD57" s="861">
        <v>6.9000000000000006E-2</v>
      </c>
      <c r="BE57" s="861">
        <f t="shared" ref="BE57:BG60" si="37">BD57</f>
        <v>6.9000000000000006E-2</v>
      </c>
      <c r="BF57" s="907">
        <f t="shared" si="37"/>
        <v>6.9000000000000006E-2</v>
      </c>
      <c r="BG57" s="861">
        <f t="shared" si="37"/>
        <v>6.9000000000000006E-2</v>
      </c>
      <c r="BH57" s="861">
        <f t="shared" ref="BH57:BN57" si="38">BG57</f>
        <v>6.9000000000000006E-2</v>
      </c>
      <c r="BI57" s="861">
        <f t="shared" si="38"/>
        <v>6.9000000000000006E-2</v>
      </c>
      <c r="BJ57" s="861">
        <f t="shared" si="38"/>
        <v>6.9000000000000006E-2</v>
      </c>
      <c r="BK57" s="742">
        <f t="shared" si="38"/>
        <v>6.9000000000000006E-2</v>
      </c>
      <c r="BL57" s="908">
        <f t="shared" si="38"/>
        <v>6.9000000000000006E-2</v>
      </c>
      <c r="BM57" s="908">
        <f t="shared" si="38"/>
        <v>6.9000000000000006E-2</v>
      </c>
      <c r="BN57" s="908">
        <f t="shared" si="38"/>
        <v>6.9000000000000006E-2</v>
      </c>
    </row>
    <row r="58" spans="1:66" s="742" customFormat="1" ht="14.1" customHeight="1" x14ac:dyDescent="0.2">
      <c r="A58"/>
      <c r="B58"/>
      <c r="C58" s="683" t="s">
        <v>482</v>
      </c>
      <c r="D58" s="116"/>
      <c r="E58" s="116"/>
      <c r="F58" s="160">
        <v>4.8000000000000001E-2</v>
      </c>
      <c r="G58" s="160">
        <v>4.7E-2</v>
      </c>
      <c r="H58" s="160">
        <v>4.4999999999999998E-2</v>
      </c>
      <c r="I58" s="160">
        <v>5.0999999999999997E-2</v>
      </c>
      <c r="J58" s="1278">
        <v>5.3999999999999999E-2</v>
      </c>
      <c r="K58" s="1230">
        <f>BF58</f>
        <v>5.3999999999999999E-2</v>
      </c>
      <c r="L58" s="1280">
        <f>K58</f>
        <v>5.3999999999999999E-2</v>
      </c>
      <c r="M58" s="1230">
        <f>L58</f>
        <v>5.3999999999999999E-2</v>
      </c>
      <c r="N58" s="1280">
        <f>M58</f>
        <v>5.3999999999999999E-2</v>
      </c>
      <c r="O58" s="1231">
        <f>N58</f>
        <v>5.3999999999999999E-2</v>
      </c>
      <c r="P58" s="114"/>
      <c r="Q58" s="114"/>
      <c r="R58" s="683" t="str">
        <f t="shared" si="34"/>
        <v>Cost of operating lease liability</v>
      </c>
      <c r="T58" s="861"/>
      <c r="U58" s="861"/>
      <c r="V58" s="861"/>
      <c r="X58" s="909"/>
      <c r="Y58" s="190"/>
      <c r="Z58" s="190"/>
      <c r="AA58" s="190"/>
      <c r="AB58" s="211"/>
      <c r="AC58" s="909">
        <v>4.8000000000000001E-2</v>
      </c>
      <c r="AD58" s="190">
        <v>4.8000000000000001E-2</v>
      </c>
      <c r="AE58" s="190">
        <v>4.8000000000000001E-2</v>
      </c>
      <c r="AF58" s="190">
        <v>4.8000000000000001E-2</v>
      </c>
      <c r="AG58" s="211">
        <v>4.8000000000000001E-2</v>
      </c>
      <c r="AH58" s="909">
        <v>4.7E-2</v>
      </c>
      <c r="AI58" s="190">
        <v>4.7E-2</v>
      </c>
      <c r="AJ58" s="190">
        <v>4.7E-2</v>
      </c>
      <c r="AK58" s="190">
        <v>4.7E-2</v>
      </c>
      <c r="AL58" s="211">
        <v>4.7E-2</v>
      </c>
      <c r="AM58" s="909">
        <v>4.4999999999999998E-2</v>
      </c>
      <c r="AN58" s="190">
        <v>4.4999999999999998E-2</v>
      </c>
      <c r="AO58" s="190">
        <v>4.4999999999999998E-2</v>
      </c>
      <c r="AP58" s="190">
        <v>4.4999999999999998E-2</v>
      </c>
      <c r="AQ58" s="211">
        <v>4.4999999999999998E-2</v>
      </c>
      <c r="AR58" s="909">
        <v>5.0999999999999997E-2</v>
      </c>
      <c r="AS58" s="190">
        <v>5.0999999999999997E-2</v>
      </c>
      <c r="AT58" s="190">
        <v>5.0999999999999997E-2</v>
      </c>
      <c r="AU58" s="190">
        <v>5.0999999999999997E-2</v>
      </c>
      <c r="AV58" s="211">
        <v>5.0999999999999997E-2</v>
      </c>
      <c r="AW58" s="909">
        <v>5.3999999999999999E-2</v>
      </c>
      <c r="AX58" s="190">
        <v>5.3999999999999999E-2</v>
      </c>
      <c r="AY58" s="190">
        <v>5.3999999999999999E-2</v>
      </c>
      <c r="AZ58" s="190">
        <v>5.3999999999999999E-2</v>
      </c>
      <c r="BA58" s="211">
        <v>5.3999999999999999E-2</v>
      </c>
      <c r="BB58" s="909">
        <v>5.3999999999999999E-2</v>
      </c>
      <c r="BC58" s="861">
        <v>5.3999999999999999E-2</v>
      </c>
      <c r="BD58" s="861">
        <v>5.3999999999999999E-2</v>
      </c>
      <c r="BE58" s="861">
        <f t="shared" si="37"/>
        <v>5.3999999999999999E-2</v>
      </c>
      <c r="BF58" s="907">
        <f t="shared" si="37"/>
        <v>5.3999999999999999E-2</v>
      </c>
      <c r="BG58" s="861">
        <f t="shared" si="37"/>
        <v>5.3999999999999999E-2</v>
      </c>
      <c r="BH58" s="861">
        <f t="shared" ref="BH58:BN58" si="39">BG58</f>
        <v>5.3999999999999999E-2</v>
      </c>
      <c r="BI58" s="861">
        <f t="shared" si="39"/>
        <v>5.3999999999999999E-2</v>
      </c>
      <c r="BJ58" s="861">
        <f t="shared" si="39"/>
        <v>5.3999999999999999E-2</v>
      </c>
      <c r="BK58" s="742">
        <f t="shared" si="39"/>
        <v>5.3999999999999999E-2</v>
      </c>
      <c r="BL58" s="908">
        <f t="shared" si="39"/>
        <v>5.3999999999999999E-2</v>
      </c>
      <c r="BM58" s="908">
        <f t="shared" si="39"/>
        <v>5.3999999999999999E-2</v>
      </c>
      <c r="BN58" s="908">
        <f t="shared" si="39"/>
        <v>5.3999999999999999E-2</v>
      </c>
    </row>
    <row r="59" spans="1:66" s="742" customFormat="1" ht="14.1" customHeight="1" x14ac:dyDescent="0.2">
      <c r="A59"/>
      <c r="B59"/>
      <c r="C59" s="683" t="s">
        <v>484</v>
      </c>
      <c r="D59" s="116"/>
      <c r="E59" s="116"/>
      <c r="F59" s="861">
        <v>3.4000000000000002E-2</v>
      </c>
      <c r="G59" s="861">
        <v>3.5000000000000003E-2</v>
      </c>
      <c r="H59" s="861">
        <v>3.5999999999999997E-2</v>
      </c>
      <c r="I59" s="861">
        <v>3.6999999999999998E-2</v>
      </c>
      <c r="J59" s="1281">
        <v>0.04</v>
      </c>
      <c r="K59" s="1279">
        <f>BF59</f>
        <v>4.1000000000000002E-2</v>
      </c>
      <c r="L59" s="1279"/>
      <c r="M59" s="1279"/>
      <c r="N59" s="1279"/>
      <c r="O59" s="1231"/>
      <c r="P59" s="114"/>
      <c r="Q59" s="114"/>
      <c r="R59" s="683" t="str">
        <f t="shared" si="34"/>
        <v>Cost of Finance Lease</v>
      </c>
      <c r="T59" s="861"/>
      <c r="U59" s="861"/>
      <c r="V59" s="861"/>
      <c r="X59" s="906"/>
      <c r="Y59" s="861"/>
      <c r="Z59" s="861"/>
      <c r="AA59" s="861"/>
      <c r="AB59" s="907"/>
      <c r="AC59" s="909">
        <f>F59</f>
        <v>3.4000000000000002E-2</v>
      </c>
      <c r="AD59" s="190">
        <f>G59</f>
        <v>3.5000000000000003E-2</v>
      </c>
      <c r="AE59" s="190">
        <f>H59</f>
        <v>3.5999999999999997E-2</v>
      </c>
      <c r="AF59" s="190">
        <f>I59</f>
        <v>3.6999999999999998E-2</v>
      </c>
      <c r="AG59" s="211">
        <f>J59</f>
        <v>0.04</v>
      </c>
      <c r="AH59" s="906">
        <f>G59</f>
        <v>3.5000000000000003E-2</v>
      </c>
      <c r="AI59" s="861">
        <f>AH59</f>
        <v>3.5000000000000003E-2</v>
      </c>
      <c r="AJ59" s="190">
        <f>AI59</f>
        <v>3.5000000000000003E-2</v>
      </c>
      <c r="AK59" s="190">
        <f>AJ59</f>
        <v>3.5000000000000003E-2</v>
      </c>
      <c r="AL59" s="211">
        <f>AK59</f>
        <v>3.5000000000000003E-2</v>
      </c>
      <c r="AM59" s="906">
        <f>H59</f>
        <v>3.5999999999999997E-2</v>
      </c>
      <c r="AN59" s="861">
        <f>AM59</f>
        <v>3.5999999999999997E-2</v>
      </c>
      <c r="AO59" s="861">
        <f>AN59</f>
        <v>3.5999999999999997E-2</v>
      </c>
      <c r="AP59" s="861">
        <f>AO59</f>
        <v>3.5999999999999997E-2</v>
      </c>
      <c r="AQ59" s="861">
        <f>AP59</f>
        <v>3.5999999999999997E-2</v>
      </c>
      <c r="AR59" s="906">
        <f>I59</f>
        <v>3.6999999999999998E-2</v>
      </c>
      <c r="AS59" s="861">
        <f>AR59</f>
        <v>3.6999999999999998E-2</v>
      </c>
      <c r="AT59" s="861">
        <f>AS59</f>
        <v>3.6999999999999998E-2</v>
      </c>
      <c r="AU59" s="861">
        <f>AT59</f>
        <v>3.6999999999999998E-2</v>
      </c>
      <c r="AV59" s="861">
        <f>AU59</f>
        <v>3.6999999999999998E-2</v>
      </c>
      <c r="AW59" s="906">
        <f>J59</f>
        <v>0.04</v>
      </c>
      <c r="AX59" s="861">
        <f>AW59</f>
        <v>0.04</v>
      </c>
      <c r="AY59" s="861">
        <f>AX59</f>
        <v>0.04</v>
      </c>
      <c r="AZ59" s="861">
        <f>AY59</f>
        <v>0.04</v>
      </c>
      <c r="BA59" s="861">
        <f>AZ59</f>
        <v>0.04</v>
      </c>
      <c r="BB59" s="906">
        <v>4.1000000000000002E-2</v>
      </c>
      <c r="BC59" s="861">
        <v>4.1000000000000002E-2</v>
      </c>
      <c r="BD59" s="861">
        <v>4.1000000000000002E-2</v>
      </c>
      <c r="BE59" s="861">
        <f t="shared" si="37"/>
        <v>4.1000000000000002E-2</v>
      </c>
      <c r="BF59" s="907">
        <f t="shared" si="37"/>
        <v>4.1000000000000002E-2</v>
      </c>
      <c r="BG59" s="861">
        <f t="shared" si="37"/>
        <v>4.1000000000000002E-2</v>
      </c>
      <c r="BH59" s="861">
        <f t="shared" ref="BH59:BN59" si="40">BG59</f>
        <v>4.1000000000000002E-2</v>
      </c>
      <c r="BI59" s="861">
        <f t="shared" si="40"/>
        <v>4.1000000000000002E-2</v>
      </c>
      <c r="BJ59" s="861">
        <f t="shared" si="40"/>
        <v>4.1000000000000002E-2</v>
      </c>
      <c r="BK59" s="742">
        <f t="shared" si="40"/>
        <v>4.1000000000000002E-2</v>
      </c>
      <c r="BL59" s="908">
        <f t="shared" si="40"/>
        <v>4.1000000000000002E-2</v>
      </c>
      <c r="BM59" s="908">
        <f t="shared" si="40"/>
        <v>4.1000000000000002E-2</v>
      </c>
      <c r="BN59" s="908">
        <f t="shared" si="40"/>
        <v>4.1000000000000002E-2</v>
      </c>
    </row>
    <row r="60" spans="1:66" s="742" customFormat="1" ht="14.1" customHeight="1" x14ac:dyDescent="0.2">
      <c r="A60"/>
      <c r="B60"/>
      <c r="C60" s="683" t="str">
        <f>"Cost of "&amp;C66</f>
        <v>Cost of Private Shelf Agreement - Notes</v>
      </c>
      <c r="D60" s="861">
        <f>W60</f>
        <v>0</v>
      </c>
      <c r="E60" s="861">
        <f>AB60</f>
        <v>0</v>
      </c>
      <c r="F60" s="861">
        <f>AG60</f>
        <v>0</v>
      </c>
      <c r="G60" s="861">
        <f>AL60</f>
        <v>0</v>
      </c>
      <c r="H60" s="861">
        <f>AQ60</f>
        <v>0</v>
      </c>
      <c r="I60" s="861">
        <f>AV60</f>
        <v>0</v>
      </c>
      <c r="J60" s="1281">
        <f>BA60</f>
        <v>0</v>
      </c>
      <c r="K60" s="1279">
        <f>BF60</f>
        <v>6.0900000000000003E-2</v>
      </c>
      <c r="L60" s="1279"/>
      <c r="M60" s="1279"/>
      <c r="N60" s="1279"/>
      <c r="O60" s="1231"/>
      <c r="P60" s="116"/>
      <c r="Q60" s="114"/>
      <c r="R60" s="863" t="str">
        <f t="shared" si="34"/>
        <v>Cost of Private Shelf Agreement - Notes</v>
      </c>
      <c r="S60" s="913"/>
      <c r="T60" s="911"/>
      <c r="U60" s="911"/>
      <c r="V60" s="911"/>
      <c r="W60" s="913"/>
      <c r="X60" s="910"/>
      <c r="Y60" s="911"/>
      <c r="Z60" s="911"/>
      <c r="AA60" s="911"/>
      <c r="AB60" s="912"/>
      <c r="AC60" s="910"/>
      <c r="AD60" s="911"/>
      <c r="AE60" s="911"/>
      <c r="AF60" s="911"/>
      <c r="AG60" s="912"/>
      <c r="AH60" s="910"/>
      <c r="AI60" s="911"/>
      <c r="AJ60" s="911"/>
      <c r="AK60" s="911"/>
      <c r="AL60" s="912"/>
      <c r="AM60" s="910"/>
      <c r="AN60" s="911"/>
      <c r="AO60" s="911"/>
      <c r="AP60" s="911"/>
      <c r="AQ60" s="912"/>
      <c r="AR60" s="910"/>
      <c r="AS60" s="911"/>
      <c r="AT60" s="911"/>
      <c r="AU60" s="911"/>
      <c r="AV60" s="912"/>
      <c r="AW60" s="910"/>
      <c r="AX60" s="911"/>
      <c r="AY60" s="911"/>
      <c r="AZ60" s="911"/>
      <c r="BA60" s="912"/>
      <c r="BB60" s="910"/>
      <c r="BC60" s="911">
        <f>BD60</f>
        <v>6.0900000000000003E-2</v>
      </c>
      <c r="BD60" s="911">
        <v>6.0900000000000003E-2</v>
      </c>
      <c r="BE60" s="911">
        <f t="shared" si="37"/>
        <v>6.0900000000000003E-2</v>
      </c>
      <c r="BF60" s="912">
        <f t="shared" si="37"/>
        <v>6.0900000000000003E-2</v>
      </c>
      <c r="BG60" s="911">
        <f t="shared" si="37"/>
        <v>6.0900000000000003E-2</v>
      </c>
      <c r="BH60" s="911">
        <f t="shared" ref="BH60:BN60" si="41">BG60</f>
        <v>6.0900000000000003E-2</v>
      </c>
      <c r="BI60" s="911">
        <f t="shared" si="41"/>
        <v>6.0900000000000003E-2</v>
      </c>
      <c r="BJ60" s="911">
        <f t="shared" si="41"/>
        <v>6.0900000000000003E-2</v>
      </c>
      <c r="BK60" s="913">
        <f t="shared" si="41"/>
        <v>6.0900000000000003E-2</v>
      </c>
      <c r="BL60" s="914">
        <f t="shared" si="41"/>
        <v>6.0900000000000003E-2</v>
      </c>
      <c r="BM60" s="914">
        <f t="shared" si="41"/>
        <v>6.0900000000000003E-2</v>
      </c>
      <c r="BN60" s="914">
        <f t="shared" si="41"/>
        <v>6.0900000000000003E-2</v>
      </c>
    </row>
    <row r="61" spans="1:66" ht="14.1" customHeight="1" x14ac:dyDescent="0.2">
      <c r="C61" s="864" t="s">
        <v>478</v>
      </c>
      <c r="D61" s="451"/>
      <c r="E61" s="451"/>
      <c r="F61" s="451"/>
      <c r="G61" s="451"/>
      <c r="H61" s="451"/>
      <c r="I61" s="451"/>
      <c r="J61" s="1282"/>
      <c r="K61" s="1244"/>
      <c r="L61" s="1244"/>
      <c r="M61" s="1244"/>
      <c r="N61" s="1244"/>
      <c r="O61" s="1242"/>
      <c r="P61" s="115"/>
      <c r="Q61" s="115"/>
      <c r="R61" s="680" t="str">
        <f t="shared" si="34"/>
        <v>Debt Break down:</v>
      </c>
      <c r="S61" s="115"/>
      <c r="T61" s="116"/>
      <c r="U61" s="116"/>
      <c r="V61" s="116"/>
      <c r="W61" s="115"/>
      <c r="X61" s="559"/>
      <c r="Y61" s="116"/>
      <c r="Z61" s="116"/>
      <c r="AA61" s="116"/>
      <c r="AB61" s="551"/>
      <c r="AC61" s="559"/>
      <c r="AD61" s="116"/>
      <c r="AE61" s="116"/>
      <c r="AF61" s="116"/>
      <c r="AG61" s="551"/>
      <c r="AH61" s="559"/>
      <c r="AI61" s="116"/>
      <c r="AJ61" s="116"/>
      <c r="AK61" s="116"/>
      <c r="AL61" s="551"/>
      <c r="AM61" s="559"/>
      <c r="AN61" s="116"/>
      <c r="AO61" s="116"/>
      <c r="AP61" s="116"/>
      <c r="AQ61" s="551"/>
      <c r="AR61" s="559"/>
      <c r="AS61" s="116"/>
      <c r="AT61" s="116"/>
      <c r="AU61" s="116"/>
      <c r="AV61" s="551"/>
      <c r="AW61" s="559"/>
      <c r="AX61" s="116"/>
      <c r="AY61" s="116"/>
      <c r="AZ61" s="116"/>
      <c r="BA61" s="551"/>
      <c r="BB61" s="559"/>
      <c r="BC61" s="116"/>
      <c r="BD61" s="116"/>
      <c r="BE61" s="116"/>
      <c r="BF61" s="551"/>
      <c r="BG61" s="116"/>
      <c r="BH61" s="116"/>
      <c r="BI61" s="116"/>
      <c r="BJ61" s="116"/>
      <c r="BL61" s="882"/>
      <c r="BM61" s="882"/>
      <c r="BN61" s="882"/>
    </row>
    <row r="62" spans="1:66" ht="14.1" customHeight="1" x14ac:dyDescent="0.2">
      <c r="C62" s="683" t="s">
        <v>479</v>
      </c>
      <c r="D62" s="116">
        <f>'Balance Sheet'!D28</f>
        <v>0</v>
      </c>
      <c r="E62" s="116">
        <f>'Balance Sheet'!E28</f>
        <v>0</v>
      </c>
      <c r="F62" s="116">
        <f>'Balance Sheet'!F28</f>
        <v>0</v>
      </c>
      <c r="G62" s="116">
        <f>'Balance Sheet'!G28</f>
        <v>0</v>
      </c>
      <c r="H62" s="116">
        <f>'Balance Sheet'!H28</f>
        <v>0</v>
      </c>
      <c r="I62" s="116">
        <f>'Balance Sheet'!I28</f>
        <v>0</v>
      </c>
      <c r="J62" s="1283">
        <f>'Balance Sheet'!J28</f>
        <v>0</v>
      </c>
      <c r="K62" s="1216">
        <f>'Balance Sheet'!K28</f>
        <v>0</v>
      </c>
      <c r="L62" s="1216"/>
      <c r="M62" s="1216"/>
      <c r="N62" s="1216"/>
      <c r="O62" s="1214"/>
      <c r="P62" s="115"/>
      <c r="Q62" s="115"/>
      <c r="R62" s="683" t="str">
        <f t="shared" ref="R62:R67" si="42">C62</f>
        <v>Short Term Debt</v>
      </c>
      <c r="S62" s="115"/>
      <c r="T62" s="116"/>
      <c r="U62" s="116"/>
      <c r="V62" s="116"/>
      <c r="W62" s="115"/>
      <c r="X62" s="559"/>
      <c r="Y62" s="116"/>
      <c r="Z62" s="116"/>
      <c r="AA62" s="116"/>
      <c r="AB62" s="551"/>
      <c r="AC62" s="559"/>
      <c r="AD62" s="116"/>
      <c r="AE62" s="116"/>
      <c r="AF62" s="116"/>
      <c r="AG62" s="551"/>
      <c r="AH62" s="559"/>
      <c r="AI62" s="116"/>
      <c r="AJ62" s="116"/>
      <c r="AK62" s="116"/>
      <c r="AL62" s="551"/>
      <c r="AM62" s="559"/>
      <c r="AN62" s="116"/>
      <c r="AO62" s="116"/>
      <c r="AP62" s="116"/>
      <c r="AQ62" s="551"/>
      <c r="AR62" s="559"/>
      <c r="AS62" s="116"/>
      <c r="AT62" s="116"/>
      <c r="AU62" s="116"/>
      <c r="AV62" s="551"/>
      <c r="AW62" s="559"/>
      <c r="AX62" s="116"/>
      <c r="AY62" s="116"/>
      <c r="AZ62" s="116"/>
      <c r="BA62" s="551"/>
      <c r="BB62" s="559"/>
      <c r="BC62" s="116"/>
      <c r="BD62" s="116"/>
      <c r="BE62" s="116"/>
      <c r="BF62" s="551"/>
      <c r="BG62" s="116"/>
      <c r="BH62" s="116"/>
      <c r="BI62" s="116"/>
      <c r="BJ62" s="116"/>
      <c r="BL62" s="882"/>
      <c r="BM62" s="882"/>
      <c r="BN62" s="882"/>
    </row>
    <row r="63" spans="1:66" ht="14.1" customHeight="1" x14ac:dyDescent="0.2">
      <c r="C63" s="683" t="s">
        <v>480</v>
      </c>
      <c r="D63" s="115"/>
      <c r="E63" s="115">
        <v>20</v>
      </c>
      <c r="F63" s="115">
        <v>45.929000000000002</v>
      </c>
      <c r="G63" s="115"/>
      <c r="H63" s="115"/>
      <c r="I63" s="115"/>
      <c r="J63" s="1284"/>
      <c r="K63" s="1212">
        <v>84.201999999999998</v>
      </c>
      <c r="L63" s="1212"/>
      <c r="M63" s="1212"/>
      <c r="N63" s="1212"/>
      <c r="O63" s="1210"/>
      <c r="P63" s="115"/>
      <c r="Q63" s="115"/>
      <c r="R63" s="683" t="str">
        <f t="shared" si="42"/>
        <v>Long term Debt</v>
      </c>
      <c r="S63" s="115"/>
      <c r="T63" s="115"/>
      <c r="U63" s="115"/>
      <c r="V63" s="115"/>
      <c r="W63" s="115"/>
      <c r="X63" s="558"/>
      <c r="Y63" s="115"/>
      <c r="Z63" s="115"/>
      <c r="AA63" s="115"/>
      <c r="AB63" s="480">
        <v>20</v>
      </c>
      <c r="AC63" s="558">
        <v>50.607999999999997</v>
      </c>
      <c r="AD63" s="115">
        <v>80.998000000000005</v>
      </c>
      <c r="AE63" s="115">
        <v>70.004999999999995</v>
      </c>
      <c r="AF63" s="115">
        <v>45.929099999999998</v>
      </c>
      <c r="AG63" s="480">
        <f>AF63</f>
        <v>45.929099999999998</v>
      </c>
      <c r="AH63" s="558">
        <v>150.06899999999999</v>
      </c>
      <c r="AI63" s="115">
        <v>80</v>
      </c>
      <c r="AJ63" s="115">
        <v>45</v>
      </c>
      <c r="AK63" s="115"/>
      <c r="AL63" s="480"/>
      <c r="AM63" s="558"/>
      <c r="AN63" s="115"/>
      <c r="AO63" s="115"/>
      <c r="AP63" s="115"/>
      <c r="AQ63" s="480"/>
      <c r="AR63" s="558"/>
      <c r="AS63" s="115"/>
      <c r="AT63" s="115"/>
      <c r="AU63" s="115"/>
      <c r="AV63" s="480"/>
      <c r="AW63" s="558"/>
      <c r="AX63" s="115"/>
      <c r="AY63" s="115"/>
      <c r="AZ63" s="115"/>
      <c r="BA63" s="480"/>
      <c r="BB63" s="558">
        <v>72</v>
      </c>
      <c r="BC63" s="115">
        <v>67</v>
      </c>
      <c r="BD63" s="115">
        <v>83</v>
      </c>
      <c r="BE63" s="115">
        <v>84.201999999999998</v>
      </c>
      <c r="BF63" s="480">
        <f>BE63</f>
        <v>84.201999999999998</v>
      </c>
      <c r="BG63" s="115">
        <f>BE63</f>
        <v>84.201999999999998</v>
      </c>
      <c r="BH63" s="115">
        <f t="shared" ref="BH63:BM63" si="43">BG63</f>
        <v>84.201999999999998</v>
      </c>
      <c r="BI63" s="115">
        <f t="shared" si="43"/>
        <v>84.201999999999998</v>
      </c>
      <c r="BJ63" s="115">
        <f t="shared" si="43"/>
        <v>84.201999999999998</v>
      </c>
      <c r="BK63" s="114">
        <f t="shared" si="43"/>
        <v>84.201999999999998</v>
      </c>
      <c r="BL63" s="882">
        <f t="shared" si="43"/>
        <v>84.201999999999998</v>
      </c>
      <c r="BM63" s="882">
        <f t="shared" si="43"/>
        <v>84.201999999999998</v>
      </c>
      <c r="BN63" s="882"/>
    </row>
    <row r="64" spans="1:66" ht="14.1" customHeight="1" x14ac:dyDescent="0.2">
      <c r="C64" s="683" t="s">
        <v>474</v>
      </c>
      <c r="D64" s="116"/>
      <c r="E64" s="116"/>
      <c r="F64" s="116">
        <f>'Balance Sheet'!F30+'Balance Sheet'!F38</f>
        <v>105.259</v>
      </c>
      <c r="G64" s="116">
        <f>'Balance Sheet'!G30+'Balance Sheet'!G38</f>
        <v>115.53</v>
      </c>
      <c r="H64" s="116">
        <f>'Balance Sheet'!H30+'Balance Sheet'!H38</f>
        <v>109.974</v>
      </c>
      <c r="I64" s="116">
        <f>'Balance Sheet'!I30+'Balance Sheet'!I38</f>
        <v>123.506</v>
      </c>
      <c r="J64" s="1283">
        <f>'Balance Sheet'!J30+'Balance Sheet'!J38</f>
        <v>122.21900000000001</v>
      </c>
      <c r="K64" s="1216">
        <f>'Balance Sheet'!K30+'Balance Sheet'!K38</f>
        <v>116.82140554382917</v>
      </c>
      <c r="L64" s="1216"/>
      <c r="M64" s="1216"/>
      <c r="N64" s="1216"/>
      <c r="O64" s="1214"/>
      <c r="R64" s="683" t="str">
        <f>C64</f>
        <v>Operating Lease</v>
      </c>
      <c r="T64" s="115"/>
      <c r="U64" s="115"/>
      <c r="V64" s="115"/>
      <c r="X64" s="559"/>
      <c r="Y64" s="116"/>
      <c r="Z64" s="116"/>
      <c r="AA64" s="116"/>
      <c r="AB64" s="551">
        <f>'Balance Sheet'!AB30+'Balance Sheet'!AB38</f>
        <v>0</v>
      </c>
      <c r="AC64" s="559">
        <f>'Balance Sheet'!AC30+'Balance Sheet'!AC38</f>
        <v>75.424999999999997</v>
      </c>
      <c r="AD64" s="116">
        <f>'Balance Sheet'!AD30+'Balance Sheet'!AD38</f>
        <v>72.881</v>
      </c>
      <c r="AE64" s="116">
        <f>'Balance Sheet'!AE30+'Balance Sheet'!AE38</f>
        <v>104.85600000000001</v>
      </c>
      <c r="AF64" s="116">
        <f>'Balance Sheet'!AF30+'Balance Sheet'!AF38</f>
        <v>105.259</v>
      </c>
      <c r="AG64" s="551">
        <f>'Balance Sheet'!AG30+'Balance Sheet'!AG38</f>
        <v>105.259</v>
      </c>
      <c r="AH64" s="559">
        <f>'Balance Sheet'!AH30+'Balance Sheet'!AH38</f>
        <v>123.971</v>
      </c>
      <c r="AI64" s="116">
        <f>'Balance Sheet'!AI30+'Balance Sheet'!AI38</f>
        <v>123.874</v>
      </c>
      <c r="AJ64" s="116">
        <f>'Balance Sheet'!AJ30+'Balance Sheet'!AJ38</f>
        <v>119.17500000000001</v>
      </c>
      <c r="AK64" s="116">
        <f>'Balance Sheet'!AK30+'Balance Sheet'!AK38</f>
        <v>115.53</v>
      </c>
      <c r="AL64" s="551">
        <f>'Balance Sheet'!AL30+'Balance Sheet'!AL38</f>
        <v>115.53</v>
      </c>
      <c r="AM64" s="559">
        <f>'Balance Sheet'!AM30+'Balance Sheet'!AM38</f>
        <v>113.702</v>
      </c>
      <c r="AN64" s="116">
        <f>'Balance Sheet'!AN30+'Balance Sheet'!AN38</f>
        <v>107.97199999999999</v>
      </c>
      <c r="AO64" s="116">
        <f>'Balance Sheet'!AO30+'Balance Sheet'!AO38</f>
        <v>107.07599999999999</v>
      </c>
      <c r="AP64" s="116">
        <f>'Balance Sheet'!AP30+'Balance Sheet'!AP38</f>
        <v>109.974</v>
      </c>
      <c r="AQ64" s="551">
        <f>'Balance Sheet'!AQ30+'Balance Sheet'!AQ38</f>
        <v>109.974</v>
      </c>
      <c r="AR64" s="559">
        <f>'Balance Sheet'!AR30+'Balance Sheet'!AR38</f>
        <v>106.051</v>
      </c>
      <c r="AS64" s="116">
        <f>'Balance Sheet'!AS30+'Balance Sheet'!AS38</f>
        <v>107.67700000000001</v>
      </c>
      <c r="AT64" s="116">
        <f>'Balance Sheet'!AT30+'Balance Sheet'!AT38</f>
        <v>110.13800000000001</v>
      </c>
      <c r="AU64" s="116">
        <f>'Balance Sheet'!AU30+'Balance Sheet'!AU38</f>
        <v>123.506</v>
      </c>
      <c r="AV64" s="551">
        <f>'Balance Sheet'!AV30+'Balance Sheet'!AV38</f>
        <v>123.506</v>
      </c>
      <c r="AW64" s="559">
        <f>'Balance Sheet'!AW30+'Balance Sheet'!AW38</f>
        <v>118.905</v>
      </c>
      <c r="AX64" s="116">
        <f>'Balance Sheet'!AX30+'Balance Sheet'!AX38</f>
        <v>113.899</v>
      </c>
      <c r="AY64" s="116">
        <f>'Balance Sheet'!AY30+'Balance Sheet'!AY38</f>
        <v>129.65299999999999</v>
      </c>
      <c r="AZ64" s="116">
        <f>'Balance Sheet'!AZ30+'Balance Sheet'!AZ38</f>
        <v>122.21900000000001</v>
      </c>
      <c r="BA64" s="551">
        <f>'Balance Sheet'!BA30+'Balance Sheet'!BA38</f>
        <v>122.21900000000001</v>
      </c>
      <c r="BB64" s="559">
        <f>'Balance Sheet'!BB30+'Balance Sheet'!BB38</f>
        <v>124.71599999999999</v>
      </c>
      <c r="BC64" s="116">
        <f>'Balance Sheet'!BC30+'Balance Sheet'!BC38</f>
        <v>123.542</v>
      </c>
      <c r="BD64" s="116">
        <f>'Balance Sheet'!BD30+'Balance Sheet'!BD38</f>
        <v>118.004</v>
      </c>
      <c r="BE64" s="115">
        <f>'Balance Sheet'!BE30+'Balance Sheet'!BE38</f>
        <v>116.82140554382917</v>
      </c>
      <c r="BF64" s="480">
        <f>'Balance Sheet'!BF30+'Balance Sheet'!BF38</f>
        <v>116.82140554382917</v>
      </c>
      <c r="BG64" s="115">
        <f>'Balance Sheet'!BG30+'Balance Sheet'!BG38</f>
        <v>138.56309280802236</v>
      </c>
      <c r="BH64" s="115">
        <f>'Balance Sheet'!BH30+'Balance Sheet'!BH38</f>
        <v>138.05004900620418</v>
      </c>
      <c r="BI64" s="115">
        <f>'Balance Sheet'!BI30+'Balance Sheet'!BI38</f>
        <v>129.02536973159383</v>
      </c>
      <c r="BJ64" s="115">
        <f>'Balance Sheet'!BJ30+'Balance Sheet'!BJ38</f>
        <v>124.6079080139038</v>
      </c>
      <c r="BK64" s="114">
        <f>'Balance Sheet'!BK30+'Balance Sheet'!BK38</f>
        <v>124.6079080139038</v>
      </c>
      <c r="BL64" s="882">
        <f t="shared" ref="BL64:BM66" si="44">BK64</f>
        <v>124.6079080139038</v>
      </c>
      <c r="BM64" s="882">
        <f t="shared" si="44"/>
        <v>124.6079080139038</v>
      </c>
      <c r="BN64" s="882"/>
    </row>
    <row r="65" spans="1:66" ht="14.1" customHeight="1" x14ac:dyDescent="0.2">
      <c r="C65" s="683" t="s">
        <v>473</v>
      </c>
      <c r="D65" s="115"/>
      <c r="E65" s="115">
        <v>102.85899999999999</v>
      </c>
      <c r="F65" s="115">
        <v>90.501000000000005</v>
      </c>
      <c r="G65" s="115">
        <v>70.975999999999999</v>
      </c>
      <c r="H65" s="115">
        <v>50.404000000000003</v>
      </c>
      <c r="I65" s="115">
        <v>31.007999999999999</v>
      </c>
      <c r="J65" s="1284">
        <v>16.488</v>
      </c>
      <c r="K65" s="1212">
        <f>BE65</f>
        <v>6.7610000000000001</v>
      </c>
      <c r="L65" s="1212"/>
      <c r="M65" s="1212"/>
      <c r="N65" s="1212"/>
      <c r="O65" s="1210"/>
      <c r="R65" s="683" t="str">
        <f>C65</f>
        <v>Finance Lease</v>
      </c>
      <c r="T65" s="115"/>
      <c r="U65" s="115"/>
      <c r="V65" s="115"/>
      <c r="X65" s="558"/>
      <c r="Y65" s="115"/>
      <c r="Z65" s="115"/>
      <c r="AA65" s="115"/>
      <c r="AB65" s="480" cm="1">
        <f t="array" ref="AB65:BD65">TRANSPOSE(Data!AG65:AG93)</f>
        <v>102.85899999999999</v>
      </c>
      <c r="AC65" s="558">
        <v>98.27</v>
      </c>
      <c r="AD65" s="115">
        <v>98.881</v>
      </c>
      <c r="AE65" s="115">
        <v>95.26</v>
      </c>
      <c r="AF65" s="115">
        <v>90.501000000000005</v>
      </c>
      <c r="AG65" s="480">
        <v>90.501000000000005</v>
      </c>
      <c r="AH65" s="558">
        <v>85.697999999999993</v>
      </c>
      <c r="AI65" s="115">
        <v>80.838999999999999</v>
      </c>
      <c r="AJ65" s="115">
        <v>75.921000000000006</v>
      </c>
      <c r="AK65" s="115">
        <v>70.975999999999999</v>
      </c>
      <c r="AL65" s="480">
        <v>70.975999999999999</v>
      </c>
      <c r="AM65" s="558">
        <v>66.016999999999996</v>
      </c>
      <c r="AN65" s="115">
        <v>61.026000000000003</v>
      </c>
      <c r="AO65" s="115">
        <v>55.170999999999999</v>
      </c>
      <c r="AP65" s="115">
        <v>50.404000000000003</v>
      </c>
      <c r="AQ65" s="480">
        <v>50.404000000000003</v>
      </c>
      <c r="AR65" s="558">
        <v>44.878999999999998</v>
      </c>
      <c r="AS65" s="115">
        <v>39.295000000000002</v>
      </c>
      <c r="AT65" s="115">
        <v>34.85</v>
      </c>
      <c r="AU65" s="115">
        <v>31.007999999999999</v>
      </c>
      <c r="AV65" s="480">
        <v>31.007999999999999</v>
      </c>
      <c r="AW65" s="558">
        <v>26.504000000000001</v>
      </c>
      <c r="AX65" s="115">
        <v>21.358000000000001</v>
      </c>
      <c r="AY65" s="115">
        <v>18.934000000000001</v>
      </c>
      <c r="AZ65" s="115">
        <v>16.488</v>
      </c>
      <c r="BA65" s="480">
        <v>16.488</v>
      </c>
      <c r="BB65" s="558">
        <v>12.051</v>
      </c>
      <c r="BC65" s="115">
        <v>9.6750000000000007</v>
      </c>
      <c r="BD65" s="115">
        <v>7.9630000000000001</v>
      </c>
      <c r="BE65" s="115">
        <f>'Balance Sheet'!BE29</f>
        <v>6.7610000000000001</v>
      </c>
      <c r="BF65" s="480">
        <f>BE65</f>
        <v>6.7610000000000001</v>
      </c>
      <c r="BG65" s="115">
        <f>'Balance Sheet'!BG29</f>
        <v>6.7610000000000001</v>
      </c>
      <c r="BH65" s="115">
        <f>'Balance Sheet'!BH29</f>
        <v>6.7610000000000001</v>
      </c>
      <c r="BI65" s="115">
        <f>'Balance Sheet'!BI29</f>
        <v>6.7610000000000001</v>
      </c>
      <c r="BJ65" s="115">
        <f>'Balance Sheet'!BJ29</f>
        <v>6.7610000000000001</v>
      </c>
      <c r="BK65" s="114">
        <f>'Balance Sheet'!BK29</f>
        <v>6.7610000000000001</v>
      </c>
      <c r="BL65" s="882">
        <f t="shared" si="44"/>
        <v>6.7610000000000001</v>
      </c>
      <c r="BM65" s="882">
        <f t="shared" si="44"/>
        <v>6.7610000000000001</v>
      </c>
      <c r="BN65" s="882"/>
    </row>
    <row r="66" spans="1:66" ht="14.1" customHeight="1" x14ac:dyDescent="0.2">
      <c r="C66" s="683" t="s">
        <v>475</v>
      </c>
      <c r="D66" s="116"/>
      <c r="E66" s="115"/>
      <c r="F66" s="115"/>
      <c r="G66" s="115"/>
      <c r="H66" s="115"/>
      <c r="I66" s="115"/>
      <c r="J66" s="1284"/>
      <c r="K66" s="1212">
        <v>100</v>
      </c>
      <c r="L66" s="1285"/>
      <c r="M66" s="1285"/>
      <c r="N66" s="1285"/>
      <c r="O66" s="1286"/>
      <c r="R66" s="683" t="str">
        <f t="shared" si="42"/>
        <v>Private Shelf Agreement - Notes</v>
      </c>
      <c r="T66" s="184"/>
      <c r="U66" s="184"/>
      <c r="V66" s="184"/>
      <c r="X66" s="698"/>
      <c r="Y66" s="184"/>
      <c r="Z66" s="184"/>
      <c r="AA66" s="184"/>
      <c r="AB66" s="685"/>
      <c r="AC66" s="698"/>
      <c r="AD66" s="184"/>
      <c r="AE66" s="184"/>
      <c r="AF66" s="184"/>
      <c r="AG66" s="685"/>
      <c r="AH66" s="698"/>
      <c r="AI66" s="184"/>
      <c r="AJ66" s="184"/>
      <c r="AK66" s="184"/>
      <c r="AL66" s="685"/>
      <c r="AM66" s="698"/>
      <c r="AN66" s="184"/>
      <c r="AO66" s="184"/>
      <c r="AP66" s="184"/>
      <c r="AQ66" s="685"/>
      <c r="AR66" s="698"/>
      <c r="AS66" s="184"/>
      <c r="AT66" s="184"/>
      <c r="AU66" s="184"/>
      <c r="AV66" s="685"/>
      <c r="AW66" s="698"/>
      <c r="AX66" s="184"/>
      <c r="AY66" s="184"/>
      <c r="AZ66" s="184"/>
      <c r="BA66" s="685"/>
      <c r="BB66" s="698"/>
      <c r="BC66" s="184">
        <v>100</v>
      </c>
      <c r="BD66" s="184">
        <v>100</v>
      </c>
      <c r="BE66" s="184">
        <v>100</v>
      </c>
      <c r="BF66" s="685">
        <f>BE66</f>
        <v>100</v>
      </c>
      <c r="BG66" s="184">
        <f>BF66</f>
        <v>100</v>
      </c>
      <c r="BH66" s="184">
        <f>BG66</f>
        <v>100</v>
      </c>
      <c r="BI66" s="184">
        <f>BH66</f>
        <v>100</v>
      </c>
      <c r="BJ66" s="184">
        <f>BI66</f>
        <v>100</v>
      </c>
      <c r="BK66" s="114">
        <f>BJ66</f>
        <v>100</v>
      </c>
      <c r="BL66" s="882">
        <f t="shared" si="44"/>
        <v>100</v>
      </c>
      <c r="BM66" s="882">
        <f t="shared" si="44"/>
        <v>100</v>
      </c>
      <c r="BN66" s="882">
        <f>BM66</f>
        <v>100</v>
      </c>
    </row>
    <row r="67" spans="1:66" ht="14.1" customHeight="1" x14ac:dyDescent="0.2">
      <c r="C67" s="862" t="s">
        <v>483</v>
      </c>
      <c r="D67" s="126"/>
      <c r="E67" s="126">
        <f t="shared" ref="E67:K67" si="45">SUM(E62:E66)</f>
        <v>122.85899999999999</v>
      </c>
      <c r="F67" s="126">
        <f t="shared" si="45"/>
        <v>241.68899999999999</v>
      </c>
      <c r="G67" s="126">
        <f t="shared" si="45"/>
        <v>186.506</v>
      </c>
      <c r="H67" s="126">
        <f t="shared" si="45"/>
        <v>160.37800000000001</v>
      </c>
      <c r="I67" s="126">
        <f t="shared" si="45"/>
        <v>154.51400000000001</v>
      </c>
      <c r="J67" s="899">
        <f t="shared" si="45"/>
        <v>138.70699999999999</v>
      </c>
      <c r="K67" s="126">
        <f t="shared" si="45"/>
        <v>307.78440554382917</v>
      </c>
      <c r="L67" s="126"/>
      <c r="M67" s="126"/>
      <c r="N67" s="126"/>
      <c r="O67" s="622"/>
      <c r="R67" s="872" t="str">
        <f t="shared" si="42"/>
        <v>Total Debt</v>
      </c>
      <c r="S67" s="773"/>
      <c r="T67" s="873"/>
      <c r="U67" s="873"/>
      <c r="V67" s="873"/>
      <c r="W67" s="773"/>
      <c r="X67" s="633"/>
      <c r="Y67" s="773"/>
      <c r="Z67" s="773"/>
      <c r="AA67" s="773"/>
      <c r="AB67" s="874">
        <f>SUM(AB62:AB66)</f>
        <v>122.85899999999999</v>
      </c>
      <c r="AC67" s="633">
        <f t="shared" ref="AC67:AH67" si="46">SUM(AC62:AC66)</f>
        <v>224.303</v>
      </c>
      <c r="AD67" s="773">
        <f t="shared" si="46"/>
        <v>252.76000000000002</v>
      </c>
      <c r="AE67" s="773">
        <f t="shared" si="46"/>
        <v>270.12099999999998</v>
      </c>
      <c r="AF67" s="773">
        <f t="shared" si="46"/>
        <v>241.6891</v>
      </c>
      <c r="AG67" s="874">
        <f t="shared" si="46"/>
        <v>241.6891</v>
      </c>
      <c r="AH67" s="633">
        <f t="shared" si="46"/>
        <v>359.73799999999994</v>
      </c>
      <c r="AI67" s="773">
        <f t="shared" ref="AI67:BN67" si="47">SUM(AI62:AI66)</f>
        <v>284.71299999999997</v>
      </c>
      <c r="AJ67" s="773">
        <f t="shared" si="47"/>
        <v>240.096</v>
      </c>
      <c r="AK67" s="773">
        <f t="shared" si="47"/>
        <v>186.506</v>
      </c>
      <c r="AL67" s="874">
        <f t="shared" si="47"/>
        <v>186.506</v>
      </c>
      <c r="AM67" s="633">
        <f t="shared" si="47"/>
        <v>179.71899999999999</v>
      </c>
      <c r="AN67" s="773">
        <f t="shared" si="47"/>
        <v>168.99799999999999</v>
      </c>
      <c r="AO67" s="773">
        <f t="shared" si="47"/>
        <v>162.24699999999999</v>
      </c>
      <c r="AP67" s="773">
        <f t="shared" si="47"/>
        <v>160.37800000000001</v>
      </c>
      <c r="AQ67" s="874">
        <f t="shared" si="47"/>
        <v>160.37800000000001</v>
      </c>
      <c r="AR67" s="633">
        <f t="shared" si="47"/>
        <v>150.93</v>
      </c>
      <c r="AS67" s="773">
        <f t="shared" si="47"/>
        <v>146.97200000000001</v>
      </c>
      <c r="AT67" s="773">
        <f t="shared" si="47"/>
        <v>144.988</v>
      </c>
      <c r="AU67" s="773">
        <f t="shared" si="47"/>
        <v>154.51400000000001</v>
      </c>
      <c r="AV67" s="874">
        <f t="shared" si="47"/>
        <v>154.51400000000001</v>
      </c>
      <c r="AW67" s="633">
        <f t="shared" si="47"/>
        <v>145.40899999999999</v>
      </c>
      <c r="AX67" s="773">
        <f t="shared" si="47"/>
        <v>135.25700000000001</v>
      </c>
      <c r="AY67" s="773">
        <f t="shared" si="47"/>
        <v>148.58699999999999</v>
      </c>
      <c r="AZ67" s="773">
        <f t="shared" si="47"/>
        <v>138.70699999999999</v>
      </c>
      <c r="BA67" s="874">
        <f t="shared" si="47"/>
        <v>138.70699999999999</v>
      </c>
      <c r="BB67" s="633">
        <f t="shared" si="47"/>
        <v>208.767</v>
      </c>
      <c r="BC67" s="773">
        <f t="shared" si="47"/>
        <v>300.21699999999998</v>
      </c>
      <c r="BD67" s="773">
        <f t="shared" si="47"/>
        <v>308.96699999999998</v>
      </c>
      <c r="BE67" s="773">
        <f t="shared" si="47"/>
        <v>307.78440554382917</v>
      </c>
      <c r="BF67" s="874">
        <f t="shared" si="47"/>
        <v>307.78440554382917</v>
      </c>
      <c r="BG67" s="773">
        <f t="shared" si="47"/>
        <v>329.52609280802233</v>
      </c>
      <c r="BH67" s="773">
        <f t="shared" si="47"/>
        <v>329.01304900620414</v>
      </c>
      <c r="BI67" s="773">
        <f t="shared" si="47"/>
        <v>319.98836973159382</v>
      </c>
      <c r="BJ67" s="773">
        <f t="shared" si="47"/>
        <v>315.57090801390382</v>
      </c>
      <c r="BK67" s="773">
        <f t="shared" si="47"/>
        <v>315.57090801390382</v>
      </c>
      <c r="BL67" s="883">
        <f t="shared" si="47"/>
        <v>315.57090801390382</v>
      </c>
      <c r="BM67" s="883">
        <f t="shared" si="47"/>
        <v>315.57090801390382</v>
      </c>
      <c r="BN67" s="883">
        <f t="shared" si="47"/>
        <v>100</v>
      </c>
    </row>
    <row r="68" spans="1:66" ht="14.1" customHeight="1" x14ac:dyDescent="0.2">
      <c r="C68" s="634"/>
      <c r="D68" s="581"/>
      <c r="E68" s="581"/>
      <c r="F68" s="581"/>
      <c r="G68" s="581"/>
      <c r="H68" s="581"/>
      <c r="I68" s="581"/>
      <c r="J68" s="900"/>
      <c r="K68" s="581"/>
      <c r="L68" s="581"/>
      <c r="M68" s="581"/>
      <c r="N68" s="581"/>
      <c r="O68" s="582"/>
      <c r="R68" s="875"/>
      <c r="S68" s="773"/>
      <c r="T68" s="873"/>
      <c r="U68" s="873"/>
      <c r="V68" s="873"/>
      <c r="W68" s="773"/>
      <c r="X68" s="635"/>
      <c r="Y68" s="126"/>
      <c r="Z68" s="126"/>
      <c r="AA68" s="126"/>
      <c r="AB68" s="622"/>
      <c r="AC68" s="635"/>
      <c r="AD68" s="126"/>
      <c r="AE68" s="126"/>
      <c r="AF68" s="126"/>
      <c r="AG68" s="622"/>
      <c r="AH68" s="635"/>
      <c r="AI68" s="126"/>
      <c r="AJ68" s="126"/>
      <c r="AK68" s="126"/>
      <c r="AL68" s="622"/>
      <c r="AM68" s="635"/>
      <c r="AN68" s="126"/>
      <c r="AO68" s="126"/>
      <c r="AP68" s="126"/>
      <c r="AQ68" s="622"/>
      <c r="AR68" s="635"/>
      <c r="AS68" s="126"/>
      <c r="AT68" s="126"/>
      <c r="AU68" s="126"/>
      <c r="AV68" s="622"/>
      <c r="AW68" s="635"/>
      <c r="AX68" s="126"/>
      <c r="AY68" s="126"/>
      <c r="AZ68" s="126"/>
      <c r="BA68" s="622"/>
      <c r="BB68" s="635"/>
      <c r="BC68" s="126"/>
      <c r="BD68" s="126"/>
      <c r="BE68" s="126"/>
      <c r="BF68" s="622"/>
      <c r="BG68" s="126"/>
      <c r="BH68" s="126"/>
      <c r="BI68" s="126"/>
      <c r="BJ68" s="126"/>
      <c r="BK68" s="773"/>
      <c r="BL68" s="883"/>
      <c r="BM68" s="883"/>
      <c r="BN68" s="883"/>
    </row>
    <row r="69" spans="1:66" ht="14.1" customHeight="1" x14ac:dyDescent="0.2">
      <c r="D69" s="98">
        <f>D52</f>
        <v>43100</v>
      </c>
      <c r="E69" s="98">
        <f>E52</f>
        <v>43465</v>
      </c>
      <c r="F69" s="98">
        <f>F52</f>
        <v>43830</v>
      </c>
      <c r="G69" s="98">
        <f>G52</f>
        <v>44196</v>
      </c>
      <c r="H69" s="98">
        <f t="shared" ref="H69:O69" si="48">H52</f>
        <v>44561</v>
      </c>
      <c r="I69" s="98">
        <f t="shared" si="48"/>
        <v>44926</v>
      </c>
      <c r="J69" s="98">
        <f t="shared" si="48"/>
        <v>45291</v>
      </c>
      <c r="K69" s="137">
        <f t="shared" si="48"/>
        <v>45657</v>
      </c>
      <c r="L69" s="138">
        <f t="shared" si="48"/>
        <v>46022</v>
      </c>
      <c r="M69" s="138">
        <f t="shared" si="48"/>
        <v>46387</v>
      </c>
      <c r="N69" s="138">
        <f t="shared" si="48"/>
        <v>46752</v>
      </c>
      <c r="O69" s="1002">
        <f t="shared" si="48"/>
        <v>47118</v>
      </c>
      <c r="R69" s="173"/>
      <c r="T69" s="183"/>
      <c r="U69" s="183"/>
      <c r="V69" s="183"/>
      <c r="X69" s="183"/>
      <c r="Y69" s="183"/>
      <c r="Z69" s="183"/>
      <c r="AA69" s="183"/>
      <c r="AB69" s="183"/>
      <c r="AC69" s="183"/>
      <c r="AD69" s="183"/>
      <c r="AE69" s="183"/>
      <c r="AF69" s="183"/>
      <c r="AG69" s="183"/>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row>
    <row r="70" spans="1:66" ht="14.1" customHeight="1" x14ac:dyDescent="0.2">
      <c r="C70" s="704"/>
      <c r="D70" s="1420" t="s">
        <v>565</v>
      </c>
      <c r="E70" s="1421"/>
      <c r="F70" s="1421"/>
      <c r="G70" s="1421"/>
      <c r="H70" s="1421"/>
      <c r="I70" s="1421"/>
      <c r="J70" s="1422"/>
      <c r="K70" s="1417" t="s">
        <v>564</v>
      </c>
      <c r="L70" s="1418"/>
      <c r="M70" s="1418"/>
      <c r="N70" s="1418"/>
      <c r="O70" s="1419"/>
      <c r="R70" s="173"/>
      <c r="T70" s="183"/>
      <c r="U70" s="183"/>
      <c r="V70" s="183"/>
      <c r="X70" s="183"/>
      <c r="Y70" s="183"/>
      <c r="Z70" s="183"/>
      <c r="AA70" s="183"/>
      <c r="AB70" s="183"/>
      <c r="AC70" s="183"/>
      <c r="AD70" s="183"/>
      <c r="AE70" s="183"/>
      <c r="AF70" s="183"/>
      <c r="AG70" s="183"/>
      <c r="AH70" s="183"/>
      <c r="AI70" s="183"/>
      <c r="AJ70" s="183"/>
      <c r="AK70" s="183"/>
      <c r="AL70" s="183"/>
      <c r="AM70" s="183"/>
      <c r="AN70" s="183"/>
      <c r="AO70" s="183"/>
      <c r="AP70" s="183"/>
      <c r="AQ70" s="183"/>
      <c r="AR70" s="183"/>
      <c r="AS70" s="183"/>
      <c r="AT70" s="183"/>
      <c r="AU70" s="183"/>
      <c r="AV70" s="183"/>
      <c r="AW70" s="183"/>
      <c r="AX70" s="183"/>
      <c r="AY70" s="183"/>
      <c r="AZ70" s="183"/>
      <c r="BA70" s="183"/>
      <c r="BB70" s="183"/>
      <c r="BC70" s="183"/>
      <c r="BD70" s="183"/>
      <c r="BE70" s="183"/>
      <c r="BF70" s="183"/>
      <c r="BG70" s="183"/>
      <c r="BH70" s="183"/>
      <c r="BI70" s="183"/>
      <c r="BJ70" s="183"/>
    </row>
    <row r="71" spans="1:66" ht="14.1" customHeight="1" x14ac:dyDescent="0.2">
      <c r="C71" s="700" t="str">
        <f t="shared" ref="C71:C76" si="49">C21</f>
        <v>Debt Value to Enterprise Value (Based on Maket Value)</v>
      </c>
      <c r="D71" s="178">
        <f t="shared" ref="D71:I76" si="50">D21</f>
        <v>6.9085908070308288E-2</v>
      </c>
      <c r="E71" s="178">
        <f t="shared" si="50"/>
        <v>7.9424356060383033E-2</v>
      </c>
      <c r="F71" s="178">
        <f t="shared" si="50"/>
        <v>9.1436583780397637E-2</v>
      </c>
      <c r="G71" s="178">
        <f t="shared" si="50"/>
        <v>3.8154670331511237E-2</v>
      </c>
      <c r="H71" s="178">
        <f t="shared" si="50"/>
        <v>1.8023810409992E-2</v>
      </c>
      <c r="I71" s="178">
        <f t="shared" si="50"/>
        <v>2.8085983667671097E-2</v>
      </c>
      <c r="J71" s="178">
        <f t="shared" ref="J71:J76" si="51">J21</f>
        <v>1.2117930817549272E-2</v>
      </c>
      <c r="K71" s="1004">
        <f>IF('Revenue Build'!$O$3="Reversed", 'WACC &amp; Capital Structure'!K109, IF('Revenue Build'!$O$3="Base",'WACC &amp; Capital Structure'!K117, IF('Revenue Build'!$O$3="Bull",'WACC &amp; Capital Structure'!K125,'WACC &amp; Capital Structure'!K133)))</f>
        <v>2.18E-2</v>
      </c>
      <c r="L71" s="742">
        <f>IF('Revenue Build'!$O$3="Reversed", 'WACC &amp; Capital Structure'!L109, IF('Revenue Build'!$O$3="Base",'WACC &amp; Capital Structure'!L117, IF('Revenue Build'!$O$3="Bull",'WACC &amp; Capital Structure'!L125,'WACC &amp; Capital Structure'!L133)))</f>
        <v>2.41E-2</v>
      </c>
      <c r="M71" s="742">
        <f>IF('Revenue Build'!$O$3="Reversed", 'WACC &amp; Capital Structure'!M109, IF('Revenue Build'!$O$3="Base",'WACC &amp; Capital Structure'!M117, IF('Revenue Build'!$O$3="Bull",'WACC &amp; Capital Structure'!M125,'WACC &amp; Capital Structure'!M133)))</f>
        <v>2.0899999999999998E-2</v>
      </c>
      <c r="N71" s="742">
        <f>IF('Revenue Build'!$O$3="Reversed", 'WACC &amp; Capital Structure'!N109, IF('Revenue Build'!$O$3="Base",'WACC &amp; Capital Structure'!N117, IF('Revenue Build'!$O$3="Bull",'WACC &amp; Capital Structure'!N125,'WACC &amp; Capital Structure'!N133)))</f>
        <v>0.02</v>
      </c>
      <c r="O71" s="1006">
        <f>IF('Revenue Build'!$O$3="Reversed", 'WACC &amp; Capital Structure'!O109, IF('Revenue Build'!$O$3="Base",'WACC &amp; Capital Structure'!O117, IF('Revenue Build'!$O$3="Bull",'WACC &amp; Capital Structure'!O125,'WACC &amp; Capital Structure'!O133)))</f>
        <v>2.0400000000000001E-2</v>
      </c>
      <c r="R71" s="173"/>
      <c r="T71" s="183"/>
      <c r="U71" s="183"/>
      <c r="V71" s="183"/>
      <c r="X71" s="183"/>
      <c r="Y71" s="183"/>
      <c r="Z71" s="183"/>
      <c r="AA71" s="183"/>
      <c r="AB71" s="183"/>
      <c r="AC71" s="183"/>
      <c r="AD71" s="183"/>
      <c r="AE71" s="183"/>
      <c r="AF71" s="183"/>
      <c r="AG71" s="183"/>
      <c r="AH71" s="183"/>
      <c r="AI71" s="183"/>
      <c r="AJ71" s="183"/>
      <c r="AK71" s="183"/>
      <c r="AL71" s="183"/>
      <c r="AM71" s="183"/>
      <c r="AN71" s="183"/>
      <c r="AO71" s="183"/>
      <c r="AP71" s="183"/>
      <c r="AQ71" s="183"/>
      <c r="AR71" s="183"/>
      <c r="AS71" s="183"/>
      <c r="AT71" s="183"/>
      <c r="AU71" s="183"/>
      <c r="AV71" s="183"/>
      <c r="AW71" s="183"/>
      <c r="AX71" s="183"/>
      <c r="AY71" s="183"/>
      <c r="AZ71" s="183"/>
      <c r="BA71" s="183"/>
      <c r="BB71" s="183"/>
      <c r="BC71" s="183"/>
      <c r="BD71" s="183"/>
      <c r="BE71" s="183"/>
      <c r="BF71" s="183"/>
      <c r="BG71" s="183"/>
      <c r="BH71" s="183"/>
      <c r="BI71" s="183"/>
      <c r="BJ71" s="183"/>
    </row>
    <row r="72" spans="1:66" ht="14.1" customHeight="1" x14ac:dyDescent="0.2">
      <c r="C72" s="700" t="str">
        <f t="shared" si="49"/>
        <v>Preferred Stock &amp; Non-Controlling Interest Value to Enterprise Value (Based on Maket Value)</v>
      </c>
      <c r="D72" s="178">
        <f t="shared" si="50"/>
        <v>0</v>
      </c>
      <c r="E72" s="178">
        <f t="shared" si="50"/>
        <v>0</v>
      </c>
      <c r="F72" s="178">
        <f t="shared" si="50"/>
        <v>0</v>
      </c>
      <c r="G72" s="178">
        <f t="shared" si="50"/>
        <v>0</v>
      </c>
      <c r="H72" s="178">
        <f t="shared" si="50"/>
        <v>0</v>
      </c>
      <c r="I72" s="178">
        <f t="shared" si="50"/>
        <v>0</v>
      </c>
      <c r="J72" s="178">
        <f t="shared" si="51"/>
        <v>0</v>
      </c>
      <c r="K72" s="1005">
        <f>IF('Revenue Build'!$O$3="Reversed", 'WACC &amp; Capital Structure'!K110, IF('Revenue Build'!$O$3="Base",'WACC &amp; Capital Structure'!K118, IF('Revenue Build'!$O$3="Bull",'WACC &amp; Capital Structure'!K126,'WACC &amp; Capital Structure'!K134)))</f>
        <v>0</v>
      </c>
      <c r="L72" s="861">
        <f>IF('Revenue Build'!$O$3="Reversed", 'WACC &amp; Capital Structure'!L110, IF('Revenue Build'!$O$3="Base",'WACC &amp; Capital Structure'!L118, IF('Revenue Build'!$O$3="Bull",'WACC &amp; Capital Structure'!L126,'WACC &amp; Capital Structure'!L134)))</f>
        <v>0</v>
      </c>
      <c r="M72" s="861">
        <f>IF('Revenue Build'!$O$3="Reversed", 'WACC &amp; Capital Structure'!M110, IF('Revenue Build'!$O$3="Base",'WACC &amp; Capital Structure'!M118, IF('Revenue Build'!$O$3="Bull",'WACC &amp; Capital Structure'!M126,'WACC &amp; Capital Structure'!M134)))</f>
        <v>0</v>
      </c>
      <c r="N72" s="861">
        <f>IF('Revenue Build'!$O$3="Reversed", 'WACC &amp; Capital Structure'!N110, IF('Revenue Build'!$O$3="Base",'WACC &amp; Capital Structure'!N118, IF('Revenue Build'!$O$3="Bull",'WACC &amp; Capital Structure'!N126,'WACC &amp; Capital Structure'!N134)))</f>
        <v>0</v>
      </c>
      <c r="O72" s="907">
        <f>IF('Revenue Build'!$O$3="Reversed", 'WACC &amp; Capital Structure'!O110, IF('Revenue Build'!$O$3="Base",'WACC &amp; Capital Structure'!O118, IF('Revenue Build'!$O$3="Bull",'WACC &amp; Capital Structure'!O126,'WACC &amp; Capital Structure'!O134)))</f>
        <v>0</v>
      </c>
      <c r="T72" s="183"/>
      <c r="U72" s="183"/>
      <c r="V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row>
    <row r="73" spans="1:66" ht="14.1" customHeight="1" x14ac:dyDescent="0.2">
      <c r="C73" s="700" t="str">
        <f t="shared" si="49"/>
        <v>Mkt Securities Value  to Enterprise Value (Based on Maket Value)</v>
      </c>
      <c r="D73" s="178">
        <f t="shared" si="50"/>
        <v>-2.4533200374059943E-3</v>
      </c>
      <c r="E73" s="178">
        <f t="shared" si="50"/>
        <v>-1.4183497928233208E-3</v>
      </c>
      <c r="F73" s="178">
        <f t="shared" si="50"/>
        <v>-9.3824143403813457E-5</v>
      </c>
      <c r="G73" s="178">
        <f t="shared" si="50"/>
        <v>-5.1774119693194127E-3</v>
      </c>
      <c r="H73" s="178">
        <f t="shared" si="50"/>
        <v>-1.197871219232206E-2</v>
      </c>
      <c r="I73" s="178">
        <f t="shared" si="50"/>
        <v>-3.4061848631741373E-2</v>
      </c>
      <c r="J73" s="178">
        <f t="shared" si="51"/>
        <v>-2.5878383045703227E-2</v>
      </c>
      <c r="K73" s="1005">
        <f>IF('Revenue Build'!$O$3="Reversed", 'WACC &amp; Capital Structure'!K111, IF('Revenue Build'!$O$3="Base",'WACC &amp; Capital Structure'!K119, IF('Revenue Build'!$O$3="Bull",'WACC &amp; Capital Structure'!K127,'WACC &amp; Capital Structure'!K135)))</f>
        <v>-1.1000000000000001E-3</v>
      </c>
      <c r="L73" s="861">
        <f>IF('Revenue Build'!$O$3="Reversed", 'WACC &amp; Capital Structure'!L111, IF('Revenue Build'!$O$3="Base",'WACC &amp; Capital Structure'!L119, IF('Revenue Build'!$O$3="Bull",'WACC &amp; Capital Structure'!L127,'WACC &amp; Capital Structure'!L135)))</f>
        <v>-7.1000000000000004E-3</v>
      </c>
      <c r="M73" s="861">
        <f>IF('Revenue Build'!$O$3="Reversed", 'WACC &amp; Capital Structure'!M111, IF('Revenue Build'!$O$3="Base",'WACC &amp; Capital Structure'!M119, IF('Revenue Build'!$O$3="Bull",'WACC &amp; Capital Structure'!M127,'WACC &amp; Capital Structure'!M135)))</f>
        <v>-1.7500000000000002E-2</v>
      </c>
      <c r="N73" s="861">
        <f>IF('Revenue Build'!$O$3="Reversed", 'WACC &amp; Capital Structure'!N111, IF('Revenue Build'!$O$3="Base",'WACC &amp; Capital Structure'!N119, IF('Revenue Build'!$O$3="Bull",'WACC &amp; Capital Structure'!N127,'WACC &amp; Capital Structure'!N135)))</f>
        <v>-1.9E-2</v>
      </c>
      <c r="O73" s="907">
        <f>IF('Revenue Build'!$O$3="Reversed", 'WACC &amp; Capital Structure'!O111, IF('Revenue Build'!$O$3="Base",'WACC &amp; Capital Structure'!O119, IF('Revenue Build'!$O$3="Bull",'WACC &amp; Capital Structure'!O127,'WACC &amp; Capital Structure'!O135)))</f>
        <v>-1.8499999999999999E-2</v>
      </c>
    </row>
    <row r="74" spans="1:66" ht="14.1" customHeight="1" x14ac:dyDescent="0.2">
      <c r="C74" s="700" t="str">
        <f t="shared" si="49"/>
        <v>Other Non-Operating Asset Value to Enterprise Value (Based on Maket Value)</v>
      </c>
      <c r="D74" s="178">
        <f t="shared" si="50"/>
        <v>0</v>
      </c>
      <c r="E74" s="178">
        <f t="shared" si="50"/>
        <v>0</v>
      </c>
      <c r="F74" s="178">
        <f t="shared" si="50"/>
        <v>0</v>
      </c>
      <c r="G74" s="178">
        <f t="shared" si="50"/>
        <v>0</v>
      </c>
      <c r="H74" s="178">
        <f t="shared" si="50"/>
        <v>0</v>
      </c>
      <c r="I74" s="178">
        <f t="shared" si="50"/>
        <v>0</v>
      </c>
      <c r="J74" s="178">
        <f t="shared" si="51"/>
        <v>0</v>
      </c>
      <c r="K74" s="1005">
        <f>IF('Revenue Build'!$O$3="Reversed", 'WACC &amp; Capital Structure'!K112, IF('Revenue Build'!$O$3="Base",'WACC &amp; Capital Structure'!K120, IF('Revenue Build'!$O$3="Bull",'WACC &amp; Capital Structure'!K128,'WACC &amp; Capital Structure'!K136)))</f>
        <v>0</v>
      </c>
      <c r="L74" s="861">
        <f>IF('Revenue Build'!$O$3="Reversed", 'WACC &amp; Capital Structure'!L112, IF('Revenue Build'!$O$3="Base",'WACC &amp; Capital Structure'!L120, IF('Revenue Build'!$O$3="Bull",'WACC &amp; Capital Structure'!L128,'WACC &amp; Capital Structure'!L136)))</f>
        <v>0</v>
      </c>
      <c r="M74" s="861">
        <f>IF('Revenue Build'!$O$3="Reversed", 'WACC &amp; Capital Structure'!M112, IF('Revenue Build'!$O$3="Base",'WACC &amp; Capital Structure'!M120, IF('Revenue Build'!$O$3="Bull",'WACC &amp; Capital Structure'!M128,'WACC &amp; Capital Structure'!M136)))</f>
        <v>0</v>
      </c>
      <c r="N74" s="861">
        <f>IF('Revenue Build'!$O$3="Reversed", 'WACC &amp; Capital Structure'!N112, IF('Revenue Build'!$O$3="Base",'WACC &amp; Capital Structure'!N120, IF('Revenue Build'!$O$3="Bull",'WACC &amp; Capital Structure'!N128,'WACC &amp; Capital Structure'!N136)))</f>
        <v>0</v>
      </c>
      <c r="O74" s="907">
        <f>IF('Revenue Build'!$O$3="Reversed", 'WACC &amp; Capital Structure'!O112, IF('Revenue Build'!$O$3="Base",'WACC &amp; Capital Structure'!O120, IF('Revenue Build'!$O$3="Bull",'WACC &amp; Capital Structure'!O128,'WACC &amp; Capital Structure'!O136)))</f>
        <v>0</v>
      </c>
    </row>
    <row r="75" spans="1:66" ht="14.1" customHeight="1" x14ac:dyDescent="0.2">
      <c r="C75" s="700" t="str">
        <f t="shared" si="49"/>
        <v>DCF Shareholders Value to Enterprise Value (Based on Maket Value)</v>
      </c>
      <c r="D75" s="178">
        <f t="shared" si="50"/>
        <v>0.93336741196709772</v>
      </c>
      <c r="E75" s="178">
        <f t="shared" si="50"/>
        <v>0.92199399373244029</v>
      </c>
      <c r="F75" s="178">
        <f t="shared" si="50"/>
        <v>0.90865724036300621</v>
      </c>
      <c r="G75" s="178">
        <f t="shared" si="50"/>
        <v>0.9670227416378081</v>
      </c>
      <c r="H75" s="178">
        <f t="shared" si="50"/>
        <v>0.99395490178232992</v>
      </c>
      <c r="I75" s="178">
        <f t="shared" si="50"/>
        <v>1.0059758649640702</v>
      </c>
      <c r="J75" s="178">
        <f t="shared" si="51"/>
        <v>1.013760452228154</v>
      </c>
      <c r="K75" s="1005">
        <f>1-SUM(K71:K74)</f>
        <v>0.97929999999999995</v>
      </c>
      <c r="L75" s="861">
        <f>1-SUM(L71:L74)</f>
        <v>0.98299999999999998</v>
      </c>
      <c r="M75" s="861">
        <f>1-SUM(M71:M74)</f>
        <v>0.99660000000000004</v>
      </c>
      <c r="N75" s="861">
        <f>1-SUM(N71:N74)</f>
        <v>0.999</v>
      </c>
      <c r="O75" s="907">
        <f>1-SUM(O71:O74)</f>
        <v>0.99809999999999999</v>
      </c>
    </row>
    <row r="76" spans="1:66" ht="14.1" customHeight="1" x14ac:dyDescent="0.2">
      <c r="C76" s="997" t="str">
        <f t="shared" si="49"/>
        <v>Sum of Capital Structure Weights</v>
      </c>
      <c r="D76" s="998">
        <f t="shared" si="50"/>
        <v>1</v>
      </c>
      <c r="E76" s="998">
        <f t="shared" si="50"/>
        <v>1</v>
      </c>
      <c r="F76" s="998">
        <f t="shared" si="50"/>
        <v>1</v>
      </c>
      <c r="G76" s="998">
        <f t="shared" si="50"/>
        <v>0.99999999999999989</v>
      </c>
      <c r="H76" s="998">
        <f t="shared" si="50"/>
        <v>0.99999999999999989</v>
      </c>
      <c r="I76" s="998">
        <f t="shared" si="50"/>
        <v>0.99999999999999989</v>
      </c>
      <c r="J76" s="998">
        <f t="shared" si="51"/>
        <v>1</v>
      </c>
      <c r="K76" s="999">
        <v>1</v>
      </c>
      <c r="L76" s="1000">
        <v>1</v>
      </c>
      <c r="M76" s="1000">
        <v>1</v>
      </c>
      <c r="N76" s="1000">
        <v>1</v>
      </c>
      <c r="O76" s="1001">
        <v>1</v>
      </c>
    </row>
    <row r="77" spans="1:66" ht="14.1" customHeight="1" x14ac:dyDescent="0.2">
      <c r="D77" s="116"/>
      <c r="E77" s="116"/>
      <c r="F77" s="116"/>
      <c r="G77" s="116"/>
      <c r="H77" s="116"/>
      <c r="I77" s="116"/>
      <c r="J77" s="116"/>
      <c r="K77" s="116"/>
      <c r="L77" s="116"/>
      <c r="M77" s="116"/>
      <c r="N77" s="116"/>
      <c r="O77" s="116"/>
    </row>
    <row r="80" spans="1:66" s="161" customFormat="1" ht="14.1" customHeight="1" x14ac:dyDescent="0.2">
      <c r="A80"/>
      <c r="B80"/>
    </row>
    <row r="84" spans="1:62" ht="14.1" customHeight="1" x14ac:dyDescent="0.2">
      <c r="D84" s="183"/>
      <c r="E84" s="183"/>
      <c r="F84" s="183"/>
      <c r="G84" s="183"/>
      <c r="H84" s="183"/>
      <c r="I84" s="183"/>
      <c r="J84" s="183"/>
      <c r="K84" s="183"/>
      <c r="L84" s="183"/>
      <c r="M84" s="183"/>
      <c r="N84" s="183"/>
      <c r="O84" s="183"/>
    </row>
    <row r="85" spans="1:62" ht="14.1" customHeight="1" x14ac:dyDescent="0.2">
      <c r="D85" s="183"/>
      <c r="E85" s="183"/>
      <c r="F85" s="183"/>
      <c r="G85" s="183"/>
      <c r="H85" s="183"/>
      <c r="I85" s="183"/>
      <c r="J85" s="183"/>
      <c r="K85" s="183"/>
      <c r="L85" s="183"/>
      <c r="M85" s="183"/>
      <c r="N85" s="183"/>
      <c r="O85" s="183"/>
    </row>
    <row r="86" spans="1:62" ht="14.1" customHeight="1" x14ac:dyDescent="0.2">
      <c r="D86" s="183"/>
      <c r="E86" s="183"/>
      <c r="F86" s="183"/>
      <c r="G86" s="183"/>
      <c r="H86" s="183"/>
      <c r="I86" s="183"/>
      <c r="J86" s="183"/>
      <c r="K86" s="183"/>
      <c r="L86" s="183"/>
      <c r="M86" s="183"/>
      <c r="N86" s="183"/>
      <c r="O86" s="183"/>
    </row>
    <row r="87" spans="1:62" ht="6" customHeight="1" x14ac:dyDescent="0.2">
      <c r="D87" s="183"/>
      <c r="E87" s="183"/>
      <c r="F87" s="183"/>
      <c r="G87" s="183"/>
      <c r="H87" s="183"/>
      <c r="I87" s="183"/>
      <c r="J87" s="183"/>
      <c r="K87" s="183"/>
      <c r="L87" s="183"/>
      <c r="M87" s="183"/>
      <c r="N87" s="183"/>
      <c r="O87" s="183"/>
    </row>
    <row r="88" spans="1:62" s="60" customFormat="1" ht="18.75" x14ac:dyDescent="0.25">
      <c r="A88"/>
      <c r="B88"/>
      <c r="C88" s="136" t="str">
        <f>C3</f>
        <v>SAIA, Inc.</v>
      </c>
      <c r="D88" s="148"/>
      <c r="E88" s="148"/>
      <c r="F88" s="148"/>
      <c r="G88" s="148"/>
      <c r="H88" s="148"/>
      <c r="I88" s="148"/>
      <c r="J88" s="148"/>
      <c r="K88" s="148"/>
      <c r="L88" s="148"/>
      <c r="M88" s="148"/>
      <c r="N88" s="1150" t="str">
        <f>N49</f>
        <v>Model Case:</v>
      </c>
      <c r="O88" s="144" t="str">
        <f>O49</f>
        <v>Base</v>
      </c>
      <c r="R88" s="1376" t="str">
        <f>C88</f>
        <v>SAIA, Inc.</v>
      </c>
      <c r="S88" s="1374"/>
      <c r="T88" s="1374"/>
      <c r="U88" s="1374"/>
      <c r="V88" s="1374"/>
      <c r="W88" s="1374"/>
      <c r="X88" s="1374"/>
      <c r="Y88" s="1374"/>
      <c r="Z88" s="1374"/>
      <c r="AA88" s="1374"/>
      <c r="AB88" s="1374"/>
      <c r="AC88" s="1374"/>
      <c r="AD88" s="1374"/>
      <c r="AE88" s="1374"/>
      <c r="AF88" s="1374"/>
      <c r="AG88" s="1374"/>
      <c r="AH88" s="1374"/>
      <c r="AI88" s="1374"/>
      <c r="AJ88" s="1374"/>
      <c r="AK88" s="1374"/>
      <c r="AL88" s="1374"/>
      <c r="AM88" s="1374"/>
      <c r="AN88" s="1374"/>
      <c r="AO88" s="1374"/>
      <c r="AP88" s="1374"/>
      <c r="AQ88" s="1374"/>
      <c r="AR88" s="1374"/>
      <c r="AS88" s="1374"/>
      <c r="AT88" s="1374"/>
      <c r="AU88" s="1374"/>
      <c r="AV88" s="1374"/>
      <c r="AW88" s="1374"/>
      <c r="AX88" s="1374"/>
      <c r="AY88" s="1374"/>
      <c r="AZ88" s="1374"/>
      <c r="BA88" s="47"/>
      <c r="BB88" s="47"/>
      <c r="BC88" s="47"/>
      <c r="BD88" s="47"/>
      <c r="BE88" s="47"/>
      <c r="BF88" s="47"/>
      <c r="BG88" s="47"/>
      <c r="BH88" s="47"/>
      <c r="BI88" s="1167" t="str">
        <f t="shared" ref="BI88:BJ90" si="52">N88</f>
        <v>Model Case:</v>
      </c>
      <c r="BJ88" s="1166" t="str">
        <f t="shared" si="52"/>
        <v>Base</v>
      </c>
    </row>
    <row r="89" spans="1:62" s="60" customFormat="1" ht="14.1" customHeight="1" x14ac:dyDescent="0.2">
      <c r="A89"/>
      <c r="B89"/>
      <c r="C89" s="133" t="str">
        <f>C4</f>
        <v>WACC and Capital Structure Assumptions</v>
      </c>
      <c r="D89" s="148"/>
      <c r="E89" s="148"/>
      <c r="F89" s="148"/>
      <c r="G89" s="148"/>
      <c r="H89" s="148"/>
      <c r="I89" s="148"/>
      <c r="J89" s="148"/>
      <c r="K89" s="148"/>
      <c r="L89" s="148"/>
      <c r="M89" s="1149"/>
      <c r="N89" s="1150" t="str">
        <f>N4</f>
        <v>DCF Share Value as of 12/31/2024:</v>
      </c>
      <c r="O89" s="65">
        <f>O4</f>
        <v>520.1066763818468</v>
      </c>
      <c r="R89" s="1387" t="str">
        <f>C89</f>
        <v>WACC and Capital Structure Assumptions</v>
      </c>
      <c r="S89" s="1375"/>
      <c r="T89" s="1375"/>
      <c r="U89" s="1375"/>
      <c r="V89" s="1375"/>
      <c r="W89" s="1375"/>
      <c r="X89" s="1375"/>
      <c r="Y89" s="1375"/>
      <c r="Z89" s="1375"/>
      <c r="AA89" s="1375"/>
      <c r="AB89" s="1375"/>
      <c r="AC89" s="1375"/>
      <c r="AD89" s="1375"/>
      <c r="AE89" s="1375"/>
      <c r="AF89" s="1375"/>
      <c r="AG89" s="1375"/>
      <c r="AH89" s="1375"/>
      <c r="AI89" s="1375"/>
      <c r="AJ89" s="1375"/>
      <c r="AK89" s="1375"/>
      <c r="AL89" s="1375"/>
      <c r="AM89" s="1375"/>
      <c r="AN89" s="1375"/>
      <c r="AO89" s="1375"/>
      <c r="AP89" s="1375"/>
      <c r="AQ89" s="1375"/>
      <c r="AR89" s="1375"/>
      <c r="AS89" s="1375"/>
      <c r="AT89" s="1375"/>
      <c r="AU89" s="1375"/>
      <c r="AV89" s="1375"/>
      <c r="AW89" s="1375"/>
      <c r="AX89" s="1375"/>
      <c r="AY89" s="1375"/>
      <c r="AZ89" s="1375"/>
      <c r="BA89" s="1375"/>
      <c r="BB89" s="48"/>
      <c r="BC89" s="48"/>
      <c r="BD89" s="48"/>
      <c r="BE89" s="48"/>
      <c r="BF89" s="48"/>
      <c r="BG89" s="48"/>
      <c r="BH89" s="48"/>
      <c r="BI89" s="1167" t="str">
        <f t="shared" si="52"/>
        <v>DCF Share Value as of 12/31/2024:</v>
      </c>
      <c r="BJ89" s="1166">
        <f t="shared" si="52"/>
        <v>520.1066763818468</v>
      </c>
    </row>
    <row r="90" spans="1:62" s="60" customFormat="1" ht="14.1" customHeight="1" x14ac:dyDescent="0.2">
      <c r="A90"/>
      <c r="B90"/>
      <c r="C90" s="147" t="str">
        <f>C5</f>
        <v>($ in millions, fiscal year ending December,31)</v>
      </c>
      <c r="D90" s="148"/>
      <c r="E90" s="148"/>
      <c r="F90" s="148"/>
      <c r="G90" s="148"/>
      <c r="H90" s="148"/>
      <c r="I90" s="148"/>
      <c r="J90" s="148"/>
      <c r="K90" s="148"/>
      <c r="L90" s="148"/>
      <c r="M90" s="1149"/>
      <c r="N90" s="1150" t="str">
        <f>N5</f>
        <v>Market Share Price as of 12/31/2024:</v>
      </c>
      <c r="O90" s="65">
        <f>O5</f>
        <v>455.73</v>
      </c>
      <c r="R90" s="154"/>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3"/>
      <c r="BC90" s="153"/>
      <c r="BD90" s="153"/>
      <c r="BE90" s="153"/>
      <c r="BF90" s="153"/>
      <c r="BG90" s="153"/>
      <c r="BH90" s="153"/>
      <c r="BI90" s="1168" t="str">
        <f t="shared" si="52"/>
        <v>Market Share Price as of 12/31/2024:</v>
      </c>
      <c r="BJ90" s="1146">
        <f t="shared" si="52"/>
        <v>455.73</v>
      </c>
    </row>
    <row r="91" spans="1:62" s="60" customFormat="1" ht="14.1" customHeight="1" x14ac:dyDescent="0.2">
      <c r="A91"/>
      <c r="B91"/>
      <c r="C91" s="155"/>
      <c r="D91" s="97">
        <f t="shared" ref="D91:O91" si="53">D7</f>
        <v>43100</v>
      </c>
      <c r="E91" s="98">
        <f t="shared" si="53"/>
        <v>43465</v>
      </c>
      <c r="F91" s="98">
        <f t="shared" si="53"/>
        <v>43830</v>
      </c>
      <c r="G91" s="98">
        <f t="shared" si="53"/>
        <v>44196</v>
      </c>
      <c r="H91" s="98">
        <f t="shared" si="53"/>
        <v>44561</v>
      </c>
      <c r="I91" s="98">
        <f t="shared" si="53"/>
        <v>44926</v>
      </c>
      <c r="J91" s="98">
        <f t="shared" si="53"/>
        <v>45291</v>
      </c>
      <c r="K91" s="137">
        <f t="shared" si="53"/>
        <v>45657</v>
      </c>
      <c r="L91" s="138">
        <f t="shared" si="53"/>
        <v>46022</v>
      </c>
      <c r="M91" s="138">
        <f t="shared" si="53"/>
        <v>46387</v>
      </c>
      <c r="N91" s="138">
        <f t="shared" si="53"/>
        <v>46752</v>
      </c>
      <c r="O91" s="139">
        <f t="shared" si="53"/>
        <v>47118</v>
      </c>
      <c r="R91" s="155"/>
      <c r="S91" s="1367">
        <f>S5</f>
        <v>43100</v>
      </c>
      <c r="T91" s="1368"/>
      <c r="U91" s="1368"/>
      <c r="V91" s="1368"/>
      <c r="W91" s="1368"/>
      <c r="X91" s="1368">
        <f>X5</f>
        <v>43465</v>
      </c>
      <c r="Y91" s="1368"/>
      <c r="Z91" s="1368"/>
      <c r="AA91" s="1368"/>
      <c r="AB91" s="1368"/>
      <c r="AC91" s="1368">
        <f>AC5</f>
        <v>43830</v>
      </c>
      <c r="AD91" s="1368"/>
      <c r="AE91" s="1368"/>
      <c r="AF91" s="1368"/>
      <c r="AG91" s="1368"/>
      <c r="AH91" s="1368">
        <f>AH5</f>
        <v>44196</v>
      </c>
      <c r="AI91" s="1368"/>
      <c r="AJ91" s="1368"/>
      <c r="AK91" s="1368"/>
      <c r="AL91" s="1368"/>
      <c r="AM91" s="1368">
        <f>AM5</f>
        <v>44561</v>
      </c>
      <c r="AN91" s="1368"/>
      <c r="AO91" s="1368"/>
      <c r="AP91" s="1368"/>
      <c r="AQ91" s="1368"/>
      <c r="AR91" s="1368">
        <f>AR5</f>
        <v>44926</v>
      </c>
      <c r="AS91" s="1368"/>
      <c r="AT91" s="1368"/>
      <c r="AU91" s="1368"/>
      <c r="AV91" s="1368"/>
      <c r="AW91" s="1368">
        <f>AW5</f>
        <v>45291</v>
      </c>
      <c r="AX91" s="1368"/>
      <c r="AY91" s="1368"/>
      <c r="AZ91" s="1368"/>
      <c r="BA91" s="1368"/>
      <c r="BB91" s="1369">
        <f>BB5</f>
        <v>45657</v>
      </c>
      <c r="BC91" s="1369"/>
      <c r="BD91" s="1369"/>
      <c r="BE91" s="1369"/>
      <c r="BF91" s="1369"/>
      <c r="BG91" s="312"/>
      <c r="BH91" s="312"/>
      <c r="BI91" s="312"/>
      <c r="BJ91" s="313"/>
    </row>
    <row r="92" spans="1:62" s="60" customFormat="1" ht="14.1" customHeight="1" x14ac:dyDescent="0.2">
      <c r="A92"/>
      <c r="B92"/>
      <c r="R92" s="155"/>
      <c r="S92" s="96" t="str">
        <f t="shared" ref="S92:AX92" si="54">S53</f>
        <v>2017 Q1</v>
      </c>
      <c r="T92" s="140" t="str">
        <f t="shared" si="54"/>
        <v>2017 Q2</v>
      </c>
      <c r="U92" s="140" t="str">
        <f t="shared" si="54"/>
        <v>2017 Q3</v>
      </c>
      <c r="V92" s="140" t="str">
        <f t="shared" si="54"/>
        <v>2017 Q4</v>
      </c>
      <c r="W92" s="140" t="str">
        <f t="shared" si="54"/>
        <v>2017 FY</v>
      </c>
      <c r="X92" s="140" t="str">
        <f t="shared" si="54"/>
        <v>2018 Q1</v>
      </c>
      <c r="Y92" s="140" t="str">
        <f t="shared" si="54"/>
        <v>2018 Q2</v>
      </c>
      <c r="Z92" s="140" t="str">
        <f t="shared" si="54"/>
        <v>2018 Q3</v>
      </c>
      <c r="AA92" s="140" t="str">
        <f t="shared" si="54"/>
        <v>2018 Q4</v>
      </c>
      <c r="AB92" s="140" t="str">
        <f t="shared" si="54"/>
        <v>2018 FY</v>
      </c>
      <c r="AC92" s="140" t="str">
        <f t="shared" si="54"/>
        <v>2019 Q1</v>
      </c>
      <c r="AD92" s="140" t="str">
        <f t="shared" si="54"/>
        <v>2019 Q2</v>
      </c>
      <c r="AE92" s="140" t="str">
        <f t="shared" si="54"/>
        <v>2019 Q3</v>
      </c>
      <c r="AF92" s="140" t="str">
        <f t="shared" si="54"/>
        <v>2019 Q4</v>
      </c>
      <c r="AG92" s="140" t="str">
        <f t="shared" si="54"/>
        <v>2019 FY</v>
      </c>
      <c r="AH92" s="140" t="str">
        <f t="shared" si="54"/>
        <v>2020 Q1</v>
      </c>
      <c r="AI92" s="140" t="str">
        <f t="shared" si="54"/>
        <v>2020 Q2</v>
      </c>
      <c r="AJ92" s="140" t="str">
        <f t="shared" si="54"/>
        <v>2020 Q3</v>
      </c>
      <c r="AK92" s="140" t="str">
        <f t="shared" si="54"/>
        <v>2020 Q4</v>
      </c>
      <c r="AL92" s="140" t="str">
        <f t="shared" si="54"/>
        <v>2020 FY</v>
      </c>
      <c r="AM92" s="140" t="str">
        <f t="shared" si="54"/>
        <v>2021 Q1</v>
      </c>
      <c r="AN92" s="140" t="str">
        <f t="shared" si="54"/>
        <v>2021 Q2</v>
      </c>
      <c r="AO92" s="140" t="str">
        <f t="shared" si="54"/>
        <v>2021 Q3</v>
      </c>
      <c r="AP92" s="140" t="str">
        <f t="shared" si="54"/>
        <v>2021 Q4</v>
      </c>
      <c r="AQ92" s="140" t="str">
        <f t="shared" si="54"/>
        <v>2021 FY</v>
      </c>
      <c r="AR92" s="140" t="str">
        <f t="shared" si="54"/>
        <v>2022 Q1</v>
      </c>
      <c r="AS92" s="140" t="str">
        <f t="shared" si="54"/>
        <v>2022 Q2</v>
      </c>
      <c r="AT92" s="140" t="str">
        <f t="shared" si="54"/>
        <v>2022 Q3</v>
      </c>
      <c r="AU92" s="140" t="str">
        <f t="shared" si="54"/>
        <v>2022 Q4</v>
      </c>
      <c r="AV92" s="140" t="str">
        <f t="shared" si="54"/>
        <v>2022 FY</v>
      </c>
      <c r="AW92" s="140" t="str">
        <f t="shared" si="54"/>
        <v>2023 Q1</v>
      </c>
      <c r="AX92" s="140" t="str">
        <f t="shared" si="54"/>
        <v>2023 Q2</v>
      </c>
      <c r="AY92" s="140" t="str">
        <f t="shared" ref="AY92:BG92" si="55">AY53</f>
        <v>2023 Q3</v>
      </c>
      <c r="AZ92" s="140" t="str">
        <f t="shared" si="55"/>
        <v>2023 Q4</v>
      </c>
      <c r="BA92" s="140" t="str">
        <f t="shared" si="55"/>
        <v>2023 FY</v>
      </c>
      <c r="BB92" s="140" t="str">
        <f t="shared" si="55"/>
        <v>2024 Q1</v>
      </c>
      <c r="BC92" s="140" t="str">
        <f t="shared" si="55"/>
        <v>2024 Q2</v>
      </c>
      <c r="BD92" s="140" t="str">
        <f t="shared" si="55"/>
        <v>2024 Q3</v>
      </c>
      <c r="BE92" s="141" t="str">
        <f t="shared" si="55"/>
        <v>2024 Q4</v>
      </c>
      <c r="BF92" s="141" t="str">
        <f t="shared" si="55"/>
        <v>2024 FY</v>
      </c>
      <c r="BG92" s="141" t="str">
        <f t="shared" si="55"/>
        <v>2025 Q1</v>
      </c>
      <c r="BH92" s="141" t="str">
        <f>BL53</f>
        <v>2026 FY</v>
      </c>
      <c r="BI92" s="141" t="str">
        <f>BM53</f>
        <v>2027 FY</v>
      </c>
      <c r="BJ92" s="142" t="str">
        <f>BN53</f>
        <v>2028 FY</v>
      </c>
    </row>
    <row r="93" spans="1:62" ht="14.1" customHeight="1" x14ac:dyDescent="0.2">
      <c r="C93" s="550" t="str">
        <f>"Difference Between Actual and Target "</f>
        <v xml:space="preserve">Difference Between Actual and Target </v>
      </c>
      <c r="D93" s="130"/>
      <c r="E93" s="130"/>
      <c r="F93" s="130"/>
      <c r="G93" s="130"/>
      <c r="H93" s="130"/>
      <c r="I93" s="130"/>
      <c r="J93" s="130"/>
      <c r="K93" s="130"/>
      <c r="L93" s="130"/>
      <c r="M93" s="130"/>
      <c r="N93" s="130"/>
      <c r="O93" s="217"/>
    </row>
    <row r="94" spans="1:62" ht="14.1" customHeight="1" x14ac:dyDescent="0.2">
      <c r="C94" s="210" t="str">
        <f t="shared" ref="C94:C99" si="56">C71</f>
        <v>Debt Value to Enterprise Value (Based on Maket Value)</v>
      </c>
      <c r="D94" s="183"/>
      <c r="E94" s="183"/>
      <c r="F94" s="183"/>
      <c r="G94" s="183"/>
      <c r="H94" s="183"/>
      <c r="I94" s="183"/>
      <c r="J94" s="183"/>
      <c r="K94" s="190">
        <f>K71-K21</f>
        <v>0</v>
      </c>
      <c r="L94" s="190">
        <f t="shared" ref="K94:O99" si="57">L71-L21</f>
        <v>0</v>
      </c>
      <c r="M94" s="190">
        <f t="shared" si="57"/>
        <v>0</v>
      </c>
      <c r="N94" s="190">
        <f t="shared" si="57"/>
        <v>0</v>
      </c>
      <c r="O94" s="211">
        <f t="shared" si="57"/>
        <v>0</v>
      </c>
      <c r="X94" s="178"/>
      <c r="Y94" s="178"/>
      <c r="Z94" s="178"/>
      <c r="AA94" s="178"/>
      <c r="AB94" s="178"/>
      <c r="AC94" s="178"/>
      <c r="AD94" s="178"/>
      <c r="AE94" s="178"/>
      <c r="AF94" s="178"/>
      <c r="AG94" s="178"/>
      <c r="AH94" s="178"/>
      <c r="AI94" s="178"/>
      <c r="AJ94" s="178"/>
      <c r="AK94" s="178"/>
      <c r="AL94" s="178"/>
      <c r="AM94" s="178"/>
      <c r="AN94" s="178"/>
      <c r="AO94" s="178"/>
      <c r="AP94" s="178"/>
      <c r="AQ94" s="178"/>
      <c r="AR94" s="178"/>
      <c r="AS94" s="178"/>
      <c r="AT94" s="178"/>
      <c r="AU94" s="178"/>
      <c r="AV94" s="178"/>
      <c r="AW94" s="178"/>
      <c r="AX94" s="178"/>
      <c r="AY94" s="178"/>
      <c r="AZ94" s="178"/>
      <c r="BA94" s="178"/>
      <c r="BB94" s="178"/>
      <c r="BC94" s="178"/>
      <c r="BD94" s="178"/>
      <c r="BE94" s="178"/>
      <c r="BF94" s="178"/>
      <c r="BG94" s="178"/>
      <c r="BH94" s="178"/>
      <c r="BI94" s="178"/>
      <c r="BJ94" s="178"/>
    </row>
    <row r="95" spans="1:62" ht="14.1" customHeight="1" x14ac:dyDescent="0.2">
      <c r="C95" s="210" t="str">
        <f t="shared" si="56"/>
        <v>Preferred Stock &amp; Non-Controlling Interest Value to Enterprise Value (Based on Maket Value)</v>
      </c>
      <c r="D95" s="183"/>
      <c r="E95" s="183"/>
      <c r="F95" s="183"/>
      <c r="G95" s="183"/>
      <c r="H95" s="183"/>
      <c r="I95" s="183"/>
      <c r="J95" s="183"/>
      <c r="K95" s="190">
        <f t="shared" si="57"/>
        <v>0</v>
      </c>
      <c r="L95" s="190">
        <f t="shared" si="57"/>
        <v>0</v>
      </c>
      <c r="M95" s="190">
        <f t="shared" si="57"/>
        <v>0</v>
      </c>
      <c r="N95" s="190">
        <f t="shared" si="57"/>
        <v>0</v>
      </c>
      <c r="O95" s="211">
        <f t="shared" si="57"/>
        <v>0</v>
      </c>
      <c r="X95" s="178"/>
      <c r="Y95" s="178"/>
      <c r="Z95" s="178"/>
      <c r="AA95" s="178"/>
      <c r="AB95" s="178"/>
      <c r="AC95" s="178"/>
      <c r="AD95" s="178"/>
      <c r="AE95" s="178"/>
      <c r="AF95" s="178"/>
      <c r="AG95" s="178"/>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0"/>
    </row>
    <row r="96" spans="1:62" ht="14.1" customHeight="1" x14ac:dyDescent="0.2">
      <c r="C96" s="210" t="str">
        <f t="shared" si="56"/>
        <v>Mkt Securities Value  to Enterprise Value (Based on Maket Value)</v>
      </c>
      <c r="D96" s="184"/>
      <c r="E96" s="184"/>
      <c r="F96" s="184"/>
      <c r="G96" s="184"/>
      <c r="H96" s="184"/>
      <c r="I96" s="184"/>
      <c r="J96" s="184"/>
      <c r="K96" s="190">
        <f t="shared" si="57"/>
        <v>-1.0473392986209973E-16</v>
      </c>
      <c r="L96" s="190">
        <f t="shared" si="57"/>
        <v>0</v>
      </c>
      <c r="M96" s="190">
        <f t="shared" si="57"/>
        <v>0</v>
      </c>
      <c r="N96" s="190">
        <f t="shared" si="57"/>
        <v>7.2858385991025898E-17</v>
      </c>
      <c r="O96" s="211">
        <f t="shared" si="57"/>
        <v>5.2041704279304213E-17</v>
      </c>
      <c r="X96" s="178"/>
      <c r="Y96" s="178"/>
      <c r="Z96" s="178"/>
      <c r="AA96" s="178"/>
      <c r="AB96" s="178"/>
      <c r="AC96" s="178"/>
      <c r="AD96" s="178"/>
      <c r="AE96" s="178"/>
      <c r="AF96" s="178"/>
      <c r="AG96" s="178"/>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60"/>
      <c r="BJ96" s="160"/>
    </row>
    <row r="97" spans="3:62" ht="14.1" customHeight="1" x14ac:dyDescent="0.2">
      <c r="C97" s="210" t="str">
        <f t="shared" si="56"/>
        <v>Other Non-Operating Asset Value to Enterprise Value (Based on Maket Value)</v>
      </c>
      <c r="D97" s="183"/>
      <c r="E97" s="183"/>
      <c r="F97" s="183"/>
      <c r="G97" s="183"/>
      <c r="H97" s="183"/>
      <c r="I97" s="183"/>
      <c r="J97" s="183"/>
      <c r="K97" s="190">
        <f t="shared" si="57"/>
        <v>0</v>
      </c>
      <c r="L97" s="190">
        <f t="shared" si="57"/>
        <v>0</v>
      </c>
      <c r="M97" s="190">
        <f t="shared" si="57"/>
        <v>0</v>
      </c>
      <c r="N97" s="190">
        <f t="shared" si="57"/>
        <v>0</v>
      </c>
      <c r="O97" s="211">
        <f t="shared" si="57"/>
        <v>0</v>
      </c>
      <c r="X97" s="178"/>
      <c r="Y97" s="178"/>
      <c r="Z97" s="178"/>
      <c r="AA97" s="178"/>
      <c r="AB97" s="178"/>
      <c r="AC97" s="178"/>
      <c r="AD97" s="178"/>
      <c r="AE97" s="178"/>
      <c r="AF97" s="178"/>
      <c r="AG97" s="178"/>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60"/>
      <c r="BF97" s="160"/>
      <c r="BG97" s="160"/>
      <c r="BH97" s="160"/>
      <c r="BI97" s="160"/>
      <c r="BJ97" s="160"/>
    </row>
    <row r="98" spans="3:62" ht="14.1" customHeight="1" x14ac:dyDescent="0.2">
      <c r="C98" s="210" t="str">
        <f t="shared" si="56"/>
        <v>DCF Shareholders Value to Enterprise Value (Based on Maket Value)</v>
      </c>
      <c r="D98" s="183"/>
      <c r="E98" s="183"/>
      <c r="F98" s="183"/>
      <c r="G98" s="183"/>
      <c r="H98" s="183"/>
      <c r="I98" s="183"/>
      <c r="J98" s="183"/>
      <c r="K98" s="190">
        <f t="shared" si="57"/>
        <v>0</v>
      </c>
      <c r="L98" s="190">
        <f>L75-L25</f>
        <v>0</v>
      </c>
      <c r="M98" s="190">
        <f t="shared" si="57"/>
        <v>0</v>
      </c>
      <c r="N98" s="190">
        <f t="shared" si="57"/>
        <v>0</v>
      </c>
      <c r="O98" s="211">
        <f t="shared" si="57"/>
        <v>0</v>
      </c>
      <c r="X98" s="178"/>
      <c r="Y98" s="178"/>
      <c r="Z98" s="178"/>
      <c r="AA98" s="178"/>
      <c r="AB98" s="178"/>
      <c r="AC98" s="178"/>
      <c r="AD98" s="178"/>
      <c r="AE98" s="178"/>
      <c r="AF98" s="178"/>
      <c r="AG98" s="178"/>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60"/>
      <c r="BF98" s="160"/>
      <c r="BG98" s="160"/>
      <c r="BH98" s="160"/>
      <c r="BI98" s="160"/>
      <c r="BJ98" s="160"/>
    </row>
    <row r="99" spans="3:62" ht="14.1" customHeight="1" x14ac:dyDescent="0.2">
      <c r="C99" s="634" t="str">
        <f t="shared" si="56"/>
        <v>Sum of Capital Structure Weights</v>
      </c>
      <c r="D99" s="686"/>
      <c r="E99" s="686"/>
      <c r="F99" s="686"/>
      <c r="G99" s="686"/>
      <c r="H99" s="686"/>
      <c r="I99" s="686"/>
      <c r="J99" s="686"/>
      <c r="K99" s="1110">
        <f t="shared" si="57"/>
        <v>0</v>
      </c>
      <c r="L99" s="1110">
        <f t="shared" si="57"/>
        <v>0</v>
      </c>
      <c r="M99" s="1110">
        <f t="shared" si="57"/>
        <v>0</v>
      </c>
      <c r="N99" s="1110">
        <f t="shared" si="57"/>
        <v>0</v>
      </c>
      <c r="O99" s="1111">
        <f t="shared" si="57"/>
        <v>0</v>
      </c>
      <c r="X99" s="178"/>
      <c r="Y99" s="178"/>
      <c r="Z99" s="178"/>
      <c r="AA99" s="178"/>
      <c r="AB99" s="178"/>
      <c r="AC99" s="178"/>
      <c r="AD99" s="178"/>
      <c r="AE99" s="178"/>
      <c r="AF99" s="178"/>
      <c r="AG99" s="178"/>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60"/>
      <c r="BF99" s="160"/>
      <c r="BG99" s="160"/>
      <c r="BH99" s="160"/>
      <c r="BI99" s="160"/>
      <c r="BJ99" s="160"/>
    </row>
    <row r="100" spans="3:62" ht="14.1" customHeight="1" x14ac:dyDescent="0.2">
      <c r="C100" s="630" t="str">
        <f>'Intrinsic Value'!C24</f>
        <v>Enterprise Value</v>
      </c>
      <c r="D100" s="129"/>
      <c r="E100" s="749"/>
      <c r="F100" s="749"/>
      <c r="G100" s="749"/>
      <c r="H100" s="749"/>
      <c r="I100" s="749"/>
      <c r="J100" s="749"/>
      <c r="K100" s="129">
        <f>'Intrinsic Value'!K24</f>
        <v>14100.353718657741</v>
      </c>
      <c r="L100" s="129">
        <f>'Intrinsic Value'!L24</f>
        <v>15269.283043897398</v>
      </c>
      <c r="M100" s="129">
        <f>'Intrinsic Value'!M24</f>
        <v>16528.941135586079</v>
      </c>
      <c r="N100" s="129">
        <f>'Intrinsic Value'!N24</f>
        <v>17698.498621158134</v>
      </c>
      <c r="O100" s="575">
        <f>'Intrinsic Value'!O24</f>
        <v>18709.48808783514</v>
      </c>
      <c r="P100" s="115"/>
      <c r="Q100" s="115"/>
      <c r="R100" s="169"/>
      <c r="S100" s="115"/>
      <c r="T100" s="115"/>
      <c r="U100" s="115"/>
      <c r="V100" s="115"/>
      <c r="W100" s="115"/>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60"/>
      <c r="BF100" s="160"/>
      <c r="BG100" s="160"/>
      <c r="BH100" s="160"/>
      <c r="BI100" s="160"/>
      <c r="BJ100" s="160"/>
    </row>
    <row r="101" spans="3:62" ht="14.1" customHeight="1" x14ac:dyDescent="0.2">
      <c r="C101" s="1105" t="str">
        <f>"DCF Share Price"</f>
        <v>DCF Share Price</v>
      </c>
      <c r="D101" s="627"/>
      <c r="E101" s="730"/>
      <c r="F101" s="730"/>
      <c r="G101" s="730"/>
      <c r="H101" s="730"/>
      <c r="I101" s="730"/>
      <c r="J101" s="730"/>
      <c r="K101" s="627">
        <f>'Intrinsic Value'!K34</f>
        <v>520.1066763818468</v>
      </c>
      <c r="L101" s="627">
        <f>'Intrinsic Value'!L34</f>
        <v>567.45494499114943</v>
      </c>
      <c r="M101" s="627">
        <f>'Intrinsic Value'!M34</f>
        <v>624.55701228968087</v>
      </c>
      <c r="N101" s="627">
        <f>'Intrinsic Value'!N34</f>
        <v>685.70503434999875</v>
      </c>
      <c r="O101" s="629">
        <f>'Intrinsic Value'!O34</f>
        <v>748.15206254088503</v>
      </c>
      <c r="P101" s="115"/>
      <c r="Q101" s="115"/>
      <c r="R101" s="169"/>
      <c r="S101" s="115"/>
      <c r="T101" s="115"/>
      <c r="U101" s="115"/>
      <c r="V101" s="115"/>
      <c r="W101" s="115"/>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60"/>
      <c r="BF101" s="160"/>
      <c r="BG101" s="160"/>
      <c r="BH101" s="160"/>
      <c r="BI101" s="160"/>
      <c r="BJ101" s="160"/>
    </row>
    <row r="102" spans="3:62" ht="14.1" customHeight="1" x14ac:dyDescent="0.2">
      <c r="C102" s="1103" t="str">
        <f>"Issue (Repayment) of "&amp;C13</f>
        <v>Issue (Repayment) of Debt Value</v>
      </c>
      <c r="D102" s="129"/>
      <c r="E102" s="129"/>
      <c r="F102" s="129"/>
      <c r="G102" s="129"/>
      <c r="H102" s="129"/>
      <c r="I102" s="129"/>
      <c r="J102" s="129"/>
      <c r="K102" s="1106"/>
      <c r="L102" s="1106"/>
      <c r="M102" s="1106"/>
      <c r="N102" s="1106"/>
      <c r="O102" s="1107"/>
      <c r="P102" s="115"/>
      <c r="Q102" s="115"/>
      <c r="R102" s="169"/>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6"/>
    </row>
    <row r="103" spans="3:62" ht="14.1" customHeight="1" x14ac:dyDescent="0.2">
      <c r="C103" s="700" t="str">
        <f>"Issue (Repayment) of "&amp;C14</f>
        <v>Issue (Repayment) of Preferred Stock &amp; Non-Controlling Interest Value</v>
      </c>
      <c r="J103" s="176"/>
      <c r="K103" s="743"/>
      <c r="L103" s="743"/>
      <c r="M103" s="743"/>
      <c r="N103" s="743"/>
      <c r="O103" s="1108"/>
    </row>
    <row r="104" spans="3:62" ht="14.1" customHeight="1" x14ac:dyDescent="0.2">
      <c r="C104" s="700" t="str">
        <f>"Issue (Buy Back) of "&amp;" Stock $$"</f>
        <v>Issue (Buy Back) of  Stock $$</v>
      </c>
      <c r="E104" s="160"/>
      <c r="F104" s="160"/>
      <c r="G104" s="160"/>
      <c r="H104" s="160"/>
      <c r="I104" s="160"/>
      <c r="J104" s="808"/>
      <c r="K104" s="808"/>
      <c r="L104" s="808"/>
      <c r="M104" s="808"/>
      <c r="N104" s="808"/>
      <c r="O104" s="1109"/>
      <c r="R104" s="808"/>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6"/>
      <c r="BC104" s="160"/>
      <c r="BD104" s="160"/>
      <c r="BE104" s="160"/>
      <c r="BF104" s="160"/>
      <c r="BG104" s="160"/>
      <c r="BH104" s="160"/>
      <c r="BI104" s="160"/>
      <c r="BJ104" s="160"/>
    </row>
    <row r="105" spans="3:62" ht="14.1" customHeight="1" x14ac:dyDescent="0.2">
      <c r="C105" s="700" t="str">
        <f>"Share Amount to be Issued (Buy Back)"</f>
        <v>Share Amount to be Issued (Buy Back)</v>
      </c>
      <c r="E105" s="160"/>
      <c r="F105" s="160"/>
      <c r="G105" s="160"/>
      <c r="H105" s="160"/>
      <c r="I105" s="160"/>
      <c r="J105" s="808"/>
      <c r="K105" s="808"/>
      <c r="L105" s="808"/>
      <c r="M105" s="808"/>
      <c r="N105" s="808"/>
      <c r="O105" s="1109"/>
      <c r="R105" s="808"/>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6"/>
      <c r="BC105" s="160"/>
      <c r="BD105" s="160"/>
      <c r="BE105" s="160"/>
      <c r="BF105" s="160"/>
      <c r="BG105" s="160"/>
      <c r="BH105" s="160"/>
      <c r="BI105" s="160"/>
      <c r="BJ105" s="160"/>
    </row>
    <row r="106" spans="3:62" ht="14.1" customHeight="1" x14ac:dyDescent="0.2">
      <c r="C106" s="1104"/>
      <c r="D106" s="203"/>
      <c r="E106" s="730"/>
      <c r="F106" s="730"/>
      <c r="G106" s="730"/>
      <c r="H106" s="730"/>
      <c r="I106" s="730"/>
      <c r="J106" s="730"/>
      <c r="K106" s="730"/>
      <c r="L106" s="730"/>
      <c r="M106" s="730"/>
      <c r="N106" s="730"/>
      <c r="O106" s="732"/>
      <c r="R106" s="172"/>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138"/>
      <c r="BC106" s="160"/>
      <c r="BD106" s="160"/>
      <c r="BE106" s="160"/>
      <c r="BF106" s="160"/>
      <c r="BG106" s="160"/>
      <c r="BH106" s="160"/>
      <c r="BI106" s="160"/>
      <c r="BJ106" s="160"/>
    </row>
    <row r="107" spans="3:62" ht="14.1" customHeight="1" x14ac:dyDescent="0.2">
      <c r="C107" s="168"/>
      <c r="E107" s="160"/>
      <c r="F107" s="160"/>
      <c r="G107" s="1415" t="s">
        <v>580</v>
      </c>
      <c r="H107" s="1415"/>
      <c r="I107" s="1415"/>
      <c r="J107" s="1415"/>
      <c r="K107" s="1415"/>
      <c r="L107" s="1415"/>
      <c r="M107" s="1415"/>
      <c r="N107" s="1415"/>
      <c r="O107" s="1416"/>
      <c r="R107" s="172"/>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60"/>
      <c r="BF107" s="160"/>
      <c r="BG107" s="160"/>
      <c r="BH107" s="160"/>
      <c r="BI107" s="160"/>
      <c r="BJ107" s="160"/>
    </row>
    <row r="108" spans="3:62" ht="14.1" customHeight="1" x14ac:dyDescent="0.2">
      <c r="C108" s="550" t="s">
        <v>573</v>
      </c>
      <c r="D108" s="130"/>
      <c r="E108" s="749"/>
      <c r="F108" s="749"/>
      <c r="G108" s="749"/>
      <c r="H108" s="749"/>
      <c r="I108" s="749"/>
      <c r="J108" s="749"/>
      <c r="K108" s="1133">
        <f>K91</f>
        <v>45657</v>
      </c>
      <c r="L108" s="1134">
        <f>L91</f>
        <v>46022</v>
      </c>
      <c r="M108" s="1134">
        <f>M91</f>
        <v>46387</v>
      </c>
      <c r="N108" s="1134">
        <f>N91</f>
        <v>46752</v>
      </c>
      <c r="O108" s="1135">
        <f>O91</f>
        <v>47118</v>
      </c>
      <c r="P108" s="176"/>
      <c r="Q108" s="176"/>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60"/>
      <c r="BF108" s="160"/>
      <c r="BG108" s="160"/>
      <c r="BH108" s="160"/>
      <c r="BI108" s="160"/>
      <c r="BJ108" s="160"/>
    </row>
    <row r="109" spans="3:62" ht="14.1" customHeight="1" x14ac:dyDescent="0.2">
      <c r="C109" s="210" t="str">
        <f t="shared" ref="C109:C114" si="58">C71</f>
        <v>Debt Value to Enterprise Value (Based on Maket Value)</v>
      </c>
      <c r="K109" s="1289">
        <v>2.4799999999999999E-2</v>
      </c>
      <c r="L109" s="1290">
        <v>2.35E-2</v>
      </c>
      <c r="M109" s="1290">
        <v>2.0799999999999999E-2</v>
      </c>
      <c r="N109" s="1290">
        <v>1.67E-2</v>
      </c>
      <c r="O109" s="1291">
        <v>1.7000000000000001E-2</v>
      </c>
      <c r="P109" s="176"/>
      <c r="Q109" s="176"/>
    </row>
    <row r="110" spans="3:62" ht="14.1" customHeight="1" x14ac:dyDescent="0.2">
      <c r="C110" s="210" t="str">
        <f t="shared" si="58"/>
        <v>Preferred Stock &amp; Non-Controlling Interest Value to Enterprise Value (Based on Maket Value)</v>
      </c>
      <c r="K110" s="1289">
        <v>0</v>
      </c>
      <c r="L110" s="1290">
        <v>0</v>
      </c>
      <c r="M110" s="1290">
        <v>0</v>
      </c>
      <c r="N110" s="1290">
        <v>0</v>
      </c>
      <c r="O110" s="1291">
        <v>0</v>
      </c>
      <c r="P110" s="176"/>
      <c r="Q110" s="176"/>
    </row>
    <row r="111" spans="3:62" ht="14.1" customHeight="1" x14ac:dyDescent="0.2">
      <c r="C111" s="210" t="str">
        <f t="shared" si="58"/>
        <v>Mkt Securities Value  to Enterprise Value (Based on Maket Value)</v>
      </c>
      <c r="K111" s="1289">
        <v>-1.2999999999999999E-3</v>
      </c>
      <c r="L111" s="1290">
        <v>-7.1000000000000004E-3</v>
      </c>
      <c r="M111" s="1290">
        <v>-1.7500000000000002E-2</v>
      </c>
      <c r="N111" s="1290">
        <v>-2.4799999999999999E-2</v>
      </c>
      <c r="O111" s="1291">
        <v>-2.0500000000000001E-2</v>
      </c>
      <c r="P111" s="176"/>
      <c r="Q111" s="176"/>
    </row>
    <row r="112" spans="3:62" ht="14.1" customHeight="1" x14ac:dyDescent="0.2">
      <c r="C112" s="210" t="str">
        <f t="shared" si="58"/>
        <v>Other Non-Operating Asset Value to Enterprise Value (Based on Maket Value)</v>
      </c>
      <c r="K112" s="1289">
        <v>0</v>
      </c>
      <c r="L112" s="1290">
        <v>0</v>
      </c>
      <c r="M112" s="1290">
        <v>0</v>
      </c>
      <c r="N112" s="1290">
        <v>0</v>
      </c>
      <c r="O112" s="1291">
        <v>0</v>
      </c>
      <c r="P112" s="176"/>
      <c r="Q112" s="176"/>
    </row>
    <row r="113" spans="1:15" ht="14.1" customHeight="1" x14ac:dyDescent="0.2">
      <c r="C113" s="210" t="str">
        <f t="shared" si="58"/>
        <v>DCF Shareholders Value to Enterprise Value (Based on Maket Value)</v>
      </c>
      <c r="K113" s="1129">
        <f>1-SUM(K109:K112)</f>
        <v>0.97650000000000003</v>
      </c>
      <c r="L113" s="191">
        <f>1-SUM(L109:L112)</f>
        <v>0.98360000000000003</v>
      </c>
      <c r="M113" s="191">
        <f>1-SUM(M109:M112)</f>
        <v>0.99670000000000003</v>
      </c>
      <c r="N113" s="191">
        <f>1-SUM(N109:N112)</f>
        <v>1.0081</v>
      </c>
      <c r="O113" s="209">
        <f>1-SUM(O109:O112)</f>
        <v>1.0035000000000001</v>
      </c>
    </row>
    <row r="114" spans="1:15" ht="14.1" customHeight="1" x14ac:dyDescent="0.2">
      <c r="C114" s="633" t="str">
        <f t="shared" si="58"/>
        <v>Sum of Capital Structure Weights</v>
      </c>
      <c r="D114" s="773"/>
      <c r="E114" s="773"/>
      <c r="F114" s="773"/>
      <c r="G114" s="773"/>
      <c r="H114" s="773"/>
      <c r="I114" s="773"/>
      <c r="J114" s="773"/>
      <c r="K114" s="1130">
        <f>SUM(K109:K113)</f>
        <v>1</v>
      </c>
      <c r="L114" s="1131">
        <f>SUM(L109:L113)</f>
        <v>1</v>
      </c>
      <c r="M114" s="1131">
        <f>SUM(M109:M113)</f>
        <v>1</v>
      </c>
      <c r="N114" s="1131">
        <f>SUM(N109:N113)</f>
        <v>1</v>
      </c>
      <c r="O114" s="1132">
        <f>SUM(O109:O113)</f>
        <v>1</v>
      </c>
    </row>
    <row r="115" spans="1:15" ht="14.1" customHeight="1" x14ac:dyDescent="0.2">
      <c r="C115" s="130"/>
      <c r="D115" s="130"/>
      <c r="E115" s="130"/>
      <c r="F115" s="130"/>
      <c r="G115" s="130"/>
      <c r="H115" s="130"/>
      <c r="I115" s="130"/>
      <c r="J115" s="130"/>
      <c r="K115" s="130"/>
      <c r="L115" s="130"/>
      <c r="M115" s="130"/>
      <c r="N115" s="130"/>
      <c r="O115" s="130"/>
    </row>
    <row r="116" spans="1:15" ht="14.1" customHeight="1" x14ac:dyDescent="0.2">
      <c r="C116" s="550" t="s">
        <v>576</v>
      </c>
      <c r="D116" s="130"/>
      <c r="E116" s="749"/>
      <c r="F116" s="749"/>
      <c r="G116" s="749"/>
      <c r="H116" s="749"/>
      <c r="I116" s="749"/>
      <c r="J116" s="749"/>
      <c r="K116" s="1133">
        <f>K108</f>
        <v>45657</v>
      </c>
      <c r="L116" s="1134">
        <f>L108</f>
        <v>46022</v>
      </c>
      <c r="M116" s="1134">
        <f>M108</f>
        <v>46387</v>
      </c>
      <c r="N116" s="1134">
        <f>N108</f>
        <v>46752</v>
      </c>
      <c r="O116" s="1135">
        <f>O108</f>
        <v>47118</v>
      </c>
    </row>
    <row r="117" spans="1:15" ht="14.1" customHeight="1" x14ac:dyDescent="0.2">
      <c r="C117" s="210" t="str">
        <f t="shared" ref="C117:C122" si="59">C109</f>
        <v>Debt Value to Enterprise Value (Based on Maket Value)</v>
      </c>
      <c r="K117" s="1289">
        <v>2.18E-2</v>
      </c>
      <c r="L117" s="1290">
        <v>2.41E-2</v>
      </c>
      <c r="M117" s="1290">
        <v>2.0899999999999998E-2</v>
      </c>
      <c r="N117" s="1290">
        <v>0.02</v>
      </c>
      <c r="O117" s="1291">
        <v>2.0400000000000001E-2</v>
      </c>
    </row>
    <row r="118" spans="1:15" ht="14.1" customHeight="1" x14ac:dyDescent="0.2">
      <c r="C118" s="210" t="str">
        <f t="shared" si="59"/>
        <v>Preferred Stock &amp; Non-Controlling Interest Value to Enterprise Value (Based on Maket Value)</v>
      </c>
      <c r="K118" s="1289">
        <v>0</v>
      </c>
      <c r="L118" s="1290">
        <v>0</v>
      </c>
      <c r="M118" s="1290">
        <v>0</v>
      </c>
      <c r="N118" s="1290">
        <v>0</v>
      </c>
      <c r="O118" s="1291">
        <v>0</v>
      </c>
    </row>
    <row r="119" spans="1:15" ht="14.1" customHeight="1" x14ac:dyDescent="0.2">
      <c r="C119" s="210" t="str">
        <f t="shared" si="59"/>
        <v>Mkt Securities Value  to Enterprise Value (Based on Maket Value)</v>
      </c>
      <c r="K119" s="1289">
        <v>-1.1000000000000001E-3</v>
      </c>
      <c r="L119" s="1290">
        <v>-7.1000000000000004E-3</v>
      </c>
      <c r="M119" s="1290">
        <v>-1.7500000000000002E-2</v>
      </c>
      <c r="N119" s="1290">
        <v>-1.9E-2</v>
      </c>
      <c r="O119" s="1291">
        <v>-1.8499999999999999E-2</v>
      </c>
    </row>
    <row r="120" spans="1:15" ht="14.1" customHeight="1" x14ac:dyDescent="0.2">
      <c r="C120" s="210" t="str">
        <f t="shared" si="59"/>
        <v>Other Non-Operating Asset Value to Enterprise Value (Based on Maket Value)</v>
      </c>
      <c r="K120" s="1289">
        <v>0</v>
      </c>
      <c r="L120" s="1290">
        <v>0</v>
      </c>
      <c r="M120" s="1290">
        <v>0</v>
      </c>
      <c r="N120" s="1290">
        <v>0</v>
      </c>
      <c r="O120" s="1291">
        <v>0</v>
      </c>
    </row>
    <row r="121" spans="1:15" ht="14.1" customHeight="1" x14ac:dyDescent="0.2">
      <c r="C121" s="210" t="str">
        <f t="shared" si="59"/>
        <v>DCF Shareholders Value to Enterprise Value (Based on Maket Value)</v>
      </c>
      <c r="K121" s="1129">
        <f>1-SUM(K117:K120)</f>
        <v>0.97929999999999995</v>
      </c>
      <c r="L121" s="191">
        <f>1-SUM(L117:L120)</f>
        <v>0.98299999999999998</v>
      </c>
      <c r="M121" s="191">
        <f>1-SUM(M117:M120)</f>
        <v>0.99660000000000004</v>
      </c>
      <c r="N121" s="191">
        <f>1-SUM(N117:N120)</f>
        <v>0.999</v>
      </c>
      <c r="O121" s="209">
        <f>1-SUM(O117:O120)</f>
        <v>0.99809999999999999</v>
      </c>
    </row>
    <row r="122" spans="1:15" ht="14.1" customHeight="1" x14ac:dyDescent="0.2">
      <c r="C122" s="633" t="str">
        <f t="shared" si="59"/>
        <v>Sum of Capital Structure Weights</v>
      </c>
      <c r="D122" s="773"/>
      <c r="E122" s="773"/>
      <c r="F122" s="773"/>
      <c r="G122" s="773"/>
      <c r="H122" s="773"/>
      <c r="I122" s="773"/>
      <c r="J122" s="773"/>
      <c r="K122" s="1130">
        <f>SUM(K117:K121)</f>
        <v>1</v>
      </c>
      <c r="L122" s="1131">
        <f>SUM(L117:L121)</f>
        <v>1</v>
      </c>
      <c r="M122" s="1131">
        <f>SUM(M117:M121)</f>
        <v>1</v>
      </c>
      <c r="N122" s="1131">
        <f>SUM(N117:N121)</f>
        <v>1</v>
      </c>
      <c r="O122" s="1132">
        <f>SUM(O117:O121)</f>
        <v>1</v>
      </c>
    </row>
    <row r="123" spans="1:15" s="161" customFormat="1" ht="14.1" customHeight="1" x14ac:dyDescent="0.2">
      <c r="A123"/>
      <c r="B123"/>
      <c r="C123" s="114"/>
    </row>
    <row r="124" spans="1:15" ht="14.1" customHeight="1" x14ac:dyDescent="0.2">
      <c r="C124" s="550" t="s">
        <v>577</v>
      </c>
      <c r="D124" s="130"/>
      <c r="E124" s="749"/>
      <c r="F124" s="749"/>
      <c r="G124" s="749"/>
      <c r="H124" s="749"/>
      <c r="I124" s="749"/>
      <c r="J124" s="749"/>
      <c r="K124" s="1133">
        <f>K116</f>
        <v>45657</v>
      </c>
      <c r="L124" s="1134">
        <f>L116</f>
        <v>46022</v>
      </c>
      <c r="M124" s="1134">
        <f>M116</f>
        <v>46387</v>
      </c>
      <c r="N124" s="1134">
        <f>N116</f>
        <v>46752</v>
      </c>
      <c r="O124" s="1135">
        <f>O116</f>
        <v>47118</v>
      </c>
    </row>
    <row r="125" spans="1:15" ht="14.1" customHeight="1" x14ac:dyDescent="0.2">
      <c r="C125" s="210" t="str">
        <f t="shared" ref="C125:C130" si="60">C117</f>
        <v>Debt Value to Enterprise Value (Based on Maket Value)</v>
      </c>
      <c r="K125" s="1289">
        <v>2.0750000000000001E-2</v>
      </c>
      <c r="L125" s="1290">
        <v>1.95E-2</v>
      </c>
      <c r="M125" s="1290">
        <v>1.9300000000000001E-2</v>
      </c>
      <c r="N125" s="1290">
        <v>1.8800000000000001E-2</v>
      </c>
      <c r="O125" s="1291">
        <v>1.84E-2</v>
      </c>
    </row>
    <row r="126" spans="1:15" ht="14.1" customHeight="1" x14ac:dyDescent="0.2">
      <c r="C126" s="210" t="str">
        <f t="shared" si="60"/>
        <v>Preferred Stock &amp; Non-Controlling Interest Value to Enterprise Value (Based on Maket Value)</v>
      </c>
      <c r="K126" s="1289">
        <v>0</v>
      </c>
      <c r="L126" s="1290">
        <v>0</v>
      </c>
      <c r="M126" s="1290">
        <v>0</v>
      </c>
      <c r="N126" s="1290">
        <v>0</v>
      </c>
      <c r="O126" s="1291">
        <v>0</v>
      </c>
    </row>
    <row r="127" spans="1:15" ht="14.1" customHeight="1" x14ac:dyDescent="0.2">
      <c r="C127" s="210" t="str">
        <f t="shared" si="60"/>
        <v>Mkt Securities Value  to Enterprise Value (Based on Maket Value)</v>
      </c>
      <c r="K127" s="1289">
        <v>-1E-3</v>
      </c>
      <c r="L127" s="1290">
        <v>-6.4999999999999997E-3</v>
      </c>
      <c r="M127" s="1290">
        <v>-1.7899999999999999E-2</v>
      </c>
      <c r="N127" s="1290">
        <v>-1.89E-2</v>
      </c>
      <c r="O127" s="1291">
        <v>-1.7899999999999999E-2</v>
      </c>
    </row>
    <row r="128" spans="1:15" ht="14.1" customHeight="1" x14ac:dyDescent="0.2">
      <c r="C128" s="210" t="str">
        <f t="shared" si="60"/>
        <v>Other Non-Operating Asset Value to Enterprise Value (Based on Maket Value)</v>
      </c>
      <c r="K128" s="1289">
        <v>0</v>
      </c>
      <c r="L128" s="1290">
        <v>0</v>
      </c>
      <c r="M128" s="1290">
        <v>0</v>
      </c>
      <c r="N128" s="1290">
        <v>0</v>
      </c>
      <c r="O128" s="1291">
        <v>0</v>
      </c>
    </row>
    <row r="129" spans="3:15" ht="14.1" customHeight="1" x14ac:dyDescent="0.2">
      <c r="C129" s="210" t="str">
        <f t="shared" si="60"/>
        <v>DCF Shareholders Value to Enterprise Value (Based on Maket Value)</v>
      </c>
      <c r="K129" s="1129">
        <f>1-SUM(K125:K128)</f>
        <v>0.98024999999999995</v>
      </c>
      <c r="L129" s="191">
        <f>1-SUM(L125:L128)</f>
        <v>0.98699999999999999</v>
      </c>
      <c r="M129" s="191">
        <f>1-SUM(M125:M128)</f>
        <v>0.99860000000000004</v>
      </c>
      <c r="N129" s="191">
        <f>1-SUM(N125:N128)</f>
        <v>1.0001</v>
      </c>
      <c r="O129" s="209">
        <f>1-SUM(O125:O128)</f>
        <v>0.99950000000000006</v>
      </c>
    </row>
    <row r="130" spans="3:15" ht="14.1" customHeight="1" x14ac:dyDescent="0.2">
      <c r="C130" s="633" t="str">
        <f t="shared" si="60"/>
        <v>Sum of Capital Structure Weights</v>
      </c>
      <c r="D130" s="773"/>
      <c r="E130" s="773"/>
      <c r="F130" s="773"/>
      <c r="G130" s="773"/>
      <c r="H130" s="773"/>
      <c r="I130" s="773"/>
      <c r="J130" s="773"/>
      <c r="K130" s="1128">
        <f>SUM(K125:K129)</f>
        <v>1</v>
      </c>
      <c r="L130" s="998">
        <f>SUM(L125:L129)</f>
        <v>1</v>
      </c>
      <c r="M130" s="998">
        <f>SUM(M125:M129)</f>
        <v>1</v>
      </c>
      <c r="N130" s="998">
        <f>SUM(N125:N129)</f>
        <v>1</v>
      </c>
      <c r="O130" s="1112">
        <f>SUM(O125:O129)</f>
        <v>1</v>
      </c>
    </row>
    <row r="132" spans="3:15" ht="14.1" customHeight="1" x14ac:dyDescent="0.2">
      <c r="C132" s="550" t="s">
        <v>578</v>
      </c>
      <c r="D132" s="130"/>
      <c r="E132" s="749"/>
      <c r="F132" s="749"/>
      <c r="G132" s="749"/>
      <c r="H132" s="749"/>
      <c r="I132" s="749"/>
      <c r="J132" s="749"/>
      <c r="K132" s="1133">
        <f>K124</f>
        <v>45657</v>
      </c>
      <c r="L132" s="1134">
        <f>L124</f>
        <v>46022</v>
      </c>
      <c r="M132" s="1134">
        <f>M124</f>
        <v>46387</v>
      </c>
      <c r="N132" s="1134">
        <f>N124</f>
        <v>46752</v>
      </c>
      <c r="O132" s="1135">
        <f>O124</f>
        <v>47118</v>
      </c>
    </row>
    <row r="133" spans="3:15" ht="14.1" customHeight="1" x14ac:dyDescent="0.2">
      <c r="C133" s="210" t="str">
        <f t="shared" ref="C133:C138" si="61">C125</f>
        <v>Debt Value to Enterprise Value (Based on Maket Value)</v>
      </c>
      <c r="K133" s="1289">
        <v>2.6100000000000002E-2</v>
      </c>
      <c r="L133" s="1290">
        <v>2.4500000000000001E-2</v>
      </c>
      <c r="M133" s="1290">
        <v>2.23E-2</v>
      </c>
      <c r="N133" s="1290">
        <v>2.01E-2</v>
      </c>
      <c r="O133" s="1291">
        <v>0.02</v>
      </c>
    </row>
    <row r="134" spans="3:15" ht="14.1" customHeight="1" x14ac:dyDescent="0.2">
      <c r="C134" s="210" t="str">
        <f t="shared" si="61"/>
        <v>Preferred Stock &amp; Non-Controlling Interest Value to Enterprise Value (Based on Maket Value)</v>
      </c>
      <c r="K134" s="1289">
        <v>0</v>
      </c>
      <c r="L134" s="1290">
        <v>0</v>
      </c>
      <c r="M134" s="1290">
        <v>0</v>
      </c>
      <c r="N134" s="1290">
        <v>0</v>
      </c>
      <c r="O134" s="1291">
        <v>0</v>
      </c>
    </row>
    <row r="135" spans="3:15" ht="14.1" customHeight="1" x14ac:dyDescent="0.2">
      <c r="C135" s="210" t="str">
        <f t="shared" si="61"/>
        <v>Mkt Securities Value  to Enterprise Value (Based on Maket Value)</v>
      </c>
      <c r="K135" s="1289">
        <v>-1.1000000000000001E-3</v>
      </c>
      <c r="L135" s="1290">
        <v>-7.4999999999999997E-3</v>
      </c>
      <c r="M135" s="1290">
        <v>-2.3900000000000001E-2</v>
      </c>
      <c r="N135" s="1290">
        <v>-2.1999999999999999E-2</v>
      </c>
      <c r="O135" s="1291">
        <v>-0.02</v>
      </c>
    </row>
    <row r="136" spans="3:15" ht="14.1" customHeight="1" x14ac:dyDescent="0.2">
      <c r="C136" s="210" t="str">
        <f t="shared" si="61"/>
        <v>Other Non-Operating Asset Value to Enterprise Value (Based on Maket Value)</v>
      </c>
      <c r="K136" s="1289">
        <v>0</v>
      </c>
      <c r="L136" s="1290">
        <v>0</v>
      </c>
      <c r="M136" s="1290">
        <v>0</v>
      </c>
      <c r="N136" s="1290">
        <v>0</v>
      </c>
      <c r="O136" s="1291">
        <v>0</v>
      </c>
    </row>
    <row r="137" spans="3:15" ht="14.1" customHeight="1" x14ac:dyDescent="0.2">
      <c r="C137" s="210" t="str">
        <f t="shared" si="61"/>
        <v>DCF Shareholders Value to Enterprise Value (Based on Maket Value)</v>
      </c>
      <c r="K137" s="1129">
        <f>1-SUM(K133:K136)</f>
        <v>0.97499999999999998</v>
      </c>
      <c r="L137" s="191">
        <f>1-SUM(L133:L136)</f>
        <v>0.98299999999999998</v>
      </c>
      <c r="M137" s="191">
        <f>1-SUM(M133:M136)</f>
        <v>1.0016</v>
      </c>
      <c r="N137" s="191">
        <f>1-SUM(N133:N136)</f>
        <v>1.0019</v>
      </c>
      <c r="O137" s="209">
        <f>1-SUM(O133:O136)</f>
        <v>1</v>
      </c>
    </row>
    <row r="138" spans="3:15" ht="14.1" customHeight="1" x14ac:dyDescent="0.2">
      <c r="C138" s="633" t="str">
        <f t="shared" si="61"/>
        <v>Sum of Capital Structure Weights</v>
      </c>
      <c r="D138" s="773"/>
      <c r="E138" s="773"/>
      <c r="F138" s="773"/>
      <c r="G138" s="773"/>
      <c r="H138" s="773"/>
      <c r="I138" s="773"/>
      <c r="J138" s="773"/>
      <c r="K138" s="1128">
        <f>SUM(K133:K137)</f>
        <v>1</v>
      </c>
      <c r="L138" s="998">
        <f>SUM(L133:L137)</f>
        <v>1</v>
      </c>
      <c r="M138" s="998">
        <f>SUM(M133:M137)</f>
        <v>1</v>
      </c>
      <c r="N138" s="998">
        <f>SUM(N133:N137)</f>
        <v>1</v>
      </c>
      <c r="O138" s="1112">
        <f>SUM(O133:O137)</f>
        <v>1</v>
      </c>
    </row>
  </sheetData>
  <mergeCells count="38">
    <mergeCell ref="D19:J19"/>
    <mergeCell ref="K19:O19"/>
    <mergeCell ref="BB5:BF5"/>
    <mergeCell ref="BG5:BK5"/>
    <mergeCell ref="P3:Q7"/>
    <mergeCell ref="R3:AZ3"/>
    <mergeCell ref="R4:BA4"/>
    <mergeCell ref="S5:W5"/>
    <mergeCell ref="X5:AB5"/>
    <mergeCell ref="AC5:AG5"/>
    <mergeCell ref="AH5:AL5"/>
    <mergeCell ref="AM5:AQ5"/>
    <mergeCell ref="AR5:AV5"/>
    <mergeCell ref="AW5:BA5"/>
    <mergeCell ref="R49:AZ49"/>
    <mergeCell ref="R50:BA50"/>
    <mergeCell ref="S52:W52"/>
    <mergeCell ref="X52:AB52"/>
    <mergeCell ref="AC52:AG52"/>
    <mergeCell ref="AH52:AL52"/>
    <mergeCell ref="AM52:AQ52"/>
    <mergeCell ref="AR52:AV52"/>
    <mergeCell ref="AW52:BA52"/>
    <mergeCell ref="G107:O107"/>
    <mergeCell ref="K70:O70"/>
    <mergeCell ref="D70:J70"/>
    <mergeCell ref="BG52:BK52"/>
    <mergeCell ref="BB91:BF91"/>
    <mergeCell ref="R89:BA89"/>
    <mergeCell ref="S91:W91"/>
    <mergeCell ref="X91:AB91"/>
    <mergeCell ref="AC91:AG91"/>
    <mergeCell ref="AH91:AL91"/>
    <mergeCell ref="AM91:AQ91"/>
    <mergeCell ref="AR91:AV91"/>
    <mergeCell ref="AW91:BA91"/>
    <mergeCell ref="BB52:BF52"/>
    <mergeCell ref="R88:AZ88"/>
  </mergeCells>
  <dataValidations disablePrompts="1" count="1">
    <dataValidation type="list" allowBlank="1" showInputMessage="1" showErrorMessage="1" sqref="C33" xr:uid="{4E645EFA-01C8-449E-9A52-9BCEB48F5E0C}">
      <formula1>$C$42:$C$44</formula1>
    </dataValidation>
  </dataValidations>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3992C3B-A2E5-418D-9E78-4D6AE22BE1C5}">
          <x14:formula1>
            <xm:f>Data!$J$39:$K$39</xm:f>
          </x14:formula1>
          <xm:sqref>C11</xm:sqref>
        </x14:dataValidation>
        <x14:dataValidation type="list" allowBlank="1" showInputMessage="1" showErrorMessage="1" xr:uid="{D8937939-76A5-4088-B37D-CC1B87A7F95D}">
          <x14:formula1>
            <xm:f>Data!$R$37:$S$37</xm:f>
          </x14:formula1>
          <xm:sqref>C32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2FA3-37C5-471F-87EB-B55B17B78251}">
  <dimension ref="A1:CF120"/>
  <sheetViews>
    <sheetView showGridLines="0" zoomScale="90" zoomScaleNormal="100" workbookViewId="0">
      <pane xSplit="3" topLeftCell="K1" activePane="topRight" state="frozen"/>
      <selection activeCell="E57" sqref="E57"/>
      <selection pane="topRight" activeCell="P19" sqref="P19"/>
    </sheetView>
  </sheetViews>
  <sheetFormatPr defaultColWidth="9.01171875" defaultRowHeight="14.1" customHeight="1" outlineLevelCol="1" x14ac:dyDescent="0.2"/>
  <cols>
    <col min="1" max="1" width="0.671875" customWidth="1"/>
    <col min="2" max="2" width="0.8046875" customWidth="1"/>
    <col min="3" max="3" width="36.58984375" style="60" customWidth="1"/>
    <col min="4" max="10" width="10.22265625" style="60" hidden="1" customWidth="1" outlineLevel="1"/>
    <col min="11" max="11" width="10.22265625" style="60" bestFit="1" customWidth="1" collapsed="1"/>
    <col min="12" max="15" width="10.22265625" style="60" bestFit="1" customWidth="1"/>
    <col min="16" max="17" width="1.61328125" style="60" customWidth="1"/>
    <col min="18" max="18" width="9.01171875" style="60" customWidth="1"/>
    <col min="19" max="19" width="10.22265625" style="60" customWidth="1"/>
    <col min="20" max="27" width="9.01171875" style="60" customWidth="1"/>
    <col min="28" max="28" width="2.5546875" style="60" customWidth="1"/>
    <col min="29" max="56" width="9.01171875" style="60" customWidth="1"/>
    <col min="57" max="57" width="9.01171875" style="60"/>
    <col min="58" max="58" width="9.01171875" style="60" customWidth="1"/>
    <col min="59" max="62" width="9.01171875" style="60"/>
    <col min="63" max="63" width="9.01171875" style="60" customWidth="1"/>
    <col min="64" max="67" width="9.01171875" style="60"/>
    <col min="68" max="68" width="9.01171875" style="60" customWidth="1"/>
    <col min="69" max="72" width="9.01171875" style="60"/>
    <col min="73" max="73" width="9.01171875" style="60" customWidth="1"/>
    <col min="74" max="77" width="9.01171875" style="60"/>
    <col min="78" max="78" width="9.01171875" style="60" customWidth="1"/>
    <col min="79" max="16384" width="9.01171875" style="60"/>
  </cols>
  <sheetData>
    <row r="1" spans="1:84" customFormat="1" ht="3" customHeight="1" x14ac:dyDescent="0.2"/>
    <row r="2" spans="1:84" customFormat="1" ht="1.1499999999999999" customHeight="1" x14ac:dyDescent="0.2"/>
    <row r="3" spans="1:84" s="41" customFormat="1" ht="18.75" x14ac:dyDescent="0.25">
      <c r="A3"/>
      <c r="B3"/>
      <c r="C3" s="47" t="str">
        <f>Company_Name</f>
        <v>SAIA, Inc.</v>
      </c>
      <c r="D3" s="48"/>
      <c r="E3" s="48"/>
      <c r="F3" s="48"/>
      <c r="G3" s="48"/>
      <c r="H3" s="48"/>
      <c r="I3" s="48"/>
      <c r="J3" s="48"/>
      <c r="K3" s="48"/>
      <c r="L3" s="48"/>
      <c r="M3" s="48"/>
      <c r="N3" s="67" t="str">
        <f>'Revenue Build'!N3</f>
        <v>Model Case:</v>
      </c>
      <c r="O3" s="48" t="str">
        <f>'Revenue Build'!O3</f>
        <v>Base</v>
      </c>
      <c r="P3" s="725"/>
      <c r="Q3" s="725"/>
      <c r="R3" s="971" t="str">
        <f>C3</f>
        <v>SAIA, Inc.</v>
      </c>
      <c r="S3" s="972"/>
      <c r="T3" s="972"/>
      <c r="U3" s="972"/>
      <c r="V3" s="972"/>
      <c r="W3" s="972"/>
      <c r="X3" s="972"/>
      <c r="Y3" s="972"/>
      <c r="Z3" s="1164" t="str">
        <f t="shared" ref="Z3:AA5" si="0">N3</f>
        <v>Model Case:</v>
      </c>
      <c r="AA3" s="1163" t="str">
        <f t="shared" si="0"/>
        <v>Base</v>
      </c>
      <c r="AB3" s="765"/>
      <c r="AC3" s="971" t="str">
        <f>R3</f>
        <v>SAIA, Inc.</v>
      </c>
      <c r="AD3" s="972"/>
      <c r="AE3" s="972"/>
      <c r="AF3" s="972"/>
      <c r="AG3" s="972"/>
      <c r="AH3" s="972"/>
      <c r="AI3" s="972"/>
      <c r="AJ3" s="972"/>
      <c r="AK3" s="972"/>
      <c r="AL3" s="972"/>
      <c r="AM3" s="1164" t="str">
        <f t="shared" ref="AM3:AN5" si="1">Z3</f>
        <v>Model Case:</v>
      </c>
      <c r="AN3" s="1165" t="str">
        <f t="shared" si="1"/>
        <v>Base</v>
      </c>
      <c r="AO3" s="765"/>
      <c r="AP3" s="765"/>
      <c r="AQ3" s="765"/>
      <c r="AR3" s="765"/>
      <c r="AS3" s="765"/>
      <c r="AT3" s="765"/>
      <c r="AU3" s="765"/>
      <c r="AV3" s="765"/>
      <c r="AW3" s="765"/>
      <c r="AX3" s="765"/>
      <c r="AY3" s="765"/>
      <c r="AZ3" s="765"/>
      <c r="BA3" s="765"/>
      <c r="BB3" s="765"/>
      <c r="BC3" s="765"/>
      <c r="BD3" s="765"/>
      <c r="BE3" s="765"/>
      <c r="BF3" s="765"/>
      <c r="BG3" s="765"/>
      <c r="BH3" s="765"/>
      <c r="BI3" s="765"/>
      <c r="BJ3" s="765"/>
      <c r="BK3" s="765"/>
      <c r="BL3" s="765"/>
      <c r="BM3" s="765"/>
      <c r="BN3" s="765"/>
      <c r="BO3" s="765"/>
      <c r="BP3" s="765"/>
      <c r="BQ3" s="765"/>
      <c r="BR3" s="765"/>
      <c r="BS3" s="765"/>
      <c r="BT3" s="765"/>
      <c r="BU3" s="765"/>
      <c r="BV3" s="765"/>
      <c r="BW3" s="765"/>
      <c r="BX3" s="765"/>
      <c r="BY3" s="765"/>
      <c r="BZ3" s="765"/>
    </row>
    <row r="4" spans="1:84" s="62" customFormat="1" ht="15" x14ac:dyDescent="0.2">
      <c r="A4"/>
      <c r="B4"/>
      <c r="C4" s="48" t="s">
        <v>358</v>
      </c>
      <c r="D4" s="48"/>
      <c r="E4" s="48"/>
      <c r="F4" s="48"/>
      <c r="G4" s="48"/>
      <c r="H4" s="48"/>
      <c r="I4" s="48"/>
      <c r="J4" s="48"/>
      <c r="K4" s="48"/>
      <c r="L4" s="48"/>
      <c r="M4" s="48"/>
      <c r="N4" s="67" t="str" cm="1">
        <f t="array" ref="N4">"DCF Share Value as of "&amp;TEXT(DCF_ShareValue_Date,"MM/DD/YYYY")&amp;":"</f>
        <v>DCF Share Value as of 12/31/2024:</v>
      </c>
      <c r="O4" s="65">
        <f>DCF_Share_Value</f>
        <v>520.1066763818468</v>
      </c>
      <c r="P4" s="725"/>
      <c r="Q4" s="725"/>
      <c r="R4" s="973" t="str">
        <f>C4</f>
        <v>Intrinsic Value</v>
      </c>
      <c r="S4" s="48"/>
      <c r="T4" s="48"/>
      <c r="U4" s="48"/>
      <c r="V4" s="48"/>
      <c r="W4" s="48"/>
      <c r="X4" s="48"/>
      <c r="Y4" s="48"/>
      <c r="Z4" s="67" t="str">
        <f t="shared" si="0"/>
        <v>DCF Share Value as of 12/31/2024:</v>
      </c>
      <c r="AA4" s="1159">
        <f t="shared" si="0"/>
        <v>520.1066763818468</v>
      </c>
      <c r="AB4" s="963"/>
      <c r="AC4" s="973" t="str">
        <f>R4</f>
        <v>Intrinsic Value</v>
      </c>
      <c r="AD4" s="48"/>
      <c r="AE4" s="48"/>
      <c r="AF4" s="48"/>
      <c r="AG4" s="48"/>
      <c r="AH4" s="48"/>
      <c r="AI4" s="48"/>
      <c r="AJ4" s="48"/>
      <c r="AK4" s="48"/>
      <c r="AL4" s="48"/>
      <c r="AM4" s="67" t="str">
        <f t="shared" si="1"/>
        <v>DCF Share Value as of 12/31/2024:</v>
      </c>
      <c r="AN4" s="1159">
        <f t="shared" si="1"/>
        <v>520.1066763818468</v>
      </c>
      <c r="AO4" s="963"/>
      <c r="AP4" s="963"/>
      <c r="AQ4" s="963"/>
      <c r="AR4" s="963"/>
      <c r="AS4" s="963"/>
      <c r="AT4" s="963"/>
      <c r="AU4" s="963"/>
      <c r="AV4" s="963"/>
      <c r="AW4" s="963"/>
      <c r="AX4" s="963"/>
      <c r="AY4" s="963"/>
      <c r="AZ4" s="963"/>
      <c r="BA4" s="963"/>
      <c r="BB4" s="766"/>
      <c r="BC4" s="766"/>
      <c r="BD4" s="766"/>
      <c r="BE4" s="766"/>
      <c r="BF4" s="766"/>
      <c r="BG4" s="766"/>
      <c r="BH4" s="766"/>
      <c r="BI4" s="766"/>
      <c r="BJ4" s="766"/>
      <c r="BK4" s="766"/>
      <c r="BL4" s="766"/>
      <c r="BM4" s="766"/>
      <c r="BN4" s="766"/>
      <c r="BO4" s="766"/>
      <c r="BP4" s="766"/>
      <c r="BQ4" s="766"/>
      <c r="BR4" s="766"/>
      <c r="BS4" s="766"/>
      <c r="BT4" s="766"/>
      <c r="BU4" s="766"/>
      <c r="BV4" s="766"/>
      <c r="BW4" s="766"/>
      <c r="BX4" s="766"/>
      <c r="BY4" s="766"/>
      <c r="BZ4" s="766"/>
    </row>
    <row r="5" spans="1:84" s="61" customFormat="1" ht="15" x14ac:dyDescent="0.2">
      <c r="A5"/>
      <c r="B5"/>
      <c r="C5" s="46" t="str">
        <f>"($ in millions, fiscal year ending "&amp;TEXT(FY_Year_End,"MMMM,DD")&amp;")"</f>
        <v>($ in millions, fiscal year ending December,31)</v>
      </c>
      <c r="D5" s="49"/>
      <c r="E5" s="49"/>
      <c r="F5" s="49"/>
      <c r="G5" s="49"/>
      <c r="H5" s="49" t="str">
        <f>"Ticker: "&amp;Company_Ticker</f>
        <v>Ticker: SAIA</v>
      </c>
      <c r="I5" s="49"/>
      <c r="J5" s="49"/>
      <c r="K5" s="49"/>
      <c r="L5" s="49"/>
      <c r="M5" s="49"/>
      <c r="N5" s="66" t="str" cm="1">
        <f t="array" ref="N5">"Market Share Price as of "&amp;TEXT(Market_Share_Price_Date,"MM/DD/YYYY")&amp;":"</f>
        <v>Market Share Price as of 12/31/2024:</v>
      </c>
      <c r="O5" s="65">
        <f>Market_Share_Price</f>
        <v>455.73</v>
      </c>
      <c r="P5" s="725"/>
      <c r="Q5" s="725"/>
      <c r="R5" s="976" t="str">
        <f>C5</f>
        <v>($ in millions, fiscal year ending December,31)</v>
      </c>
      <c r="S5" s="974"/>
      <c r="T5" s="974"/>
      <c r="U5" s="974"/>
      <c r="V5" s="974"/>
      <c r="W5" s="974"/>
      <c r="X5" s="974"/>
      <c r="Y5" s="974"/>
      <c r="Z5" s="1160" t="str">
        <f t="shared" si="0"/>
        <v>Market Share Price as of 12/31/2024:</v>
      </c>
      <c r="AA5" s="1159">
        <f t="shared" si="0"/>
        <v>455.73</v>
      </c>
      <c r="AB5" s="970"/>
      <c r="AC5" s="987" t="str">
        <f>R5</f>
        <v>($ in millions, fiscal year ending December,31)</v>
      </c>
      <c r="AD5" s="988"/>
      <c r="AE5" s="988"/>
      <c r="AF5" s="988"/>
      <c r="AG5" s="988"/>
      <c r="AH5" s="988"/>
      <c r="AI5" s="988"/>
      <c r="AJ5" s="988"/>
      <c r="AK5" s="988"/>
      <c r="AL5" s="988"/>
      <c r="AM5" s="1161" t="str">
        <f t="shared" si="1"/>
        <v>Market Share Price as of 12/31/2024:</v>
      </c>
      <c r="AN5" s="1162">
        <f t="shared" si="1"/>
        <v>455.73</v>
      </c>
      <c r="AO5" s="964"/>
      <c r="AP5" s="965"/>
      <c r="AQ5" s="966"/>
      <c r="AR5" s="964"/>
      <c r="AS5" s="965"/>
      <c r="AT5" s="965"/>
      <c r="AU5" s="965"/>
      <c r="AV5" s="966"/>
      <c r="AW5" s="964"/>
      <c r="AX5" s="965"/>
      <c r="AY5" s="965"/>
      <c r="AZ5" s="965"/>
      <c r="BA5" s="966"/>
      <c r="BB5" s="967"/>
      <c r="BC5" s="968"/>
      <c r="BD5" s="968"/>
      <c r="BE5" s="968"/>
      <c r="BF5" s="968"/>
      <c r="BG5" s="968"/>
      <c r="BH5" s="968"/>
      <c r="BI5" s="968"/>
      <c r="BJ5" s="968"/>
      <c r="BK5" s="968"/>
      <c r="BL5" s="968"/>
      <c r="BM5" s="968"/>
      <c r="BN5" s="968"/>
      <c r="BO5" s="968"/>
      <c r="BP5" s="968"/>
      <c r="BQ5" s="968"/>
      <c r="BR5" s="968"/>
      <c r="BS5" s="968"/>
      <c r="BT5" s="968"/>
      <c r="BU5" s="968"/>
      <c r="BV5" s="968"/>
      <c r="BW5" s="968"/>
      <c r="BX5" s="968"/>
      <c r="BY5" s="968"/>
      <c r="BZ5" s="969"/>
    </row>
    <row r="6" spans="1:84" s="45" customFormat="1" ht="1.5" customHeight="1" x14ac:dyDescent="0.2">
      <c r="A6"/>
      <c r="B6"/>
      <c r="C6" s="42" t="s">
        <v>49</v>
      </c>
      <c r="D6" s="42">
        <v>6</v>
      </c>
      <c r="E6" s="42">
        <v>-5</v>
      </c>
      <c r="F6" s="42">
        <v>-4</v>
      </c>
      <c r="G6" s="42">
        <v>-3</v>
      </c>
      <c r="H6" s="42">
        <v>-2</v>
      </c>
      <c r="I6" s="42">
        <v>-1</v>
      </c>
      <c r="J6" s="42"/>
      <c r="K6" s="42">
        <v>1</v>
      </c>
      <c r="L6" s="42">
        <v>2</v>
      </c>
      <c r="M6" s="42">
        <v>3</v>
      </c>
      <c r="N6" s="42">
        <v>4</v>
      </c>
      <c r="O6" s="42">
        <v>5</v>
      </c>
      <c r="P6" s="725"/>
      <c r="Q6" s="725"/>
      <c r="R6" s="958">
        <v>6</v>
      </c>
      <c r="S6" s="959">
        <v>7</v>
      </c>
      <c r="T6" s="958">
        <v>8</v>
      </c>
      <c r="U6" s="959">
        <v>9</v>
      </c>
      <c r="V6" s="958">
        <v>10</v>
      </c>
      <c r="W6" s="959">
        <v>11</v>
      </c>
      <c r="X6" s="958">
        <v>12</v>
      </c>
      <c r="Y6" s="959">
        <v>13</v>
      </c>
      <c r="Z6" s="958">
        <v>14</v>
      </c>
      <c r="AA6" s="959">
        <v>15</v>
      </c>
      <c r="AB6" s="960"/>
      <c r="AC6" s="961">
        <v>16</v>
      </c>
      <c r="AD6" s="960">
        <v>17</v>
      </c>
      <c r="AE6" s="959">
        <v>18</v>
      </c>
      <c r="AF6" s="959">
        <v>19</v>
      </c>
      <c r="AG6" s="959">
        <v>20</v>
      </c>
      <c r="AH6" s="959">
        <v>21</v>
      </c>
      <c r="AI6" s="959">
        <v>22</v>
      </c>
      <c r="AJ6" s="959">
        <v>23</v>
      </c>
      <c r="AK6" s="959">
        <v>24</v>
      </c>
      <c r="AL6" s="959">
        <v>25</v>
      </c>
      <c r="AM6" s="959">
        <v>26</v>
      </c>
      <c r="AN6" s="959">
        <v>27</v>
      </c>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4"/>
      <c r="CB6" s="44"/>
      <c r="CC6" s="44"/>
      <c r="CD6" s="44"/>
      <c r="CE6" s="44"/>
    </row>
    <row r="7" spans="1:84" s="50" customFormat="1" ht="14.1" customHeight="1" x14ac:dyDescent="0.2">
      <c r="A7"/>
      <c r="B7"/>
      <c r="C7" s="994" t="s">
        <v>358</v>
      </c>
      <c r="D7" s="762"/>
      <c r="E7" s="52">
        <f t="shared" ref="E7:O7" si="2">DATE(Base_Year+E6,MONTH(FY_Year_End),DAY(FY_Year_End))</f>
        <v>43465</v>
      </c>
      <c r="F7" s="52">
        <f t="shared" si="2"/>
        <v>43830</v>
      </c>
      <c r="G7" s="52">
        <f t="shared" si="2"/>
        <v>44196</v>
      </c>
      <c r="H7" s="52">
        <f t="shared" si="2"/>
        <v>44561</v>
      </c>
      <c r="I7" s="52">
        <f t="shared" si="2"/>
        <v>44926</v>
      </c>
      <c r="J7" s="52">
        <f t="shared" si="2"/>
        <v>45291</v>
      </c>
      <c r="K7" s="53">
        <f t="shared" si="2"/>
        <v>45657</v>
      </c>
      <c r="L7" s="54">
        <f t="shared" si="2"/>
        <v>46022</v>
      </c>
      <c r="M7" s="54">
        <f t="shared" si="2"/>
        <v>46387</v>
      </c>
      <c r="N7" s="54">
        <f t="shared" si="2"/>
        <v>46752</v>
      </c>
      <c r="O7" s="55">
        <f t="shared" si="2"/>
        <v>47118</v>
      </c>
      <c r="P7" s="725"/>
      <c r="Q7" s="725"/>
      <c r="R7" s="55">
        <f t="shared" ref="R7:AA7" si="3">DATE(Base_Year+R6,MONTH(FY_Year_End),DAY(FY_Year_End))</f>
        <v>47483</v>
      </c>
      <c r="S7" s="55">
        <f t="shared" si="3"/>
        <v>47848</v>
      </c>
      <c r="T7" s="55">
        <f t="shared" si="3"/>
        <v>48213</v>
      </c>
      <c r="U7" s="55">
        <f t="shared" si="3"/>
        <v>48579</v>
      </c>
      <c r="V7" s="55">
        <f t="shared" si="3"/>
        <v>48944</v>
      </c>
      <c r="W7" s="55">
        <f t="shared" si="3"/>
        <v>49309</v>
      </c>
      <c r="X7" s="55">
        <f t="shared" si="3"/>
        <v>49674</v>
      </c>
      <c r="Y7" s="55">
        <f t="shared" si="3"/>
        <v>50040</v>
      </c>
      <c r="Z7" s="55">
        <f t="shared" si="3"/>
        <v>50405</v>
      </c>
      <c r="AA7" s="55">
        <f t="shared" si="3"/>
        <v>50770</v>
      </c>
      <c r="AB7" s="962"/>
      <c r="AC7" s="55">
        <f t="shared" ref="AC7:AN7" si="4">DATE(Base_Year+AC6,MONTH(FY_Year_End),DAY(FY_Year_End))</f>
        <v>51135</v>
      </c>
      <c r="AD7" s="55">
        <f t="shared" si="4"/>
        <v>51501</v>
      </c>
      <c r="AE7" s="55">
        <f t="shared" si="4"/>
        <v>51866</v>
      </c>
      <c r="AF7" s="55">
        <f t="shared" si="4"/>
        <v>52231</v>
      </c>
      <c r="AG7" s="55">
        <f t="shared" si="4"/>
        <v>52596</v>
      </c>
      <c r="AH7" s="55">
        <f t="shared" si="4"/>
        <v>52962</v>
      </c>
      <c r="AI7" s="55">
        <f t="shared" si="4"/>
        <v>53327</v>
      </c>
      <c r="AJ7" s="55">
        <f t="shared" si="4"/>
        <v>53692</v>
      </c>
      <c r="AK7" s="55">
        <f t="shared" si="4"/>
        <v>54057</v>
      </c>
      <c r="AL7" s="55">
        <f t="shared" si="4"/>
        <v>54423</v>
      </c>
      <c r="AM7" s="55">
        <f t="shared" si="4"/>
        <v>54788</v>
      </c>
      <c r="AN7" s="55">
        <f t="shared" si="4"/>
        <v>55153</v>
      </c>
      <c r="AO7" s="767"/>
      <c r="AP7" s="767"/>
      <c r="AQ7" s="767"/>
      <c r="AR7" s="767"/>
      <c r="AS7" s="767"/>
      <c r="AT7" s="767"/>
      <c r="AU7" s="767"/>
      <c r="AV7" s="767"/>
      <c r="AW7" s="767"/>
      <c r="AX7" s="767"/>
      <c r="AY7" s="767"/>
      <c r="AZ7" s="767"/>
      <c r="BA7" s="767"/>
      <c r="BB7" s="767"/>
      <c r="BC7" s="767"/>
      <c r="BD7" s="767"/>
      <c r="BE7" s="768"/>
      <c r="BF7" s="768"/>
      <c r="BG7" s="769"/>
      <c r="BH7" s="769"/>
      <c r="BI7" s="769"/>
      <c r="BJ7" s="769"/>
      <c r="BK7" s="768"/>
      <c r="BL7" s="769"/>
      <c r="BM7" s="769"/>
      <c r="BN7" s="769"/>
      <c r="BO7" s="769"/>
      <c r="BP7" s="768"/>
      <c r="BQ7" s="769"/>
      <c r="BR7" s="769"/>
      <c r="BS7" s="769"/>
      <c r="BT7" s="769"/>
      <c r="BU7" s="768"/>
      <c r="BV7" s="769"/>
      <c r="BW7" s="769"/>
      <c r="BX7" s="769"/>
      <c r="BY7" s="769"/>
      <c r="BZ7" s="768"/>
    </row>
    <row r="8" spans="1:84" s="114" customFormat="1" ht="14.1" customHeight="1" x14ac:dyDescent="0.2">
      <c r="A8"/>
      <c r="B8"/>
      <c r="C8" s="1447"/>
      <c r="D8" s="1448"/>
      <c r="E8" s="1448"/>
      <c r="F8" s="1448"/>
      <c r="G8" s="1448"/>
      <c r="H8" s="1448"/>
      <c r="I8" s="1448"/>
      <c r="J8" s="1448"/>
      <c r="K8" s="1448"/>
      <c r="L8" s="1448"/>
      <c r="M8" s="1448"/>
      <c r="N8" s="1448"/>
      <c r="O8" s="1449"/>
      <c r="R8" s="1438" t="s">
        <v>562</v>
      </c>
      <c r="S8" s="1439"/>
      <c r="T8" s="1439"/>
      <c r="U8" s="1439"/>
      <c r="V8" s="1439"/>
      <c r="W8" s="1439"/>
      <c r="X8" s="1439"/>
      <c r="Y8" s="1439"/>
      <c r="Z8" s="1439"/>
      <c r="AA8" s="1440"/>
      <c r="AB8" s="60"/>
      <c r="AC8" s="1441" t="str">
        <f>AC43</f>
        <v>Confirming Steady-State Long-Term Growth Rates @ 3.5%</v>
      </c>
      <c r="AD8" s="1442"/>
      <c r="AE8" s="1442"/>
      <c r="AF8" s="1442"/>
      <c r="AG8" s="1442"/>
      <c r="AH8" s="1442"/>
      <c r="AI8" s="1442"/>
      <c r="AJ8" s="1442"/>
      <c r="AK8" s="1442"/>
      <c r="AL8" s="1442"/>
      <c r="AM8" s="1442"/>
      <c r="AN8" s="1443"/>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row>
    <row r="9" spans="1:84" s="161" customFormat="1" ht="14.1" customHeight="1" x14ac:dyDescent="0.2">
      <c r="A9"/>
      <c r="B9"/>
      <c r="C9" s="1043" t="str">
        <f>'Income Statement'!C8</f>
        <v>Revenue</v>
      </c>
      <c r="D9" s="756"/>
      <c r="E9" s="161">
        <f>'Income Statement'!E8</f>
        <v>1653.8489999999999</v>
      </c>
      <c r="F9" s="161">
        <f>'Income Statement'!F8</f>
        <v>1786.7349999999999</v>
      </c>
      <c r="G9" s="161">
        <f>'Income Statement'!G8</f>
        <v>1822.366</v>
      </c>
      <c r="H9" s="161">
        <f>'Income Statement'!H8</f>
        <v>2288.7040000000002</v>
      </c>
      <c r="I9" s="161">
        <f>'Income Statement'!I8</f>
        <v>2792.0569999999998</v>
      </c>
      <c r="J9" s="161">
        <f>'Income Statement'!J8</f>
        <v>2881.433</v>
      </c>
      <c r="K9" s="161">
        <f>'Income Statement'!K8</f>
        <v>3209.1038092250042</v>
      </c>
      <c r="L9" s="161">
        <f>'Income Statement'!L8</f>
        <v>3562.4709953821239</v>
      </c>
      <c r="M9" s="161">
        <f>'Income Statement'!M8</f>
        <v>4091.1190527385565</v>
      </c>
      <c r="N9" s="161">
        <f>'Income Statement'!N8</f>
        <v>4453.9683821196895</v>
      </c>
      <c r="O9" s="1044">
        <f>'Income Statement'!O8</f>
        <v>4808.2133569301523</v>
      </c>
      <c r="R9" s="1007">
        <f>O9*(1+R10)</f>
        <v>5260.1854124815873</v>
      </c>
      <c r="S9" s="1008">
        <f>R9*(1+S10)</f>
        <v>5720.1594035508106</v>
      </c>
      <c r="T9" s="1008">
        <f t="shared" ref="T9:AA9" si="5">S9*(1+T10)</f>
        <v>6182.8567419713654</v>
      </c>
      <c r="U9" s="1008">
        <f t="shared" si="5"/>
        <v>6642.44909312457</v>
      </c>
      <c r="V9" s="1008">
        <f t="shared" si="5"/>
        <v>7092.6595316585681</v>
      </c>
      <c r="W9" s="1008">
        <f t="shared" si="5"/>
        <v>7526.8879096523324</v>
      </c>
      <c r="X9" s="1008">
        <f t="shared" si="5"/>
        <v>7938.3577820466598</v>
      </c>
      <c r="Y9" s="1008">
        <f t="shared" si="5"/>
        <v>8320.2809953384603</v>
      </c>
      <c r="Z9" s="1008">
        <f t="shared" si="5"/>
        <v>8666.0348944780817</v>
      </c>
      <c r="AA9" s="1009">
        <f t="shared" si="5"/>
        <v>8969.3461157848142</v>
      </c>
      <c r="AB9" s="758"/>
      <c r="AC9" s="1025">
        <f>AA9*(1+AC10)</f>
        <v>9283.2732298372812</v>
      </c>
      <c r="AD9" s="758">
        <f>AC9*(1+AD10)</f>
        <v>9608.1877928815848</v>
      </c>
      <c r="AE9" s="758">
        <f t="shared" ref="AE9:AN9" si="6">AD9*(1+AE10)</f>
        <v>9944.474365632439</v>
      </c>
      <c r="AF9" s="758">
        <f t="shared" si="6"/>
        <v>10292.530968429573</v>
      </c>
      <c r="AG9" s="758">
        <f t="shared" si="6"/>
        <v>10652.769552324608</v>
      </c>
      <c r="AH9" s="758">
        <f t="shared" si="6"/>
        <v>11025.616486655968</v>
      </c>
      <c r="AI9" s="758">
        <f t="shared" si="6"/>
        <v>11411.513063688926</v>
      </c>
      <c r="AJ9" s="758">
        <f t="shared" si="6"/>
        <v>11810.916020918037</v>
      </c>
      <c r="AK9" s="758">
        <f t="shared" si="6"/>
        <v>12224.298081650168</v>
      </c>
      <c r="AL9" s="758">
        <f t="shared" si="6"/>
        <v>12652.148514507922</v>
      </c>
      <c r="AM9" s="758">
        <f t="shared" si="6"/>
        <v>13094.973712515699</v>
      </c>
      <c r="AN9" s="1026">
        <f t="shared" si="6"/>
        <v>13553.297792453748</v>
      </c>
      <c r="AO9" s="758"/>
      <c r="AP9" s="758"/>
      <c r="AQ9" s="758"/>
      <c r="AR9" s="758"/>
      <c r="AS9" s="758"/>
      <c r="AT9" s="758"/>
      <c r="AU9" s="758"/>
      <c r="AV9" s="758"/>
      <c r="AW9" s="758"/>
      <c r="AX9" s="758"/>
      <c r="AY9" s="758"/>
      <c r="AZ9" s="758"/>
      <c r="BA9" s="758"/>
      <c r="BB9" s="758"/>
      <c r="BC9" s="758"/>
      <c r="BD9" s="758"/>
      <c r="BE9" s="758"/>
      <c r="BF9" s="758"/>
      <c r="BG9" s="758"/>
      <c r="BH9" s="758"/>
      <c r="BI9" s="758"/>
      <c r="BJ9" s="758"/>
      <c r="BK9" s="758"/>
      <c r="BL9" s="758"/>
      <c r="BM9" s="758"/>
      <c r="BN9" s="758"/>
      <c r="BO9" s="758"/>
      <c r="BP9" s="758"/>
      <c r="BQ9" s="758"/>
      <c r="BR9" s="758"/>
      <c r="BS9" s="758"/>
      <c r="BT9" s="758"/>
      <c r="BU9" s="758"/>
      <c r="BV9" s="758"/>
      <c r="BW9" s="758"/>
      <c r="BX9" s="758"/>
      <c r="BY9" s="758"/>
      <c r="BZ9" s="758"/>
      <c r="CA9" s="759"/>
      <c r="CB9" s="759"/>
      <c r="CC9" s="759"/>
      <c r="CD9" s="759"/>
      <c r="CE9" s="759"/>
      <c r="CF9" s="759"/>
    </row>
    <row r="10" spans="1:84" s="114" customFormat="1" ht="14.1" customHeight="1" x14ac:dyDescent="0.2">
      <c r="A10"/>
      <c r="B10"/>
      <c r="C10" s="1062" t="str">
        <f>C9&amp;" Growth %"</f>
        <v>Revenue Growth %</v>
      </c>
      <c r="D10" s="1063"/>
      <c r="E10" s="1064">
        <f>'Income Statement'!E9</f>
        <v>0.17736560682222513</v>
      </c>
      <c r="F10" s="1064">
        <f>'Income Statement'!F9</f>
        <v>8.0349536142658717E-2</v>
      </c>
      <c r="G10" s="1064">
        <f>'Income Statement'!G9</f>
        <v>1.9941961174992473E-2</v>
      </c>
      <c r="H10" s="1064">
        <f>'Income Statement'!H9</f>
        <v>0.25589700422417905</v>
      </c>
      <c r="I10" s="1064">
        <f>'Income Statement'!I9</f>
        <v>0.21992927001482032</v>
      </c>
      <c r="J10" s="1064">
        <f>'Income Statement'!J9</f>
        <v>3.2010807802276275E-2</v>
      </c>
      <c r="K10" s="1064">
        <f>'Income Statement'!K9</f>
        <v>0.11371800393241971</v>
      </c>
      <c r="L10" s="1064">
        <f>'Income Statement'!L9</f>
        <v>0.11011397797145661</v>
      </c>
      <c r="M10" s="1064">
        <f>'Income Statement'!M9</f>
        <v>0.14839364532137833</v>
      </c>
      <c r="N10" s="1064">
        <f>'Income Statement'!N9</f>
        <v>8.8691950711687229E-2</v>
      </c>
      <c r="O10" s="1065">
        <f>'Income Statement'!O9</f>
        <v>7.953468556996679E-2</v>
      </c>
      <c r="R10" s="1066" cm="1">
        <f t="array" ref="R10">INDEX(R52:R55,MATCH($O$3,O52:$O$55,0),)</f>
        <v>9.4E-2</v>
      </c>
      <c r="S10" s="1064">
        <f>R10-($R$10-$AA$10)/9</f>
        <v>8.744444444444445E-2</v>
      </c>
      <c r="T10" s="1064">
        <f t="shared" ref="T10:Z10" si="7">S10-($R$10-$AA$10)/9</f>
        <v>8.0888888888888899E-2</v>
      </c>
      <c r="U10" s="1064">
        <f t="shared" si="7"/>
        <v>7.4333333333333348E-2</v>
      </c>
      <c r="V10" s="1064">
        <f t="shared" si="7"/>
        <v>6.7777777777777798E-2</v>
      </c>
      <c r="W10" s="1064">
        <f t="shared" si="7"/>
        <v>6.122222222222224E-2</v>
      </c>
      <c r="X10" s="1064">
        <f t="shared" si="7"/>
        <v>5.4666666666666683E-2</v>
      </c>
      <c r="Y10" s="1064">
        <f t="shared" si="7"/>
        <v>4.8111111111111125E-2</v>
      </c>
      <c r="Z10" s="1064">
        <f t="shared" si="7"/>
        <v>4.1555555555555568E-2</v>
      </c>
      <c r="AA10" s="1067" cm="1">
        <f t="array" ref="AA10">INDEX(S52:S55,MATCH($O$3,O52:$O$55,0),)</f>
        <v>3.5000000000000003E-2</v>
      </c>
      <c r="AB10" s="60"/>
      <c r="AC10" s="1068">
        <f>AA10</f>
        <v>3.5000000000000003E-2</v>
      </c>
      <c r="AD10" s="1069">
        <f>AC10</f>
        <v>3.5000000000000003E-2</v>
      </c>
      <c r="AE10" s="1069">
        <f t="shared" ref="AE10:AN10" si="8">AD10</f>
        <v>3.5000000000000003E-2</v>
      </c>
      <c r="AF10" s="1069">
        <f t="shared" si="8"/>
        <v>3.5000000000000003E-2</v>
      </c>
      <c r="AG10" s="1069">
        <f t="shared" si="8"/>
        <v>3.5000000000000003E-2</v>
      </c>
      <c r="AH10" s="1069">
        <f t="shared" si="8"/>
        <v>3.5000000000000003E-2</v>
      </c>
      <c r="AI10" s="1069">
        <f t="shared" si="8"/>
        <v>3.5000000000000003E-2</v>
      </c>
      <c r="AJ10" s="1069">
        <f t="shared" si="8"/>
        <v>3.5000000000000003E-2</v>
      </c>
      <c r="AK10" s="1069">
        <f t="shared" si="8"/>
        <v>3.5000000000000003E-2</v>
      </c>
      <c r="AL10" s="1069">
        <f t="shared" si="8"/>
        <v>3.5000000000000003E-2</v>
      </c>
      <c r="AM10" s="1069">
        <f t="shared" si="8"/>
        <v>3.5000000000000003E-2</v>
      </c>
      <c r="AN10" s="1070">
        <f t="shared" si="8"/>
        <v>3.5000000000000003E-2</v>
      </c>
      <c r="AO10" s="60"/>
      <c r="AP10" s="60"/>
      <c r="AQ10" s="60"/>
      <c r="AR10" s="60"/>
      <c r="AS10" s="60"/>
      <c r="AT10" s="60"/>
      <c r="AU10" s="60"/>
      <c r="AV10" s="60"/>
      <c r="AW10" s="60"/>
      <c r="AX10" s="6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0"/>
      <c r="BX10" s="60"/>
      <c r="BY10" s="60"/>
      <c r="BZ10" s="60"/>
      <c r="CA10" s="60"/>
      <c r="CB10" s="60"/>
      <c r="CC10" s="60"/>
      <c r="CD10" s="60"/>
      <c r="CE10" s="60"/>
      <c r="CF10" s="60"/>
    </row>
    <row r="11" spans="1:84" s="114" customFormat="1" ht="14.1" customHeight="1" x14ac:dyDescent="0.2">
      <c r="A11"/>
      <c r="B11"/>
      <c r="C11" s="1055" t="s">
        <v>359</v>
      </c>
      <c r="D11" s="771"/>
      <c r="E11" s="772">
        <f>'Income Statement'!E19</f>
        <v>141.17700000000013</v>
      </c>
      <c r="F11" s="772">
        <f>'Income Statement'!F19</f>
        <v>152.58600000000001</v>
      </c>
      <c r="G11" s="772">
        <f>'Income Statement'!G19</f>
        <v>185.89659300000017</v>
      </c>
      <c r="H11" s="772">
        <f>'Income Statement'!H19</f>
        <v>340.19691499999999</v>
      </c>
      <c r="I11" s="772">
        <f>'Income Statement'!I19</f>
        <v>475.85449899999958</v>
      </c>
      <c r="J11" s="772">
        <f>'Income Statement'!J19</f>
        <v>466.96387100000038</v>
      </c>
      <c r="K11" s="772">
        <f>'Income Statement'!K19</f>
        <v>494.56925110523161</v>
      </c>
      <c r="L11" s="772">
        <f>'Income Statement'!L19</f>
        <v>655.12437228863791</v>
      </c>
      <c r="M11" s="772">
        <f>'Income Statement'!M19</f>
        <v>831.11575904321444</v>
      </c>
      <c r="N11" s="772">
        <f>'Income Statement'!N19</f>
        <v>961.44145970066802</v>
      </c>
      <c r="O11" s="1056">
        <f>'Income Statement'!O19</f>
        <v>1094.5645041199623</v>
      </c>
      <c r="R11" s="1010">
        <f>R9*R12</f>
        <v>1230.8833865206916</v>
      </c>
      <c r="S11" s="380">
        <f t="shared" ref="S11:AN11" si="9">S9*S12</f>
        <v>1301.0184776742788</v>
      </c>
      <c r="T11" s="380">
        <f t="shared" si="9"/>
        <v>1365.7243558932305</v>
      </c>
      <c r="U11" s="380">
        <f t="shared" si="9"/>
        <v>1423.6982556263661</v>
      </c>
      <c r="V11" s="380">
        <f t="shared" si="9"/>
        <v>1473.6970360223911</v>
      </c>
      <c r="W11" s="380">
        <f t="shared" si="9"/>
        <v>1514.5771115978191</v>
      </c>
      <c r="X11" s="380">
        <f t="shared" si="9"/>
        <v>1545.3336482384161</v>
      </c>
      <c r="Y11" s="380">
        <f t="shared" si="9"/>
        <v>1565.1373027897789</v>
      </c>
      <c r="Z11" s="380">
        <f t="shared" si="9"/>
        <v>1573.3667797307978</v>
      </c>
      <c r="AA11" s="1011">
        <f t="shared" si="9"/>
        <v>2188.5204522514946</v>
      </c>
      <c r="AB11" s="60"/>
      <c r="AC11" s="1010">
        <f t="shared" si="9"/>
        <v>2265.1186680802966</v>
      </c>
      <c r="AD11" s="380">
        <f t="shared" si="9"/>
        <v>2344.3978214631065</v>
      </c>
      <c r="AE11" s="380">
        <f t="shared" si="9"/>
        <v>2426.451745214315</v>
      </c>
      <c r="AF11" s="380">
        <f t="shared" si="9"/>
        <v>2511.3775562968158</v>
      </c>
      <c r="AG11" s="380">
        <f t="shared" si="9"/>
        <v>2599.275770767204</v>
      </c>
      <c r="AH11" s="380">
        <f t="shared" si="9"/>
        <v>2690.2504227440563</v>
      </c>
      <c r="AI11" s="380">
        <f t="shared" si="9"/>
        <v>2784.4091875400977</v>
      </c>
      <c r="AJ11" s="380">
        <f t="shared" si="9"/>
        <v>2881.863509104001</v>
      </c>
      <c r="AK11" s="380">
        <f t="shared" si="9"/>
        <v>2982.7287319226407</v>
      </c>
      <c r="AL11" s="380">
        <f t="shared" si="9"/>
        <v>3087.1242375399329</v>
      </c>
      <c r="AM11" s="380">
        <f t="shared" si="9"/>
        <v>3195.1735858538304</v>
      </c>
      <c r="AN11" s="1011">
        <f t="shared" si="9"/>
        <v>3307.0046613587147</v>
      </c>
      <c r="AO11" s="60"/>
      <c r="AP11" s="60"/>
      <c r="AQ11" s="60"/>
      <c r="AR11" s="60"/>
      <c r="AS11" s="60"/>
      <c r="AT11" s="60"/>
      <c r="AU11" s="60"/>
      <c r="AV11" s="60"/>
      <c r="AW11" s="60"/>
      <c r="AX11" s="60"/>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0"/>
      <c r="BX11" s="60"/>
      <c r="BY11" s="60"/>
      <c r="BZ11" s="60"/>
      <c r="CA11" s="60"/>
      <c r="CB11" s="60"/>
      <c r="CC11" s="60"/>
      <c r="CD11" s="60"/>
      <c r="CE11" s="60"/>
      <c r="CF11" s="60"/>
    </row>
    <row r="12" spans="1:84" s="114" customFormat="1" ht="14.1" customHeight="1" x14ac:dyDescent="0.2">
      <c r="A12"/>
      <c r="B12"/>
      <c r="C12" s="1076" t="str">
        <f>C11&amp;" Margin %"</f>
        <v>EBIT  Margin %</v>
      </c>
      <c r="D12" s="1077"/>
      <c r="E12" s="510">
        <f t="shared" ref="E12:O12" si="10">E11/E9</f>
        <v>8.5362690306067926E-2</v>
      </c>
      <c r="F12" s="510">
        <f t="shared" si="10"/>
        <v>8.5399345733978477E-2</v>
      </c>
      <c r="G12" s="510">
        <f t="shared" si="10"/>
        <v>0.1020083742782735</v>
      </c>
      <c r="H12" s="510">
        <f t="shared" si="10"/>
        <v>0.14864172693367075</v>
      </c>
      <c r="I12" s="510">
        <f t="shared" si="10"/>
        <v>0.17043151303859472</v>
      </c>
      <c r="J12" s="510">
        <f t="shared" si="10"/>
        <v>0.16205959708242404</v>
      </c>
      <c r="K12" s="510">
        <f t="shared" si="10"/>
        <v>0.15411444456347134</v>
      </c>
      <c r="L12" s="510">
        <f t="shared" si="10"/>
        <v>0.1838960578592351</v>
      </c>
      <c r="M12" s="510">
        <f t="shared" si="10"/>
        <v>0.20315120345541482</v>
      </c>
      <c r="N12" s="510">
        <f t="shared" si="10"/>
        <v>0.21586176129142348</v>
      </c>
      <c r="O12" s="1078">
        <f t="shared" si="10"/>
        <v>0.22764474511979579</v>
      </c>
      <c r="R12" s="1066" cm="1">
        <f t="array" ref="R12">INDEX(R58:R61,MATCH($O$3,O58:$O$61,0),)</f>
        <v>0.23400000000000001</v>
      </c>
      <c r="S12" s="1064">
        <f t="shared" ref="S12:Z13" si="11">R12-($R$10-$AA$10)/9</f>
        <v>0.22744444444444445</v>
      </c>
      <c r="T12" s="1064">
        <f t="shared" si="11"/>
        <v>0.22088888888888888</v>
      </c>
      <c r="U12" s="1064">
        <f t="shared" si="11"/>
        <v>0.21433333333333332</v>
      </c>
      <c r="V12" s="1064">
        <f t="shared" si="11"/>
        <v>0.20777777777777776</v>
      </c>
      <c r="W12" s="1064">
        <f t="shared" si="11"/>
        <v>0.20122222222222219</v>
      </c>
      <c r="X12" s="1064">
        <f t="shared" si="11"/>
        <v>0.19466666666666663</v>
      </c>
      <c r="Y12" s="1064">
        <f t="shared" si="11"/>
        <v>0.18811111111111106</v>
      </c>
      <c r="Z12" s="1064">
        <f t="shared" si="11"/>
        <v>0.1815555555555555</v>
      </c>
      <c r="AA12" s="1067" cm="1">
        <f t="array" ref="AA12">INDEX(S58:S61,MATCH($O$3,O58:$O$61,0),)</f>
        <v>0.24399999999999999</v>
      </c>
      <c r="AB12" s="60"/>
      <c r="AC12" s="1068">
        <f>AA12</f>
        <v>0.24399999999999999</v>
      </c>
      <c r="AD12" s="1069">
        <f>AC12</f>
        <v>0.24399999999999999</v>
      </c>
      <c r="AE12" s="1069">
        <f t="shared" ref="AE12:AN12" si="12">AD12</f>
        <v>0.24399999999999999</v>
      </c>
      <c r="AF12" s="1069">
        <f t="shared" si="12"/>
        <v>0.24399999999999999</v>
      </c>
      <c r="AG12" s="1069">
        <f t="shared" si="12"/>
        <v>0.24399999999999999</v>
      </c>
      <c r="AH12" s="1069">
        <f t="shared" si="12"/>
        <v>0.24399999999999999</v>
      </c>
      <c r="AI12" s="1069">
        <f t="shared" si="12"/>
        <v>0.24399999999999999</v>
      </c>
      <c r="AJ12" s="1069">
        <f t="shared" si="12"/>
        <v>0.24399999999999999</v>
      </c>
      <c r="AK12" s="1069">
        <f t="shared" si="12"/>
        <v>0.24399999999999999</v>
      </c>
      <c r="AL12" s="1069">
        <f t="shared" si="12"/>
        <v>0.24399999999999999</v>
      </c>
      <c r="AM12" s="1069">
        <f t="shared" si="12"/>
        <v>0.24399999999999999</v>
      </c>
      <c r="AN12" s="1070">
        <f t="shared" si="12"/>
        <v>0.24399999999999999</v>
      </c>
      <c r="AO12" s="60"/>
      <c r="AP12" s="60"/>
      <c r="AQ12" s="60"/>
      <c r="AR12" s="60"/>
      <c r="AS12" s="60"/>
      <c r="AT12" s="60"/>
      <c r="AU12" s="60"/>
      <c r="AV12" s="60"/>
      <c r="AW12" s="60"/>
      <c r="AX12" s="60"/>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0"/>
      <c r="BX12" s="60"/>
      <c r="BY12" s="60"/>
      <c r="BZ12" s="60"/>
      <c r="CA12" s="60"/>
      <c r="CB12" s="60"/>
      <c r="CC12" s="60"/>
      <c r="CD12" s="60"/>
      <c r="CE12" s="60"/>
      <c r="CF12" s="60"/>
    </row>
    <row r="13" spans="1:84" s="114" customFormat="1" ht="14.1" customHeight="1" x14ac:dyDescent="0.2">
      <c r="A13"/>
      <c r="B13"/>
      <c r="C13" s="1076" t="s">
        <v>368</v>
      </c>
      <c r="D13" s="1063"/>
      <c r="E13" s="1064">
        <f>'Income Statement'!E65</f>
        <v>0.22772848779569638</v>
      </c>
      <c r="F13" s="1064">
        <f>'Income Statement'!F65</f>
        <v>0.22535323041242747</v>
      </c>
      <c r="G13" s="1064">
        <f>'Income Statement'!G65</f>
        <v>0.21660934603028675</v>
      </c>
      <c r="H13" s="1064">
        <f>'Income Statement'!H65</f>
        <v>0.23913074280873803</v>
      </c>
      <c r="I13" s="1064">
        <f>'Income Statement'!I65</f>
        <v>0.23649412830896319</v>
      </c>
      <c r="J13" s="1064">
        <f>'Income Statement'!J65</f>
        <v>0.23888222306542459</v>
      </c>
      <c r="K13" s="1064">
        <f>'Income Statement'!K65</f>
        <v>0.23888222306542459</v>
      </c>
      <c r="L13" s="1064">
        <f>'Income Statement'!L65</f>
        <v>0.23788222306542459</v>
      </c>
      <c r="M13" s="1064">
        <f>'Income Statement'!M65</f>
        <v>0.23788222306542459</v>
      </c>
      <c r="N13" s="1064">
        <f>'Income Statement'!N65</f>
        <v>0.23688222306542459</v>
      </c>
      <c r="O13" s="1065">
        <f>'Income Statement'!O65</f>
        <v>0.23688222306542459</v>
      </c>
      <c r="R13" s="1066">
        <f>O13-0.15%</f>
        <v>0.23538222306542458</v>
      </c>
      <c r="S13" s="1064">
        <f t="shared" si="11"/>
        <v>0.22882666750986902</v>
      </c>
      <c r="T13" s="1064">
        <f t="shared" si="11"/>
        <v>0.22227111195431346</v>
      </c>
      <c r="U13" s="1064">
        <f t="shared" si="11"/>
        <v>0.21571555639875789</v>
      </c>
      <c r="V13" s="1064">
        <f t="shared" si="11"/>
        <v>0.20916000084320233</v>
      </c>
      <c r="W13" s="1064">
        <f t="shared" si="11"/>
        <v>0.20260444528764676</v>
      </c>
      <c r="X13" s="1064">
        <f t="shared" si="11"/>
        <v>0.1960488897320912</v>
      </c>
      <c r="Y13" s="1064">
        <f t="shared" si="11"/>
        <v>0.18949333417653563</v>
      </c>
      <c r="Z13" s="1064">
        <f t="shared" si="11"/>
        <v>0.18293777862098007</v>
      </c>
      <c r="AA13" s="1067">
        <f>R13-0.25%</f>
        <v>0.23288222306542458</v>
      </c>
      <c r="AB13" s="60"/>
      <c r="AC13" s="1068">
        <f>AA13</f>
        <v>0.23288222306542458</v>
      </c>
      <c r="AD13" s="1069">
        <f>AC13</f>
        <v>0.23288222306542458</v>
      </c>
      <c r="AE13" s="1069">
        <f t="shared" ref="AE13:AN13" si="13">AD13</f>
        <v>0.23288222306542458</v>
      </c>
      <c r="AF13" s="1069">
        <f t="shared" si="13"/>
        <v>0.23288222306542458</v>
      </c>
      <c r="AG13" s="1069">
        <f t="shared" si="13"/>
        <v>0.23288222306542458</v>
      </c>
      <c r="AH13" s="1069">
        <f t="shared" si="13"/>
        <v>0.23288222306542458</v>
      </c>
      <c r="AI13" s="1069">
        <f t="shared" si="13"/>
        <v>0.23288222306542458</v>
      </c>
      <c r="AJ13" s="1069">
        <f t="shared" si="13"/>
        <v>0.23288222306542458</v>
      </c>
      <c r="AK13" s="1069">
        <f t="shared" si="13"/>
        <v>0.23288222306542458</v>
      </c>
      <c r="AL13" s="1069">
        <f t="shared" si="13"/>
        <v>0.23288222306542458</v>
      </c>
      <c r="AM13" s="1069">
        <f t="shared" si="13"/>
        <v>0.23288222306542458</v>
      </c>
      <c r="AN13" s="1070">
        <f t="shared" si="13"/>
        <v>0.23288222306542458</v>
      </c>
      <c r="AO13" s="60"/>
      <c r="AP13" s="60"/>
      <c r="AQ13" s="60"/>
      <c r="AR13" s="60"/>
      <c r="AS13" s="60"/>
      <c r="AT13" s="60"/>
      <c r="AU13" s="60"/>
      <c r="AV13" s="60"/>
      <c r="AW13" s="60"/>
      <c r="AX13" s="6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0"/>
      <c r="BX13" s="60"/>
      <c r="BY13" s="60"/>
      <c r="BZ13" s="60"/>
      <c r="CA13" s="60"/>
      <c r="CB13" s="60"/>
      <c r="CC13" s="60"/>
      <c r="CD13" s="60"/>
      <c r="CE13" s="60"/>
      <c r="CF13" s="60"/>
    </row>
    <row r="14" spans="1:84" s="114" customFormat="1" ht="14.1" customHeight="1" x14ac:dyDescent="0.2">
      <c r="A14"/>
      <c r="B14"/>
      <c r="C14" s="1057" t="s">
        <v>360</v>
      </c>
      <c r="D14" s="770"/>
      <c r="E14" s="120">
        <f t="shared" ref="E14:O14" si="14">E11*(1-E13)</f>
        <v>109.02697527846706</v>
      </c>
      <c r="F14" s="120">
        <f t="shared" si="14"/>
        <v>118.20025198428935</v>
      </c>
      <c r="G14" s="120">
        <f t="shared" si="14"/>
        <v>145.62965356101176</v>
      </c>
      <c r="H14" s="120">
        <f t="shared" si="14"/>
        <v>258.8453740148089</v>
      </c>
      <c r="I14" s="120">
        <f t="shared" si="14"/>
        <v>363.31770405709625</v>
      </c>
      <c r="J14" s="120">
        <f t="shared" si="14"/>
        <v>355.41450340428412</v>
      </c>
      <c r="K14" s="120">
        <f t="shared" si="14"/>
        <v>376.42544894141167</v>
      </c>
      <c r="L14" s="120">
        <f t="shared" si="14"/>
        <v>499.28193022427587</v>
      </c>
      <c r="M14" s="120">
        <f t="shared" si="14"/>
        <v>633.40809465730683</v>
      </c>
      <c r="N14" s="120">
        <f t="shared" si="14"/>
        <v>733.69306937950694</v>
      </c>
      <c r="O14" s="1013">
        <f t="shared" si="14"/>
        <v>835.28163109552156</v>
      </c>
      <c r="R14" s="1012">
        <f>R11*(1-R13)</f>
        <v>941.15531866715298</v>
      </c>
      <c r="S14" s="120">
        <f t="shared" ref="S14:AN14" si="15">S11*(1-S13)</f>
        <v>1003.3107550593106</v>
      </c>
      <c r="T14" s="120">
        <f t="shared" si="15"/>
        <v>1062.1632846857535</v>
      </c>
      <c r="U14" s="120">
        <f t="shared" si="15"/>
        <v>1116.5843942699835</v>
      </c>
      <c r="V14" s="120">
        <f t="shared" si="15"/>
        <v>1165.458562725323</v>
      </c>
      <c r="W14" s="120">
        <f t="shared" si="15"/>
        <v>1207.7170560571767</v>
      </c>
      <c r="X14" s="120">
        <f t="shared" si="15"/>
        <v>1242.3727022356327</v>
      </c>
      <c r="Y14" s="120">
        <f t="shared" si="15"/>
        <v>1268.5542168400737</v>
      </c>
      <c r="Z14" s="120">
        <f t="shared" si="15"/>
        <v>1285.538556090801</v>
      </c>
      <c r="AA14" s="1013">
        <f t="shared" si="15"/>
        <v>1678.8529441070182</v>
      </c>
      <c r="AB14" s="60"/>
      <c r="AC14" s="1012">
        <f t="shared" si="15"/>
        <v>1737.6127971507635</v>
      </c>
      <c r="AD14" s="120">
        <f t="shared" si="15"/>
        <v>1798.42924505104</v>
      </c>
      <c r="AE14" s="120">
        <f t="shared" si="15"/>
        <v>1861.374268627826</v>
      </c>
      <c r="AF14" s="120">
        <f t="shared" si="15"/>
        <v>1926.5223680297997</v>
      </c>
      <c r="AG14" s="120">
        <f t="shared" si="15"/>
        <v>1993.9506509108426</v>
      </c>
      <c r="AH14" s="120">
        <f t="shared" si="15"/>
        <v>2063.738923692722</v>
      </c>
      <c r="AI14" s="120">
        <f t="shared" si="15"/>
        <v>2135.9697860219671</v>
      </c>
      <c r="AJ14" s="120">
        <f t="shared" si="15"/>
        <v>2210.7287285327357</v>
      </c>
      <c r="AK14" s="120">
        <f t="shared" si="15"/>
        <v>2288.1042340313811</v>
      </c>
      <c r="AL14" s="120">
        <f t="shared" si="15"/>
        <v>2368.1878822224794</v>
      </c>
      <c r="AM14" s="120">
        <f t="shared" si="15"/>
        <v>2451.0744581002659</v>
      </c>
      <c r="AN14" s="1013">
        <f t="shared" si="15"/>
        <v>2536.8620641337757</v>
      </c>
      <c r="AO14" s="60"/>
      <c r="AP14" s="60"/>
      <c r="AQ14" s="60"/>
      <c r="AR14" s="60"/>
      <c r="AS14" s="60"/>
      <c r="AT14" s="60"/>
      <c r="AU14" s="60"/>
      <c r="AV14" s="60"/>
      <c r="AW14" s="60"/>
      <c r="AX14" s="60"/>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0"/>
      <c r="BX14" s="60"/>
      <c r="BY14" s="60"/>
      <c r="BZ14" s="60"/>
      <c r="CA14" s="60"/>
      <c r="CB14" s="60"/>
      <c r="CC14" s="60"/>
      <c r="CD14" s="60"/>
      <c r="CE14" s="60"/>
      <c r="CF14" s="60"/>
    </row>
    <row r="15" spans="1:84" s="114" customFormat="1" ht="14.1" customHeight="1" x14ac:dyDescent="0.2">
      <c r="A15"/>
      <c r="B15"/>
      <c r="C15" s="1047" t="str">
        <f>C14&amp;" Margin %"</f>
        <v>NOPAT  Margin %</v>
      </c>
      <c r="D15" s="755"/>
      <c r="E15" s="956">
        <f t="shared" ref="E15:O15" si="16">E14/E9</f>
        <v>6.5923173928494727E-2</v>
      </c>
      <c r="F15" s="956">
        <f t="shared" si="16"/>
        <v>6.6154327297718668E-2</v>
      </c>
      <c r="G15" s="956">
        <f t="shared" si="16"/>
        <v>7.9912407036243957E-2</v>
      </c>
      <c r="H15" s="956">
        <f t="shared" si="16"/>
        <v>0.11309692035964847</v>
      </c>
      <c r="I15" s="956">
        <f t="shared" si="16"/>
        <v>0.13012546092615454</v>
      </c>
      <c r="J15" s="956">
        <f t="shared" si="16"/>
        <v>0.1233464402622876</v>
      </c>
      <c r="K15" s="956">
        <f t="shared" si="16"/>
        <v>0.11729924343965616</v>
      </c>
      <c r="L15" s="956">
        <f t="shared" si="16"/>
        <v>0.14015045480271229</v>
      </c>
      <c r="M15" s="956">
        <f t="shared" si="16"/>
        <v>0.15482514355902438</v>
      </c>
      <c r="N15" s="956">
        <f t="shared" si="16"/>
        <v>0.16472794740189306</v>
      </c>
      <c r="O15" s="1045">
        <f t="shared" si="16"/>
        <v>0.17371975182665661</v>
      </c>
      <c r="P15" s="956"/>
      <c r="Q15" s="123"/>
      <c r="R15" s="1014">
        <f>IFERROR(R14/R9,"NM")</f>
        <v>0.17892055980269067</v>
      </c>
      <c r="S15" s="975">
        <f t="shared" ref="S15:AA15" si="17">IFERROR(S14/S9,"NM")</f>
        <v>0.17539909017858868</v>
      </c>
      <c r="T15" s="975">
        <f t="shared" si="17"/>
        <v>0.17179166993720274</v>
      </c>
      <c r="U15" s="975">
        <f t="shared" si="17"/>
        <v>0.16809829907853288</v>
      </c>
      <c r="V15" s="975">
        <f t="shared" si="17"/>
        <v>0.16431897760257905</v>
      </c>
      <c r="W15" s="975">
        <f t="shared" si="17"/>
        <v>0.16045370550934127</v>
      </c>
      <c r="X15" s="975">
        <f t="shared" si="17"/>
        <v>0.15650248279881954</v>
      </c>
      <c r="Y15" s="975">
        <f t="shared" si="17"/>
        <v>0.15246530947101386</v>
      </c>
      <c r="Z15" s="975">
        <f t="shared" si="17"/>
        <v>0.14834218552592424</v>
      </c>
      <c r="AA15" s="1015">
        <f t="shared" si="17"/>
        <v>0.1871767375720364</v>
      </c>
      <c r="AB15" s="60"/>
      <c r="AC15" s="1014">
        <f t="shared" ref="AC15:AN15" si="18">IFERROR(AC14/AC9,"NM")</f>
        <v>0.1871767375720364</v>
      </c>
      <c r="AD15" s="975">
        <f t="shared" si="18"/>
        <v>0.1871767375720364</v>
      </c>
      <c r="AE15" s="975">
        <f t="shared" si="18"/>
        <v>0.18717673757203637</v>
      </c>
      <c r="AF15" s="975">
        <f t="shared" si="18"/>
        <v>0.18717673757203637</v>
      </c>
      <c r="AG15" s="975">
        <f t="shared" si="18"/>
        <v>0.18717673757203637</v>
      </c>
      <c r="AH15" s="975">
        <f t="shared" si="18"/>
        <v>0.18717673757203637</v>
      </c>
      <c r="AI15" s="975">
        <f t="shared" si="18"/>
        <v>0.1871767375720364</v>
      </c>
      <c r="AJ15" s="975">
        <f t="shared" si="18"/>
        <v>0.18717673757203637</v>
      </c>
      <c r="AK15" s="975">
        <f t="shared" si="18"/>
        <v>0.18717673757203637</v>
      </c>
      <c r="AL15" s="975">
        <f t="shared" si="18"/>
        <v>0.1871767375720364</v>
      </c>
      <c r="AM15" s="975">
        <f t="shared" si="18"/>
        <v>0.18717673757203637</v>
      </c>
      <c r="AN15" s="1015">
        <f t="shared" si="18"/>
        <v>0.18717673757203643</v>
      </c>
      <c r="AO15" s="60"/>
      <c r="AP15" s="60"/>
      <c r="AQ15" s="60"/>
      <c r="AR15" s="60"/>
      <c r="AS15" s="60"/>
      <c r="AT15" s="60"/>
      <c r="AU15" s="60"/>
      <c r="AV15" s="60"/>
      <c r="AW15" s="60"/>
      <c r="AX15" s="60"/>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60"/>
      <c r="BX15" s="60"/>
      <c r="BY15" s="60"/>
      <c r="BZ15" s="60"/>
      <c r="CA15" s="60"/>
      <c r="CB15" s="60"/>
      <c r="CC15" s="60"/>
      <c r="CD15" s="60"/>
      <c r="CE15" s="60"/>
      <c r="CF15" s="60"/>
    </row>
    <row r="16" spans="1:84" s="114" customFormat="1" ht="14.1" customHeight="1" x14ac:dyDescent="0.2">
      <c r="A16"/>
      <c r="B16"/>
      <c r="C16" s="1048" t="str">
        <f>'Invested Capital'!C37</f>
        <v>Total Capital Invested</v>
      </c>
      <c r="D16" s="755"/>
      <c r="E16" s="748">
        <f>'Invested Capital'!E37</f>
        <v>816.52899999999988</v>
      </c>
      <c r="F16" s="748">
        <f>'Invested Capital'!F37</f>
        <v>1056.6669999999999</v>
      </c>
      <c r="G16" s="748">
        <f>'Invested Capital'!G37</f>
        <v>1122.4859999999999</v>
      </c>
      <c r="H16" s="748">
        <f>'Invested Capital'!H37</f>
        <v>1274.1229999999996</v>
      </c>
      <c r="I16" s="748">
        <f>'Invested Capital'!I37</f>
        <v>1546.4650000000001</v>
      </c>
      <c r="J16" s="748">
        <f>'Invested Capital'!J37</f>
        <v>1783.9860000000003</v>
      </c>
      <c r="K16" s="748">
        <f>'Invested Capital'!K37</f>
        <v>2604.5182178530858</v>
      </c>
      <c r="L16" s="748">
        <f>'Invested Capital'!L37</f>
        <v>2995.2913081112306</v>
      </c>
      <c r="M16" s="748">
        <f>'Invested Capital'!M37</f>
        <v>3358.8764585221097</v>
      </c>
      <c r="N16" s="748">
        <f>'Invested Capital'!N37</f>
        <v>3642.7337648462526</v>
      </c>
      <c r="O16" s="1049">
        <f>'Invested Capital'!O37</f>
        <v>3871.225515846877</v>
      </c>
      <c r="P16" s="956"/>
      <c r="Q16" s="123"/>
      <c r="R16" s="1016">
        <f>(R9/R18)</f>
        <v>3778.7627580247181</v>
      </c>
      <c r="S16" s="115">
        <f t="shared" ref="S16:AA16" si="19">(S9/S18)</f>
        <v>3910.0875249778428</v>
      </c>
      <c r="T16" s="115">
        <f t="shared" si="19"/>
        <v>4031.0495580033812</v>
      </c>
      <c r="U16" s="115">
        <f t="shared" si="19"/>
        <v>4139.3900685664566</v>
      </c>
      <c r="V16" s="115">
        <f t="shared" si="19"/>
        <v>4232.9647731936675</v>
      </c>
      <c r="W16" s="115">
        <f t="shared" si="19"/>
        <v>4309.7924401783494</v>
      </c>
      <c r="X16" s="115">
        <f t="shared" si="19"/>
        <v>4368.1039370157314</v>
      </c>
      <c r="Y16" s="115">
        <f t="shared" si="19"/>
        <v>4406.3895847357726</v>
      </c>
      <c r="Z16" s="115">
        <f t="shared" si="19"/>
        <v>4423.4426727789496</v>
      </c>
      <c r="AA16" s="1017">
        <f t="shared" si="19"/>
        <v>4418.3971013718301</v>
      </c>
      <c r="AB16" s="60"/>
      <c r="AC16" s="1016">
        <f t="shared" ref="AC16:AN16" si="20">(AC9/AC18)</f>
        <v>4573.0409999198437</v>
      </c>
      <c r="AD16" s="115">
        <f t="shared" si="20"/>
        <v>4733.0974349170374</v>
      </c>
      <c r="AE16" s="115">
        <f t="shared" si="20"/>
        <v>4898.7558451391333</v>
      </c>
      <c r="AF16" s="115">
        <f t="shared" si="20"/>
        <v>5070.2122997190017</v>
      </c>
      <c r="AG16" s="115">
        <f t="shared" si="20"/>
        <v>5247.669730209167</v>
      </c>
      <c r="AH16" s="115">
        <f t="shared" si="20"/>
        <v>5431.3381707664876</v>
      </c>
      <c r="AI16" s="115">
        <f t="shared" si="20"/>
        <v>5621.4350067433143</v>
      </c>
      <c r="AJ16" s="115">
        <f t="shared" si="20"/>
        <v>5818.1852319793288</v>
      </c>
      <c r="AK16" s="115">
        <f t="shared" si="20"/>
        <v>6021.8217150986056</v>
      </c>
      <c r="AL16" s="115">
        <f t="shared" si="20"/>
        <v>6232.5854751270563</v>
      </c>
      <c r="AM16" s="115">
        <f t="shared" si="20"/>
        <v>6450.7259667565022</v>
      </c>
      <c r="AN16" s="1017">
        <f t="shared" si="20"/>
        <v>6676.5013755929804</v>
      </c>
      <c r="AO16" s="60"/>
      <c r="AP16" s="60"/>
      <c r="AQ16" s="60"/>
      <c r="AR16" s="60"/>
      <c r="AS16" s="60"/>
      <c r="AT16" s="60"/>
      <c r="AU16" s="60"/>
      <c r="AV16" s="60"/>
      <c r="AW16" s="60"/>
      <c r="AX16" s="60"/>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0"/>
      <c r="BX16" s="60"/>
      <c r="BY16" s="60"/>
      <c r="BZ16" s="60"/>
      <c r="CA16" s="60"/>
      <c r="CB16" s="60"/>
      <c r="CC16" s="60"/>
      <c r="CD16" s="60"/>
      <c r="CE16" s="60"/>
      <c r="CF16" s="60"/>
    </row>
    <row r="17" spans="1:84" s="114" customFormat="1" ht="14.1" customHeight="1" x14ac:dyDescent="0.2">
      <c r="A17"/>
      <c r="B17"/>
      <c r="C17" s="1046" t="s">
        <v>361</v>
      </c>
      <c r="D17" s="755"/>
      <c r="E17" s="114">
        <f>'Invested Capital'!E37-'Invested Capital'!D37</f>
        <v>105.83900000000006</v>
      </c>
      <c r="F17" s="114">
        <f>'Invested Capital'!F37-'Invested Capital'!E37</f>
        <v>240.13800000000003</v>
      </c>
      <c r="G17" s="114">
        <f>'Invested Capital'!G37-'Invested Capital'!F37</f>
        <v>65.81899999999996</v>
      </c>
      <c r="H17" s="114">
        <f>'Invested Capital'!H37-'Invested Capital'!G37</f>
        <v>151.63699999999972</v>
      </c>
      <c r="I17" s="114">
        <f>'Invested Capital'!I37-'Invested Capital'!H37</f>
        <v>272.34200000000055</v>
      </c>
      <c r="J17" s="114">
        <f>'Invested Capital'!J37-'Invested Capital'!I37</f>
        <v>237.52100000000019</v>
      </c>
      <c r="K17" s="114">
        <f>'Invested Capital'!K37-'Invested Capital'!J37</f>
        <v>820.53221785308551</v>
      </c>
      <c r="L17" s="114">
        <f>'Invested Capital'!L37-'Invested Capital'!K37</f>
        <v>390.77309025814475</v>
      </c>
      <c r="M17" s="114">
        <f>'Invested Capital'!M37-'Invested Capital'!L37</f>
        <v>363.58515041087912</v>
      </c>
      <c r="N17" s="114">
        <f>'Invested Capital'!N37-'Invested Capital'!M37</f>
        <v>283.85730632414288</v>
      </c>
      <c r="O17" s="1050">
        <f>'Invested Capital'!O37-'Invested Capital'!N37</f>
        <v>228.49175100062439</v>
      </c>
      <c r="R17" s="1018">
        <f>R16-O16</f>
        <v>-92.462757822158892</v>
      </c>
      <c r="S17" s="60">
        <f>S16-R16</f>
        <v>131.32476695312471</v>
      </c>
      <c r="T17" s="60">
        <f t="shared" ref="T17:AA17" si="21">T16-S16</f>
        <v>120.9620330255384</v>
      </c>
      <c r="U17" s="60">
        <f t="shared" si="21"/>
        <v>108.34051056307544</v>
      </c>
      <c r="V17" s="60">
        <f t="shared" si="21"/>
        <v>93.574704627210849</v>
      </c>
      <c r="W17" s="60">
        <f t="shared" si="21"/>
        <v>76.827666984681855</v>
      </c>
      <c r="X17" s="60">
        <f t="shared" si="21"/>
        <v>58.311496837382037</v>
      </c>
      <c r="Y17" s="60">
        <f t="shared" si="21"/>
        <v>38.285647720041197</v>
      </c>
      <c r="Z17" s="60">
        <f t="shared" si="21"/>
        <v>17.053088043177013</v>
      </c>
      <c r="AA17" s="1019">
        <f t="shared" si="21"/>
        <v>-5.0455714071194961</v>
      </c>
      <c r="AB17" s="60"/>
      <c r="AC17" s="1036">
        <f>AC16-AA16</f>
        <v>154.64389854801357</v>
      </c>
      <c r="AD17" s="60">
        <f>AD16-AC16</f>
        <v>160.05643499719372</v>
      </c>
      <c r="AE17" s="60">
        <f t="shared" ref="AE17:AN17" si="22">AE16-AD16</f>
        <v>165.65841022209588</v>
      </c>
      <c r="AF17" s="60">
        <f t="shared" si="22"/>
        <v>171.45645457986848</v>
      </c>
      <c r="AG17" s="60">
        <f t="shared" si="22"/>
        <v>177.45743049016528</v>
      </c>
      <c r="AH17" s="60">
        <f t="shared" si="22"/>
        <v>183.66844055732054</v>
      </c>
      <c r="AI17" s="60">
        <f t="shared" si="22"/>
        <v>190.0968359768267</v>
      </c>
      <c r="AJ17" s="60">
        <f t="shared" si="22"/>
        <v>196.75022523601456</v>
      </c>
      <c r="AK17" s="60">
        <f t="shared" si="22"/>
        <v>203.63648311927682</v>
      </c>
      <c r="AL17" s="60">
        <f t="shared" si="22"/>
        <v>210.76376002845063</v>
      </c>
      <c r="AM17" s="60">
        <f t="shared" si="22"/>
        <v>218.14049162944593</v>
      </c>
      <c r="AN17" s="1019">
        <f t="shared" si="22"/>
        <v>225.77540883647816</v>
      </c>
      <c r="AO17" s="60"/>
      <c r="AP17" s="60"/>
      <c r="AQ17" s="60"/>
      <c r="AR17" s="60"/>
      <c r="AS17" s="60"/>
      <c r="AT17" s="60"/>
      <c r="AU17" s="60"/>
      <c r="AV17" s="60"/>
      <c r="AW17" s="60"/>
      <c r="AX17" s="60"/>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0"/>
      <c r="BX17" s="60"/>
      <c r="BY17" s="60"/>
      <c r="BZ17" s="60"/>
      <c r="CA17" s="60"/>
      <c r="CB17" s="60"/>
      <c r="CC17" s="60"/>
      <c r="CD17" s="60"/>
      <c r="CE17" s="60"/>
      <c r="CF17" s="60"/>
    </row>
    <row r="18" spans="1:84" s="114" customFormat="1" ht="14.1" customHeight="1" x14ac:dyDescent="0.2">
      <c r="A18"/>
      <c r="B18"/>
      <c r="C18" s="1076" t="s">
        <v>561</v>
      </c>
      <c r="D18" s="1063"/>
      <c r="E18" s="1079">
        <f>E9/'Invested Capital'!E37</f>
        <v>2.0254626596238472</v>
      </c>
      <c r="F18" s="1079">
        <f>F9/'Invested Capital'!F37</f>
        <v>1.6909158703735425</v>
      </c>
      <c r="G18" s="1079">
        <f>G9/'Invested Capital'!G37</f>
        <v>1.623508890088607</v>
      </c>
      <c r="H18" s="1079">
        <f>H9/'Invested Capital'!H37</f>
        <v>1.7962975317139718</v>
      </c>
      <c r="I18" s="1079">
        <f>I9/'Invested Capital'!I37</f>
        <v>1.8054446754372064</v>
      </c>
      <c r="J18" s="1079">
        <f>J9/'Invested Capital'!J37</f>
        <v>1.6151657019729972</v>
      </c>
      <c r="K18" s="1079">
        <f>K9/'Invested Capital'!K37</f>
        <v>1.2321295306086515</v>
      </c>
      <c r="L18" s="1079">
        <f>L9/'Invested Capital'!L37</f>
        <v>1.1893571038432804</v>
      </c>
      <c r="M18" s="1079">
        <f>M9/'Invested Capital'!M37</f>
        <v>1.2180022407071889</v>
      </c>
      <c r="N18" s="1079">
        <f>N9/'Invested Capital'!N37</f>
        <v>1.2226993982108041</v>
      </c>
      <c r="O18" s="1080">
        <f>O9/'Invested Capital'!O37</f>
        <v>1.2420390745121181</v>
      </c>
      <c r="R18" s="1074" cm="1">
        <f t="array" ref="R18">INDEX(R64:R67,MATCH($O$3,O64:$O$67,0),)</f>
        <v>1.3920390745121181</v>
      </c>
      <c r="S18" s="1072">
        <f>R18-($R$18-$AA$18)/9</f>
        <v>1.4629236217885493</v>
      </c>
      <c r="T18" s="1072">
        <f t="shared" ref="T18:Z18" si="23">S18-($R$18-$AA$18)/9</f>
        <v>1.5338081690649805</v>
      </c>
      <c r="U18" s="1072">
        <f t="shared" si="23"/>
        <v>1.6046927163414118</v>
      </c>
      <c r="V18" s="1072">
        <f t="shared" si="23"/>
        <v>1.675577263617843</v>
      </c>
      <c r="W18" s="1072">
        <f t="shared" si="23"/>
        <v>1.7464618108942742</v>
      </c>
      <c r="X18" s="1072">
        <f t="shared" si="23"/>
        <v>1.8173463581707054</v>
      </c>
      <c r="Y18" s="1072">
        <f t="shared" si="23"/>
        <v>1.8882309054471367</v>
      </c>
      <c r="Z18" s="1072">
        <f t="shared" si="23"/>
        <v>1.9591154527235679</v>
      </c>
      <c r="AA18" s="1075" cm="1">
        <f t="array" ref="AA18">INDEX(S64:S67,MATCH($O$3,O64:$O$67,0),)</f>
        <v>2.0299999999999998</v>
      </c>
      <c r="AB18" s="60"/>
      <c r="AC18" s="1071">
        <f>AA18</f>
        <v>2.0299999999999998</v>
      </c>
      <c r="AD18" s="1072">
        <f>AC18</f>
        <v>2.0299999999999998</v>
      </c>
      <c r="AE18" s="1072">
        <f t="shared" ref="AE18:AN18" si="24">AD18</f>
        <v>2.0299999999999998</v>
      </c>
      <c r="AF18" s="1072">
        <f t="shared" si="24"/>
        <v>2.0299999999999998</v>
      </c>
      <c r="AG18" s="1072">
        <f t="shared" si="24"/>
        <v>2.0299999999999998</v>
      </c>
      <c r="AH18" s="1072">
        <f t="shared" si="24"/>
        <v>2.0299999999999998</v>
      </c>
      <c r="AI18" s="1072">
        <f t="shared" si="24"/>
        <v>2.0299999999999998</v>
      </c>
      <c r="AJ18" s="1072">
        <f t="shared" si="24"/>
        <v>2.0299999999999998</v>
      </c>
      <c r="AK18" s="1072">
        <f t="shared" si="24"/>
        <v>2.0299999999999998</v>
      </c>
      <c r="AL18" s="1072">
        <f t="shared" si="24"/>
        <v>2.0299999999999998</v>
      </c>
      <c r="AM18" s="1072">
        <f t="shared" si="24"/>
        <v>2.0299999999999998</v>
      </c>
      <c r="AN18" s="1073">
        <f t="shared" si="24"/>
        <v>2.0299999999999998</v>
      </c>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60"/>
      <c r="BZ18" s="60"/>
      <c r="CA18" s="60"/>
      <c r="CB18" s="60"/>
      <c r="CC18" s="60"/>
      <c r="CD18" s="60"/>
      <c r="CE18" s="60"/>
      <c r="CF18" s="60"/>
    </row>
    <row r="19" spans="1:84" s="114" customFormat="1" ht="14.1" customHeight="1" x14ac:dyDescent="0.2">
      <c r="A19"/>
      <c r="B19"/>
      <c r="C19" s="1051" t="s">
        <v>362</v>
      </c>
      <c r="D19" s="755"/>
      <c r="O19" s="1050"/>
      <c r="R19" s="1018"/>
      <c r="S19" s="60"/>
      <c r="T19" s="60"/>
      <c r="U19" s="60"/>
      <c r="V19" s="60"/>
      <c r="W19" s="60"/>
      <c r="X19" s="60"/>
      <c r="Y19" s="60"/>
      <c r="Z19" s="60"/>
      <c r="AA19" s="1019"/>
      <c r="AB19" s="60"/>
      <c r="AC19" s="1036"/>
      <c r="AD19" s="60"/>
      <c r="AE19" s="60"/>
      <c r="AF19" s="60"/>
      <c r="AG19" s="60"/>
      <c r="AH19" s="60"/>
      <c r="AI19" s="60"/>
      <c r="AJ19" s="60"/>
      <c r="AK19" s="60"/>
      <c r="AL19" s="60"/>
      <c r="AM19" s="60"/>
      <c r="AN19" s="1019"/>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row>
    <row r="20" spans="1:84" s="114" customFormat="1" ht="14.1" customHeight="1" x14ac:dyDescent="0.2">
      <c r="A20"/>
      <c r="B20"/>
      <c r="C20" s="1047" t="str">
        <f>C19&amp; " / "&amp;C9&amp; " (%)"</f>
        <v>Share Based Compensation / Revenue (%)</v>
      </c>
      <c r="D20" s="755"/>
      <c r="E20" s="1021">
        <f t="shared" ref="E20:K20" si="25">E19/E9</f>
        <v>0</v>
      </c>
      <c r="F20" s="1021">
        <f t="shared" si="25"/>
        <v>0</v>
      </c>
      <c r="G20" s="1021">
        <f t="shared" si="25"/>
        <v>0</v>
      </c>
      <c r="H20" s="1021">
        <f t="shared" si="25"/>
        <v>0</v>
      </c>
      <c r="I20" s="1021">
        <f t="shared" si="25"/>
        <v>0</v>
      </c>
      <c r="J20" s="1021">
        <f t="shared" si="25"/>
        <v>0</v>
      </c>
      <c r="K20" s="1021">
        <f t="shared" si="25"/>
        <v>0</v>
      </c>
      <c r="L20" s="1021">
        <f t="shared" ref="L20:AA20" si="26">L19/L9</f>
        <v>0</v>
      </c>
      <c r="M20" s="1021">
        <f t="shared" si="26"/>
        <v>0</v>
      </c>
      <c r="N20" s="1021">
        <f t="shared" si="26"/>
        <v>0</v>
      </c>
      <c r="O20" s="1022">
        <f t="shared" si="26"/>
        <v>0</v>
      </c>
      <c r="P20" s="957"/>
      <c r="Q20" s="957"/>
      <c r="R20" s="1020">
        <f t="shared" si="26"/>
        <v>0</v>
      </c>
      <c r="S20" s="1021">
        <f t="shared" si="26"/>
        <v>0</v>
      </c>
      <c r="T20" s="1021">
        <f t="shared" si="26"/>
        <v>0</v>
      </c>
      <c r="U20" s="1021">
        <f t="shared" si="26"/>
        <v>0</v>
      </c>
      <c r="V20" s="1021">
        <f t="shared" si="26"/>
        <v>0</v>
      </c>
      <c r="W20" s="1021">
        <f t="shared" si="26"/>
        <v>0</v>
      </c>
      <c r="X20" s="1021">
        <f t="shared" si="26"/>
        <v>0</v>
      </c>
      <c r="Y20" s="1021">
        <f t="shared" si="26"/>
        <v>0</v>
      </c>
      <c r="Z20" s="1021">
        <f t="shared" si="26"/>
        <v>0</v>
      </c>
      <c r="AA20" s="1022">
        <f t="shared" si="26"/>
        <v>0</v>
      </c>
      <c r="AB20" s="60"/>
      <c r="AC20" s="1020">
        <f t="shared" ref="AC20:AN20" si="27">AC19/AC9</f>
        <v>0</v>
      </c>
      <c r="AD20" s="1021">
        <f t="shared" si="27"/>
        <v>0</v>
      </c>
      <c r="AE20" s="1021">
        <f t="shared" si="27"/>
        <v>0</v>
      </c>
      <c r="AF20" s="1021">
        <f t="shared" si="27"/>
        <v>0</v>
      </c>
      <c r="AG20" s="1021">
        <f t="shared" si="27"/>
        <v>0</v>
      </c>
      <c r="AH20" s="1021">
        <f t="shared" si="27"/>
        <v>0</v>
      </c>
      <c r="AI20" s="1021">
        <f t="shared" si="27"/>
        <v>0</v>
      </c>
      <c r="AJ20" s="1021">
        <f t="shared" si="27"/>
        <v>0</v>
      </c>
      <c r="AK20" s="1021">
        <f t="shared" si="27"/>
        <v>0</v>
      </c>
      <c r="AL20" s="1021">
        <f t="shared" si="27"/>
        <v>0</v>
      </c>
      <c r="AM20" s="1021">
        <f t="shared" si="27"/>
        <v>0</v>
      </c>
      <c r="AN20" s="1022">
        <f t="shared" si="27"/>
        <v>0</v>
      </c>
      <c r="AO20" s="60"/>
      <c r="AP20" s="60"/>
      <c r="AQ20" s="6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0"/>
      <c r="BX20" s="60"/>
      <c r="BY20" s="60"/>
      <c r="BZ20" s="60"/>
      <c r="CA20" s="60"/>
      <c r="CB20" s="60"/>
      <c r="CC20" s="60"/>
      <c r="CD20" s="60"/>
      <c r="CE20" s="60"/>
      <c r="CF20" s="60"/>
    </row>
    <row r="21" spans="1:84" s="114" customFormat="1" ht="14.1" customHeight="1" x14ac:dyDescent="0.2">
      <c r="A21"/>
      <c r="B21"/>
      <c r="C21" s="1094" t="s">
        <v>363</v>
      </c>
      <c r="D21" s="1095"/>
      <c r="E21" s="1096">
        <f t="shared" ref="E21:O21" si="28">E14-E17</f>
        <v>3.1879752784670075</v>
      </c>
      <c r="F21" s="1096">
        <f t="shared" si="28"/>
        <v>-121.93774801571068</v>
      </c>
      <c r="G21" s="1096">
        <f t="shared" si="28"/>
        <v>79.810653561011804</v>
      </c>
      <c r="H21" s="1096">
        <f t="shared" si="28"/>
        <v>107.20837401480918</v>
      </c>
      <c r="I21" s="1096">
        <f t="shared" si="28"/>
        <v>90.975704057095697</v>
      </c>
      <c r="J21" s="1096">
        <f t="shared" si="28"/>
        <v>117.89350340428393</v>
      </c>
      <c r="K21" s="1096">
        <f t="shared" si="28"/>
        <v>-444.10676891167384</v>
      </c>
      <c r="L21" s="1096">
        <f t="shared" si="28"/>
        <v>108.50883996613112</v>
      </c>
      <c r="M21" s="1096">
        <f t="shared" si="28"/>
        <v>269.82294424642771</v>
      </c>
      <c r="N21" s="1096">
        <f t="shared" si="28"/>
        <v>449.83576305536405</v>
      </c>
      <c r="O21" s="1097">
        <f t="shared" si="28"/>
        <v>606.78988009489717</v>
      </c>
      <c r="R21" s="1012">
        <f>R14-R17</f>
        <v>1033.618076489312</v>
      </c>
      <c r="S21" s="120">
        <f t="shared" ref="S21:Z21" si="29">S14-S17</f>
        <v>871.98598810618591</v>
      </c>
      <c r="T21" s="120">
        <f t="shared" si="29"/>
        <v>941.20125166021512</v>
      </c>
      <c r="U21" s="120">
        <f t="shared" si="29"/>
        <v>1008.243883706908</v>
      </c>
      <c r="V21" s="120">
        <f t="shared" si="29"/>
        <v>1071.8838580981121</v>
      </c>
      <c r="W21" s="120">
        <f t="shared" si="29"/>
        <v>1130.8893890724949</v>
      </c>
      <c r="X21" s="120">
        <f t="shared" si="29"/>
        <v>1184.0612053982506</v>
      </c>
      <c r="Y21" s="120">
        <f t="shared" si="29"/>
        <v>1230.2685691200325</v>
      </c>
      <c r="Z21" s="120">
        <f t="shared" si="29"/>
        <v>1268.485468047624</v>
      </c>
      <c r="AA21" s="1013">
        <f>AA14-AA17</f>
        <v>1683.8985155141377</v>
      </c>
      <c r="AB21" s="60"/>
      <c r="AC21" s="1012">
        <f t="shared" ref="AC21:AN21" si="30">AC14-AC17</f>
        <v>1582.96889860275</v>
      </c>
      <c r="AD21" s="120">
        <f t="shared" si="30"/>
        <v>1638.3728100538463</v>
      </c>
      <c r="AE21" s="120">
        <f t="shared" si="30"/>
        <v>1695.7158584057302</v>
      </c>
      <c r="AF21" s="120">
        <f t="shared" si="30"/>
        <v>1755.0659134499313</v>
      </c>
      <c r="AG21" s="120">
        <f t="shared" si="30"/>
        <v>1816.4932204206773</v>
      </c>
      <c r="AH21" s="120">
        <f t="shared" si="30"/>
        <v>1880.0704831354014</v>
      </c>
      <c r="AI21" s="120">
        <f t="shared" si="30"/>
        <v>1945.8729500451404</v>
      </c>
      <c r="AJ21" s="120">
        <f t="shared" si="30"/>
        <v>2013.9785032967211</v>
      </c>
      <c r="AK21" s="120">
        <f t="shared" si="30"/>
        <v>2084.4677509121043</v>
      </c>
      <c r="AL21" s="120">
        <f t="shared" si="30"/>
        <v>2157.4241221940288</v>
      </c>
      <c r="AM21" s="120">
        <f t="shared" si="30"/>
        <v>2232.93396647082</v>
      </c>
      <c r="AN21" s="1013">
        <f t="shared" si="30"/>
        <v>2311.0866552972975</v>
      </c>
      <c r="AO21" s="60"/>
      <c r="AP21" s="60"/>
      <c r="AQ21" s="60"/>
      <c r="AR21" s="60"/>
      <c r="AS21" s="60"/>
      <c r="AT21" s="60"/>
      <c r="AU21" s="60"/>
      <c r="AV21" s="60"/>
      <c r="AW21" s="60"/>
      <c r="AX21" s="6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60"/>
      <c r="BX21" s="60"/>
      <c r="BY21" s="60"/>
      <c r="BZ21" s="60"/>
      <c r="CA21" s="60"/>
      <c r="CB21" s="60"/>
      <c r="CC21" s="60"/>
      <c r="CD21" s="60"/>
      <c r="CE21" s="60"/>
      <c r="CF21" s="60"/>
    </row>
    <row r="22" spans="1:84" s="114" customFormat="1" ht="2.1" customHeight="1" x14ac:dyDescent="0.2">
      <c r="A22"/>
      <c r="B22"/>
      <c r="C22" s="1046"/>
      <c r="D22" s="755"/>
      <c r="E22" s="755"/>
      <c r="F22" s="755"/>
      <c r="G22" s="755"/>
      <c r="H22" s="755"/>
      <c r="I22" s="755"/>
      <c r="J22" s="755"/>
      <c r="O22" s="1050"/>
      <c r="R22" s="1018"/>
      <c r="S22" s="60"/>
      <c r="T22" s="60"/>
      <c r="U22" s="60"/>
      <c r="V22" s="60"/>
      <c r="W22" s="60"/>
      <c r="X22" s="60"/>
      <c r="Y22" s="60"/>
      <c r="Z22" s="60"/>
      <c r="AA22" s="1019"/>
      <c r="AB22" s="60"/>
      <c r="AC22" s="1036"/>
      <c r="AD22" s="60"/>
      <c r="AE22" s="60"/>
      <c r="AF22" s="60"/>
      <c r="AG22" s="60"/>
      <c r="AH22" s="60"/>
      <c r="AI22" s="60"/>
      <c r="AJ22" s="60"/>
      <c r="AK22" s="60"/>
      <c r="AL22" s="60"/>
      <c r="AM22" s="60"/>
      <c r="AN22" s="1019"/>
      <c r="AO22" s="60"/>
      <c r="AP22" s="60"/>
      <c r="AQ22" s="60"/>
      <c r="AR22" s="60"/>
      <c r="AS22" s="60"/>
      <c r="AT22" s="60"/>
      <c r="AU22" s="60"/>
      <c r="AV22" s="60"/>
      <c r="AW22" s="60"/>
      <c r="AX22" s="6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0"/>
      <c r="BX22" s="60"/>
      <c r="BY22" s="60"/>
      <c r="BZ22" s="60"/>
      <c r="CA22" s="60"/>
      <c r="CB22" s="60"/>
      <c r="CC22" s="60"/>
      <c r="CD22" s="60"/>
      <c r="CE22" s="60"/>
      <c r="CF22" s="60"/>
    </row>
    <row r="23" spans="1:84" s="114" customFormat="1" ht="14.1" customHeight="1" x14ac:dyDescent="0.2">
      <c r="A23"/>
      <c r="B23"/>
      <c r="C23" s="1052" t="str">
        <f>'WACC &amp; Capital Structure'!C28</f>
        <v>Cost of Capital:</v>
      </c>
      <c r="D23" s="127"/>
      <c r="E23" s="160">
        <f>'WACC &amp; Capital Structure'!E39</f>
        <v>7.8914753709278224E-2</v>
      </c>
      <c r="F23" s="160">
        <f>'WACC &amp; Capital Structure'!F39</f>
        <v>7.0421747897181128E-2</v>
      </c>
      <c r="G23" s="160">
        <f>'WACC &amp; Capital Structure'!G39</f>
        <v>6.7890032095246897E-2</v>
      </c>
      <c r="H23" s="160">
        <f>'WACC &amp; Capital Structure'!H39</f>
        <v>7.1622841318134914E-2</v>
      </c>
      <c r="I23" s="160">
        <f>'WACC &amp; Capital Structure'!I39</f>
        <v>9.3429320434409241E-2</v>
      </c>
      <c r="J23" s="160">
        <f>'WACC &amp; Capital Structure'!J39</f>
        <v>9.4367202241343456E-2</v>
      </c>
      <c r="K23" s="160">
        <f>'WACC &amp; Capital Structure'!K39</f>
        <v>9.4820965371714111E-2</v>
      </c>
      <c r="L23" s="160">
        <f>'WACC &amp; Capital Structure'!L39</f>
        <v>9.0596178698373053E-2</v>
      </c>
      <c r="M23" s="160">
        <f>'WACC &amp; Capital Structure'!M39</f>
        <v>0.10016718083868331</v>
      </c>
      <c r="N23" s="160">
        <f>'WACC &amp; Capital Structure'!N39</f>
        <v>9.7973199574226885E-2</v>
      </c>
      <c r="O23" s="1053">
        <f>'WACC &amp; Capital Structure'!O39</f>
        <v>9.1407716631843883E-2</v>
      </c>
      <c r="P23" s="115"/>
      <c r="Q23" s="115"/>
      <c r="R23" s="1023">
        <f>O23</f>
        <v>9.1407716631843883E-2</v>
      </c>
      <c r="S23" s="269">
        <f>R23</f>
        <v>9.1407716631843883E-2</v>
      </c>
      <c r="T23" s="269">
        <f t="shared" ref="T23:AA23" si="31">S23</f>
        <v>9.1407716631843883E-2</v>
      </c>
      <c r="U23" s="269">
        <f t="shared" si="31"/>
        <v>9.1407716631843883E-2</v>
      </c>
      <c r="V23" s="269">
        <f t="shared" si="31"/>
        <v>9.1407716631843883E-2</v>
      </c>
      <c r="W23" s="269">
        <f t="shared" si="31"/>
        <v>9.1407716631843883E-2</v>
      </c>
      <c r="X23" s="269">
        <f t="shared" si="31"/>
        <v>9.1407716631843883E-2</v>
      </c>
      <c r="Y23" s="269">
        <f t="shared" si="31"/>
        <v>9.1407716631843883E-2</v>
      </c>
      <c r="Z23" s="269">
        <f t="shared" si="31"/>
        <v>9.1407716631843883E-2</v>
      </c>
      <c r="AA23" s="1024">
        <f t="shared" si="31"/>
        <v>9.1407716631843883E-2</v>
      </c>
      <c r="AB23" s="758"/>
      <c r="AC23" s="1023">
        <f>AA23</f>
        <v>9.1407716631843883E-2</v>
      </c>
      <c r="AD23" s="269">
        <f>AC23</f>
        <v>9.1407716631843883E-2</v>
      </c>
      <c r="AE23" s="269">
        <f>AD23</f>
        <v>9.1407716631843883E-2</v>
      </c>
      <c r="AF23" s="269">
        <f t="shared" ref="AF23:AN23" si="32">AE23</f>
        <v>9.1407716631843883E-2</v>
      </c>
      <c r="AG23" s="269">
        <f t="shared" si="32"/>
        <v>9.1407716631843883E-2</v>
      </c>
      <c r="AH23" s="269">
        <f t="shared" si="32"/>
        <v>9.1407716631843883E-2</v>
      </c>
      <c r="AI23" s="269">
        <f t="shared" si="32"/>
        <v>9.1407716631843883E-2</v>
      </c>
      <c r="AJ23" s="269">
        <f t="shared" si="32"/>
        <v>9.1407716631843883E-2</v>
      </c>
      <c r="AK23" s="269">
        <f t="shared" si="32"/>
        <v>9.1407716631843883E-2</v>
      </c>
      <c r="AL23" s="269">
        <f t="shared" si="32"/>
        <v>9.1407716631843883E-2</v>
      </c>
      <c r="AM23" s="269">
        <f t="shared" si="32"/>
        <v>9.1407716631843883E-2</v>
      </c>
      <c r="AN23" s="1024">
        <f t="shared" si="32"/>
        <v>9.1407716631843883E-2</v>
      </c>
      <c r="AO23" s="758"/>
      <c r="AP23" s="758"/>
      <c r="AQ23" s="758"/>
      <c r="AR23" s="758"/>
      <c r="AS23" s="758"/>
      <c r="AT23" s="758"/>
      <c r="AU23" s="758"/>
      <c r="AV23" s="758"/>
      <c r="AW23" s="758"/>
      <c r="AX23" s="758"/>
      <c r="AY23" s="758"/>
      <c r="AZ23" s="758"/>
      <c r="BA23" s="758"/>
      <c r="BB23" s="758"/>
      <c r="BC23" s="758"/>
      <c r="BD23" s="758"/>
      <c r="BE23" s="758"/>
      <c r="BF23" s="758"/>
      <c r="BG23" s="758"/>
      <c r="BH23" s="758"/>
      <c r="BI23" s="758"/>
      <c r="BJ23" s="758"/>
      <c r="BK23" s="758"/>
      <c r="BL23" s="758"/>
      <c r="BM23" s="758"/>
      <c r="BN23" s="758"/>
      <c r="BO23" s="758"/>
      <c r="BP23" s="758"/>
      <c r="BQ23" s="758"/>
      <c r="BR23" s="758"/>
      <c r="BS23" s="758"/>
      <c r="BT23" s="758"/>
      <c r="BU23" s="758"/>
      <c r="BV23" s="758"/>
      <c r="BW23" s="758"/>
      <c r="BX23" s="758"/>
      <c r="BY23" s="758"/>
      <c r="BZ23" s="758"/>
      <c r="CA23" s="60"/>
      <c r="CB23" s="60"/>
      <c r="CC23" s="60"/>
      <c r="CD23" s="60"/>
      <c r="CE23" s="60"/>
      <c r="CF23" s="60"/>
    </row>
    <row r="24" spans="1:84" s="114" customFormat="1" ht="14.1" customHeight="1" x14ac:dyDescent="0.2">
      <c r="A24"/>
      <c r="B24"/>
      <c r="C24" s="1099" t="s">
        <v>364</v>
      </c>
      <c r="D24" s="1100"/>
      <c r="E24" s="1100"/>
      <c r="F24" s="1100"/>
      <c r="G24" s="1101">
        <f t="shared" ref="G24:N24" si="33">(H24+H21)/(1+H23)</f>
        <v>9996.9265820547535</v>
      </c>
      <c r="H24" s="1101">
        <f t="shared" si="33"/>
        <v>10605.726494295497</v>
      </c>
      <c r="I24" s="1101">
        <f t="shared" si="33"/>
        <v>11505.63660931364</v>
      </c>
      <c r="J24" s="1101">
        <f t="shared" si="33"/>
        <v>12473.497842735862</v>
      </c>
      <c r="K24" s="1101">
        <f t="shared" si="33"/>
        <v>14100.353718657741</v>
      </c>
      <c r="L24" s="1101">
        <f t="shared" si="33"/>
        <v>15269.283043897398</v>
      </c>
      <c r="M24" s="1101">
        <f t="shared" si="33"/>
        <v>16528.941135586079</v>
      </c>
      <c r="N24" s="1101">
        <f t="shared" si="33"/>
        <v>17698.498621158134</v>
      </c>
      <c r="O24" s="1102">
        <f>(R24+R21)/(1+R23)</f>
        <v>18709.48808783514</v>
      </c>
      <c r="P24" s="115"/>
      <c r="Q24" s="115"/>
      <c r="R24" s="1025">
        <f>(S24+S21)/(1+S23)</f>
        <v>19386.061596805521</v>
      </c>
      <c r="S24" s="758">
        <f t="shared" ref="S24:Y24" si="34">(T24+T21)/(1+T23)</f>
        <v>20286.111233747604</v>
      </c>
      <c r="T24" s="758">
        <f t="shared" si="34"/>
        <v>21199.217089303856</v>
      </c>
      <c r="U24" s="758">
        <f t="shared" si="34"/>
        <v>22128.745234112976</v>
      </c>
      <c r="V24" s="758">
        <f t="shared" si="34"/>
        <v>23079.599449792928</v>
      </c>
      <c r="W24" s="758">
        <f t="shared" si="34"/>
        <v>24058.363547203568</v>
      </c>
      <c r="X24" s="758">
        <f t="shared" si="34"/>
        <v>25073.422419553983</v>
      </c>
      <c r="Y24" s="758">
        <f t="shared" si="34"/>
        <v>26135.058141951064</v>
      </c>
      <c r="Z24" s="758">
        <f>(AA24+AA21)/(1+AA23)</f>
        <v>27255.518662699666</v>
      </c>
      <c r="AA24" s="1026">
        <f>AC21/(AC23-AD49)</f>
        <v>28062.984873759513</v>
      </c>
      <c r="AB24" s="758"/>
      <c r="AC24" s="1025">
        <f>AD21/(AD23-AD49)</f>
        <v>29045.189344341095</v>
      </c>
      <c r="AD24" s="758">
        <f t="shared" ref="AD24:AM24" si="35">AE21/(AE23-AE49)</f>
        <v>30061.770971392783</v>
      </c>
      <c r="AE24" s="758">
        <f t="shared" si="35"/>
        <v>31113.932955392032</v>
      </c>
      <c r="AF24" s="758">
        <f t="shared" si="35"/>
        <v>32202.920608829965</v>
      </c>
      <c r="AG24" s="758">
        <f t="shared" si="35"/>
        <v>33330.022830139678</v>
      </c>
      <c r="AH24" s="758">
        <f t="shared" si="35"/>
        <v>34496.573629194427</v>
      </c>
      <c r="AI24" s="758">
        <f t="shared" si="35"/>
        <v>35703.953706216525</v>
      </c>
      <c r="AJ24" s="758">
        <f t="shared" si="35"/>
        <v>36953.592085933196</v>
      </c>
      <c r="AK24" s="758">
        <f t="shared" si="35"/>
        <v>38246.967808941779</v>
      </c>
      <c r="AL24" s="758">
        <f t="shared" si="35"/>
        <v>39585.611682254588</v>
      </c>
      <c r="AM24" s="758">
        <f t="shared" si="35"/>
        <v>40971.108091132992</v>
      </c>
      <c r="AN24" s="1026"/>
      <c r="AO24" s="758"/>
      <c r="AP24" s="758"/>
      <c r="AQ24" s="758"/>
      <c r="AR24" s="758"/>
      <c r="AS24" s="758"/>
      <c r="AT24" s="758"/>
      <c r="AU24" s="758"/>
      <c r="AV24" s="758"/>
      <c r="AW24" s="758"/>
      <c r="AX24" s="758"/>
      <c r="AY24" s="758"/>
      <c r="AZ24" s="758"/>
      <c r="BA24" s="758"/>
      <c r="BB24" s="758"/>
      <c r="BC24" s="758"/>
      <c r="BD24" s="758"/>
      <c r="BE24" s="758"/>
      <c r="BF24" s="758"/>
      <c r="BG24" s="758"/>
      <c r="BH24" s="758"/>
      <c r="BI24" s="758"/>
      <c r="BJ24" s="758"/>
      <c r="BK24" s="758"/>
      <c r="BL24" s="758"/>
      <c r="BM24" s="758"/>
      <c r="BN24" s="758"/>
      <c r="BO24" s="758"/>
      <c r="BP24" s="758"/>
      <c r="BQ24" s="758"/>
      <c r="BR24" s="758"/>
      <c r="BS24" s="758"/>
      <c r="BT24" s="758"/>
      <c r="BU24" s="758"/>
      <c r="BV24" s="758"/>
      <c r="BW24" s="758"/>
      <c r="BX24" s="758"/>
      <c r="BY24" s="758"/>
      <c r="BZ24" s="758"/>
      <c r="CA24" s="60"/>
      <c r="CB24" s="60"/>
      <c r="CC24" s="60"/>
      <c r="CD24" s="60"/>
      <c r="CE24" s="60"/>
      <c r="CF24" s="60"/>
    </row>
    <row r="25" spans="1:84" s="114" customFormat="1" ht="14.1" customHeight="1" x14ac:dyDescent="0.2">
      <c r="A25"/>
      <c r="B25"/>
      <c r="C25" s="1046" t="str">
        <f>'Balance Sheet'!C9&amp;" &amp; "&amp;'Balance Sheet'!C10</f>
        <v>Marketable Securities &amp; Cash and cash equivalents</v>
      </c>
      <c r="D25" s="755"/>
      <c r="E25" s="114">
        <f>'WACC &amp; Capital Structure'!E15</f>
        <v>2.194</v>
      </c>
      <c r="F25" s="114">
        <f>'WACC &amp; Capital Structure'!F15</f>
        <v>0.248</v>
      </c>
      <c r="G25" s="114">
        <f>'WACC &amp; Capital Structure'!G15</f>
        <v>25.308</v>
      </c>
      <c r="H25" s="114">
        <f>'WACC &amp; Capital Structure'!H15</f>
        <v>106.58799999999999</v>
      </c>
      <c r="I25" s="114">
        <f>'WACC &amp; Capital Structure'!I15</f>
        <v>187.39</v>
      </c>
      <c r="J25" s="114">
        <f>'WACC &amp; Capital Structure'!J15</f>
        <v>296.21499999999997</v>
      </c>
      <c r="K25" s="114">
        <f>'WACC &amp; Capital Structure'!K15</f>
        <v>15.51038909052204</v>
      </c>
      <c r="L25" s="114">
        <f>'WACC &amp; Capital Structure'!L15</f>
        <v>108.41190961167149</v>
      </c>
      <c r="M25" s="114">
        <f>'WACC &amp; Capital Structure'!M15</f>
        <v>289.2564698727565</v>
      </c>
      <c r="N25" s="114">
        <f>'WACC &amp; Capital Structure'!N15</f>
        <v>336.27147380200586</v>
      </c>
      <c r="O25" s="1050">
        <f>'WACC &amp; Capital Structure'!O15</f>
        <v>346.12552962495101</v>
      </c>
      <c r="R25" s="1027"/>
      <c r="S25" s="989"/>
      <c r="T25" s="989"/>
      <c r="U25" s="989"/>
      <c r="V25" s="989"/>
      <c r="W25" s="989"/>
      <c r="X25" s="989"/>
      <c r="Y25" s="989"/>
      <c r="Z25" s="989"/>
      <c r="AA25" s="1028"/>
      <c r="AB25" s="60"/>
      <c r="AC25" s="1037"/>
      <c r="AD25" s="989"/>
      <c r="AE25" s="989"/>
      <c r="AF25" s="989"/>
      <c r="AG25" s="989"/>
      <c r="AH25" s="989"/>
      <c r="AI25" s="989"/>
      <c r="AJ25" s="989"/>
      <c r="AK25" s="989"/>
      <c r="AL25" s="989"/>
      <c r="AM25" s="989"/>
      <c r="AN25" s="1028"/>
      <c r="AO25" s="60"/>
      <c r="AP25" s="60"/>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row>
    <row r="26" spans="1:84" s="114" customFormat="1" ht="14.1" customHeight="1" x14ac:dyDescent="0.2">
      <c r="A26"/>
      <c r="B26"/>
      <c r="C26" s="1046" t="str">
        <f>"Other Non-Operating Assets"</f>
        <v>Other Non-Operating Assets</v>
      </c>
      <c r="D26" s="755"/>
      <c r="E26" s="755"/>
      <c r="F26" s="755"/>
      <c r="G26" s="755"/>
      <c r="H26" s="755"/>
      <c r="I26" s="755"/>
      <c r="J26" s="755"/>
      <c r="K26" s="114">
        <f>'WACC &amp; Capital Structure'!K16</f>
        <v>0</v>
      </c>
      <c r="L26" s="114">
        <f>'WACC &amp; Capital Structure'!L16</f>
        <v>0</v>
      </c>
      <c r="M26" s="114">
        <f>'WACC &amp; Capital Structure'!M16</f>
        <v>0</v>
      </c>
      <c r="N26" s="114">
        <f>'WACC &amp; Capital Structure'!N16</f>
        <v>0</v>
      </c>
      <c r="O26" s="1050">
        <f>'WACC &amp; Capital Structure'!O16</f>
        <v>0</v>
      </c>
      <c r="R26" s="1029"/>
      <c r="S26" s="1030"/>
      <c r="T26" s="1030"/>
      <c r="U26" s="1030"/>
      <c r="V26" s="1030"/>
      <c r="W26" s="1030"/>
      <c r="X26" s="1030"/>
      <c r="Y26" s="1030"/>
      <c r="Z26" s="1030"/>
      <c r="AA26" s="1031"/>
      <c r="AB26" s="60"/>
      <c r="AC26" s="1038"/>
      <c r="AD26" s="1030"/>
      <c r="AE26" s="1030"/>
      <c r="AF26" s="1030"/>
      <c r="AG26" s="1030"/>
      <c r="AH26" s="1030"/>
      <c r="AI26" s="1030"/>
      <c r="AJ26" s="1030"/>
      <c r="AK26" s="1030"/>
      <c r="AL26" s="1030"/>
      <c r="AM26" s="1030"/>
      <c r="AN26" s="1031"/>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row>
    <row r="27" spans="1:84" s="114" customFormat="1" ht="14.1" customHeight="1" x14ac:dyDescent="0.2">
      <c r="A27"/>
      <c r="B27"/>
      <c r="C27" s="1094" t="str">
        <f>"Firm Value"</f>
        <v>Firm Value</v>
      </c>
      <c r="D27" s="1098"/>
      <c r="E27" s="1098"/>
      <c r="F27" s="1098"/>
      <c r="G27" s="1098"/>
      <c r="H27" s="1098"/>
      <c r="I27" s="1098"/>
      <c r="J27" s="1098"/>
      <c r="K27" s="1096">
        <f>K24+K25+K26</f>
        <v>14115.864107748264</v>
      </c>
      <c r="L27" s="1096">
        <f>L24+L25+L26</f>
        <v>15377.69495350907</v>
      </c>
      <c r="M27" s="1096">
        <f>M24+M25+M26</f>
        <v>16818.197605458838</v>
      </c>
      <c r="N27" s="1096">
        <f>N24+N25+N26</f>
        <v>18034.770094960142</v>
      </c>
      <c r="O27" s="1097">
        <f>O24+O25+O26</f>
        <v>19055.613617460091</v>
      </c>
      <c r="R27" s="1032"/>
      <c r="S27" s="1030"/>
      <c r="T27" s="1030"/>
      <c r="U27" s="1030"/>
      <c r="V27" s="1030"/>
      <c r="W27" s="1030"/>
      <c r="X27" s="1030"/>
      <c r="Y27" s="1030"/>
      <c r="Z27" s="1030"/>
      <c r="AA27" s="1031"/>
      <c r="AB27" s="60"/>
      <c r="AC27" s="1038"/>
      <c r="AD27" s="1030"/>
      <c r="AE27" s="1030"/>
      <c r="AF27" s="1030"/>
      <c r="AG27" s="1030"/>
      <c r="AH27" s="1030"/>
      <c r="AI27" s="1030"/>
      <c r="AJ27" s="1030"/>
      <c r="AK27" s="1030"/>
      <c r="AL27" s="1030"/>
      <c r="AM27" s="1030"/>
      <c r="AN27" s="1031"/>
      <c r="AO27" s="60"/>
      <c r="AP27" s="60"/>
      <c r="AQ27" s="60"/>
      <c r="AR27" s="60"/>
      <c r="AS27" s="60"/>
      <c r="AT27" s="60"/>
      <c r="AU27" s="60"/>
      <c r="AV27" s="60"/>
      <c r="AW27" s="60"/>
      <c r="AX27" s="60"/>
      <c r="AY27" s="60"/>
      <c r="AZ27" s="60"/>
      <c r="BA27" s="60"/>
      <c r="BB27" s="60"/>
      <c r="BC27" s="60"/>
      <c r="BD27" s="60"/>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row>
    <row r="28" spans="1:84" s="114" customFormat="1" ht="14.1" customHeight="1" x14ac:dyDescent="0.2">
      <c r="A28"/>
      <c r="B28"/>
      <c r="C28" s="1046" t="str">
        <f>"Debt Value"</f>
        <v>Debt Value</v>
      </c>
      <c r="D28" s="755"/>
      <c r="E28" s="114">
        <f>'WACC &amp; Capital Structure'!E13</f>
        <v>122.85900000000001</v>
      </c>
      <c r="F28" s="114">
        <f>'WACC &amp; Capital Structure'!F13</f>
        <v>241.68910000000002</v>
      </c>
      <c r="G28" s="114">
        <f>'WACC &amp; Capital Structure'!G13</f>
        <v>186.506</v>
      </c>
      <c r="H28" s="114">
        <f>'WACC &amp; Capital Structure'!H13</f>
        <v>160.37799999999999</v>
      </c>
      <c r="I28" s="114">
        <f>'WACC &amp; Capital Structure'!I13</f>
        <v>154.51400000000001</v>
      </c>
      <c r="J28" s="114">
        <f>'WACC &amp; Capital Structure'!J13</f>
        <v>138.70699999999999</v>
      </c>
      <c r="K28" s="114">
        <f>'WACC &amp; Capital Structure'!K13</f>
        <v>307.38771106673875</v>
      </c>
      <c r="L28" s="114">
        <f>'WACC &amp; Capital Structure'!L13</f>
        <v>367.98972135792729</v>
      </c>
      <c r="M28" s="114">
        <f>'WACC &amp; Capital Structure'!M13</f>
        <v>345.45486973374904</v>
      </c>
      <c r="N28" s="114">
        <f>'WACC &amp; Capital Structure'!N13</f>
        <v>353.96997242316269</v>
      </c>
      <c r="O28" s="1050">
        <f>'WACC &amp; Capital Structure'!O13</f>
        <v>381.6735569918369</v>
      </c>
      <c r="R28" s="1029"/>
      <c r="S28" s="1030"/>
      <c r="T28" s="1030"/>
      <c r="U28" s="1030"/>
      <c r="V28" s="1030"/>
      <c r="W28" s="1030"/>
      <c r="X28" s="1030"/>
      <c r="Y28" s="1030"/>
      <c r="Z28" s="1030"/>
      <c r="AA28" s="1031"/>
      <c r="AB28" s="60"/>
      <c r="AC28" s="1038"/>
      <c r="AD28" s="1030"/>
      <c r="AE28" s="1030"/>
      <c r="AF28" s="1030"/>
      <c r="AG28" s="1030"/>
      <c r="AH28" s="1030"/>
      <c r="AI28" s="1030"/>
      <c r="AJ28" s="1030"/>
      <c r="AK28" s="1030"/>
      <c r="AL28" s="1030"/>
      <c r="AM28" s="1030"/>
      <c r="AN28" s="1031"/>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row>
    <row r="29" spans="1:84" s="114" customFormat="1" ht="14.1" customHeight="1" x14ac:dyDescent="0.2">
      <c r="A29"/>
      <c r="B29"/>
      <c r="C29" s="1046" t="str">
        <f>"Preferred Value"</f>
        <v>Preferred Value</v>
      </c>
      <c r="D29" s="755"/>
      <c r="E29" s="114">
        <f>'WACC &amp; Capital Structure'!E14</f>
        <v>0</v>
      </c>
      <c r="F29" s="114">
        <f>'WACC &amp; Capital Structure'!F14</f>
        <v>0</v>
      </c>
      <c r="G29" s="114">
        <f>'WACC &amp; Capital Structure'!G14</f>
        <v>0</v>
      </c>
      <c r="H29" s="114">
        <f>'WACC &amp; Capital Structure'!H14</f>
        <v>0</v>
      </c>
      <c r="I29" s="114">
        <f>'WACC &amp; Capital Structure'!I14</f>
        <v>0</v>
      </c>
      <c r="J29" s="114">
        <f>'WACC &amp; Capital Structure'!J14</f>
        <v>0</v>
      </c>
      <c r="K29" s="114">
        <f>'WACC &amp; Capital Structure'!K14</f>
        <v>0</v>
      </c>
      <c r="L29" s="114">
        <f>'WACC &amp; Capital Structure'!L14</f>
        <v>0</v>
      </c>
      <c r="M29" s="114">
        <f>'WACC &amp; Capital Structure'!M14</f>
        <v>0</v>
      </c>
      <c r="N29" s="114">
        <f>'WACC &amp; Capital Structure'!N14</f>
        <v>0</v>
      </c>
      <c r="O29" s="1050">
        <f>'WACC &amp; Capital Structure'!O14</f>
        <v>0</v>
      </c>
      <c r="R29" s="1029"/>
      <c r="S29" s="1030"/>
      <c r="T29" s="1030"/>
      <c r="U29" s="1030"/>
      <c r="V29" s="1030"/>
      <c r="W29" s="1030"/>
      <c r="X29" s="1030"/>
      <c r="Y29" s="1030"/>
      <c r="Z29" s="1030"/>
      <c r="AA29" s="1031"/>
      <c r="AB29" s="60"/>
      <c r="AC29" s="1038"/>
      <c r="AD29" s="1030"/>
      <c r="AE29" s="1030"/>
      <c r="AF29" s="1030"/>
      <c r="AG29" s="1030"/>
      <c r="AH29" s="1030"/>
      <c r="AI29" s="1030"/>
      <c r="AJ29" s="1030"/>
      <c r="AK29" s="1030"/>
      <c r="AL29" s="1030"/>
      <c r="AM29" s="1030"/>
      <c r="AN29" s="1031"/>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row>
    <row r="30" spans="1:84" s="114" customFormat="1" ht="14.1" customHeight="1" x14ac:dyDescent="0.2">
      <c r="A30"/>
      <c r="B30"/>
      <c r="C30" s="1046" t="s">
        <v>365</v>
      </c>
      <c r="D30" s="755"/>
      <c r="E30" s="755"/>
      <c r="F30" s="755"/>
      <c r="G30" s="755"/>
      <c r="H30" s="755"/>
      <c r="I30" s="755"/>
      <c r="J30" s="755"/>
      <c r="O30" s="1050"/>
      <c r="R30" s="1029"/>
      <c r="S30" s="1030"/>
      <c r="T30" s="1030"/>
      <c r="U30" s="1030"/>
      <c r="V30" s="1030"/>
      <c r="W30" s="1030"/>
      <c r="X30" s="1030"/>
      <c r="Y30" s="1030"/>
      <c r="Z30" s="1030"/>
      <c r="AA30" s="1031"/>
      <c r="AB30" s="60"/>
      <c r="AC30" s="1038"/>
      <c r="AD30" s="1030"/>
      <c r="AE30" s="1030"/>
      <c r="AF30" s="1030"/>
      <c r="AG30" s="1030"/>
      <c r="AH30" s="1030"/>
      <c r="AI30" s="1030"/>
      <c r="AJ30" s="1030"/>
      <c r="AK30" s="1030"/>
      <c r="AL30" s="1030"/>
      <c r="AM30" s="1030"/>
      <c r="AN30" s="1031"/>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row>
    <row r="31" spans="1:84" s="114" customFormat="1" ht="14.1" customHeight="1" x14ac:dyDescent="0.2">
      <c r="A31"/>
      <c r="B31"/>
      <c r="C31" s="1094" t="s">
        <v>366</v>
      </c>
      <c r="D31" s="1098"/>
      <c r="E31" s="1098"/>
      <c r="F31" s="1098"/>
      <c r="G31" s="1098"/>
      <c r="H31" s="1098"/>
      <c r="I31" s="1098"/>
      <c r="J31" s="1098"/>
      <c r="K31" s="1096">
        <f>K27-K28-K29-K30</f>
        <v>13808.476396681526</v>
      </c>
      <c r="L31" s="1096">
        <f>L27-L28-L29-L30</f>
        <v>15009.705232151142</v>
      </c>
      <c r="M31" s="1096">
        <f>M27-M28-M29-M30</f>
        <v>16472.742735725089</v>
      </c>
      <c r="N31" s="1096">
        <f>N27-N28-N29-N30</f>
        <v>17680.800122536981</v>
      </c>
      <c r="O31" s="1097">
        <f>O27-O28-O29-O30</f>
        <v>18673.940060468252</v>
      </c>
      <c r="P31" s="118"/>
      <c r="R31" s="1032"/>
      <c r="S31" s="1030"/>
      <c r="T31" s="1030"/>
      <c r="U31" s="1030"/>
      <c r="V31" s="1030"/>
      <c r="W31" s="1030"/>
      <c r="X31" s="1030"/>
      <c r="Y31" s="1030"/>
      <c r="Z31" s="1030"/>
      <c r="AA31" s="1031"/>
      <c r="AB31" s="60"/>
      <c r="AC31" s="1038"/>
      <c r="AD31" s="1030"/>
      <c r="AE31" s="1030"/>
      <c r="AF31" s="1030"/>
      <c r="AG31" s="1030"/>
      <c r="AH31" s="1030"/>
      <c r="AI31" s="1030"/>
      <c r="AJ31" s="1030"/>
      <c r="AK31" s="1030"/>
      <c r="AL31" s="1030"/>
      <c r="AM31" s="1030"/>
      <c r="AN31" s="1031"/>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row>
    <row r="32" spans="1:84" s="114" customFormat="1" ht="2.1" customHeight="1" x14ac:dyDescent="0.2">
      <c r="A32"/>
      <c r="B32"/>
      <c r="C32" s="1046"/>
      <c r="D32" s="755"/>
      <c r="E32" s="755"/>
      <c r="F32" s="755"/>
      <c r="G32" s="755"/>
      <c r="H32" s="755"/>
      <c r="I32" s="755"/>
      <c r="J32" s="755"/>
      <c r="O32" s="1050"/>
      <c r="R32" s="1029"/>
      <c r="S32" s="1030"/>
      <c r="T32" s="1030"/>
      <c r="U32" s="1030"/>
      <c r="V32" s="1030"/>
      <c r="W32" s="1030"/>
      <c r="X32" s="1030"/>
      <c r="Y32" s="1030"/>
      <c r="Z32" s="1030"/>
      <c r="AA32" s="1031"/>
      <c r="AB32" s="60"/>
      <c r="AC32" s="1038"/>
      <c r="AD32" s="1030"/>
      <c r="AE32" s="1030"/>
      <c r="AF32" s="1030"/>
      <c r="AG32" s="1030"/>
      <c r="AH32" s="1030"/>
      <c r="AI32" s="1030"/>
      <c r="AJ32" s="1030"/>
      <c r="AK32" s="1030"/>
      <c r="AL32" s="1030"/>
      <c r="AM32" s="1030"/>
      <c r="AN32" s="1031"/>
      <c r="AO32" s="60"/>
      <c r="AP32" s="60"/>
      <c r="AQ32" s="60"/>
      <c r="AR32" s="60"/>
      <c r="AS32" s="60"/>
      <c r="AT32" s="60"/>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row>
    <row r="33" spans="1:84" s="114" customFormat="1" ht="14.1" customHeight="1" x14ac:dyDescent="0.2">
      <c r="A33"/>
      <c r="B33"/>
      <c r="C33" s="1046" t="s">
        <v>158</v>
      </c>
      <c r="D33" s="755"/>
      <c r="E33" s="189"/>
      <c r="F33" s="189"/>
      <c r="G33" s="189"/>
      <c r="H33" s="189"/>
      <c r="I33" s="189"/>
      <c r="J33" s="189"/>
      <c r="K33" s="189">
        <f>'Balance Sheet'!K85</f>
        <v>26.549315791792981</v>
      </c>
      <c r="L33" s="189">
        <f>'Balance Sheet'!L85</f>
        <v>26.450919786037367</v>
      </c>
      <c r="M33" s="189">
        <f>'Balance Sheet'!M85</f>
        <v>26.375082517022054</v>
      </c>
      <c r="N33" s="189">
        <f>'Balance Sheet'!N85</f>
        <v>25.784848056857516</v>
      </c>
      <c r="O33" s="1054">
        <f>'Balance Sheet'!O85</f>
        <v>24.960086318612213</v>
      </c>
      <c r="R33" s="1029"/>
      <c r="S33" s="1030"/>
      <c r="T33" s="1030"/>
      <c r="U33" s="1030"/>
      <c r="V33" s="1030"/>
      <c r="W33" s="1030"/>
      <c r="X33" s="1030"/>
      <c r="Y33" s="1030"/>
      <c r="Z33" s="1030"/>
      <c r="AA33" s="1031"/>
      <c r="AB33" s="60"/>
      <c r="AC33" s="1038"/>
      <c r="AD33" s="1030"/>
      <c r="AE33" s="1030"/>
      <c r="AF33" s="1030"/>
      <c r="AG33" s="1030"/>
      <c r="AH33" s="1030"/>
      <c r="AI33" s="1030"/>
      <c r="AJ33" s="1030"/>
      <c r="AK33" s="1030"/>
      <c r="AL33" s="1030"/>
      <c r="AM33" s="1030"/>
      <c r="AN33" s="1031"/>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row>
    <row r="34" spans="1:84" s="114" customFormat="1" ht="14.1" customHeight="1" x14ac:dyDescent="0.2">
      <c r="A34"/>
      <c r="B34"/>
      <c r="C34" s="1058" t="s">
        <v>367</v>
      </c>
      <c r="D34" s="1059"/>
      <c r="E34" s="1059"/>
      <c r="F34" s="1059"/>
      <c r="G34" s="1059"/>
      <c r="H34" s="1059"/>
      <c r="I34" s="1059"/>
      <c r="J34" s="1059"/>
      <c r="K34" s="1060">
        <f>IFERROR(K31/K33,"NO Value!!!")</f>
        <v>520.1066763818468</v>
      </c>
      <c r="L34" s="1060">
        <f>IFERROR(L31/L33,"NO Value!!!")</f>
        <v>567.45494499114943</v>
      </c>
      <c r="M34" s="1060">
        <f>IFERROR(M31/M33,"NO Value!!!")</f>
        <v>624.55701228968087</v>
      </c>
      <c r="N34" s="1060">
        <f>IFERROR(N31/N33,"NO Value!!!")</f>
        <v>685.70503434999875</v>
      </c>
      <c r="O34" s="1061">
        <f>IFERROR(O31/O33,"NO Value!!!")</f>
        <v>748.15206254088503</v>
      </c>
      <c r="P34" s="116"/>
      <c r="R34" s="1033"/>
      <c r="S34" s="1034"/>
      <c r="T34" s="1034"/>
      <c r="U34" s="1034"/>
      <c r="V34" s="1034"/>
      <c r="W34" s="1034"/>
      <c r="X34" s="1034"/>
      <c r="Y34" s="1034"/>
      <c r="Z34" s="1034"/>
      <c r="AA34" s="1035"/>
      <c r="AB34" s="60"/>
      <c r="AC34" s="1039"/>
      <c r="AD34" s="1040"/>
      <c r="AE34" s="1040"/>
      <c r="AF34" s="1040"/>
      <c r="AG34" s="1040"/>
      <c r="AH34" s="1040"/>
      <c r="AI34" s="1040"/>
      <c r="AJ34" s="1040"/>
      <c r="AK34" s="1040"/>
      <c r="AL34" s="1040"/>
      <c r="AM34" s="1040"/>
      <c r="AN34" s="1041"/>
      <c r="AO34" s="60"/>
      <c r="AP34" s="60"/>
      <c r="AQ34" s="60"/>
      <c r="AR34" s="60"/>
      <c r="AS34" s="60"/>
      <c r="AT34" s="60"/>
      <c r="AU34" s="60"/>
      <c r="AV34" s="60"/>
      <c r="AW34" s="60"/>
      <c r="AX34" s="60"/>
      <c r="AY34" s="60"/>
      <c r="AZ34" s="60"/>
      <c r="BA34" s="60"/>
      <c r="BB34" s="60"/>
      <c r="BC34" s="60"/>
      <c r="BD34" s="60"/>
      <c r="BE34" s="60"/>
      <c r="BF34" s="60"/>
      <c r="BG34" s="60"/>
      <c r="BH34" s="60"/>
      <c r="BI34" s="60"/>
      <c r="BJ34" s="60"/>
      <c r="BK34" s="60"/>
      <c r="BL34" s="60"/>
      <c r="BM34" s="60"/>
      <c r="BN34" s="60"/>
      <c r="BO34" s="60"/>
      <c r="BP34" s="60"/>
      <c r="BQ34" s="60"/>
      <c r="BR34" s="60"/>
      <c r="BS34" s="60"/>
      <c r="BT34" s="60"/>
      <c r="BU34" s="60"/>
      <c r="BV34" s="60"/>
      <c r="BW34" s="60"/>
      <c r="BX34" s="60"/>
      <c r="BY34" s="60"/>
      <c r="BZ34" s="60"/>
      <c r="CA34" s="60"/>
      <c r="CB34" s="60"/>
      <c r="CC34" s="60"/>
      <c r="CD34" s="60"/>
      <c r="CE34" s="60"/>
      <c r="CF34" s="60"/>
    </row>
    <row r="35" spans="1:84" s="114" customFormat="1" ht="14.1" customHeight="1" x14ac:dyDescent="0.2">
      <c r="A35"/>
      <c r="B35"/>
      <c r="C35" s="763"/>
      <c r="D35" s="755"/>
      <c r="E35" s="755"/>
      <c r="F35" s="755"/>
      <c r="G35" s="755"/>
      <c r="H35" s="755"/>
      <c r="I35" s="755"/>
      <c r="J35" s="755"/>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c r="BK35" s="60"/>
      <c r="BL35" s="60"/>
      <c r="BM35" s="60"/>
      <c r="BN35" s="60"/>
      <c r="BO35" s="60"/>
      <c r="BP35" s="60"/>
      <c r="BQ35" s="60"/>
      <c r="BR35" s="60"/>
      <c r="BS35" s="60"/>
      <c r="BT35" s="60"/>
      <c r="BU35" s="60"/>
      <c r="BV35" s="60"/>
      <c r="BW35" s="60"/>
      <c r="BX35" s="60"/>
      <c r="BY35" s="60"/>
      <c r="BZ35" s="60"/>
      <c r="CA35" s="60"/>
      <c r="CB35" s="60"/>
      <c r="CC35" s="60"/>
      <c r="CD35" s="60"/>
      <c r="CE35" s="60"/>
      <c r="CF35" s="60"/>
    </row>
    <row r="36" spans="1:84" s="114" customFormat="1" ht="14.1" customHeight="1" x14ac:dyDescent="0.2">
      <c r="A36"/>
      <c r="B36"/>
      <c r="C36" s="550" t="s">
        <v>369</v>
      </c>
      <c r="D36" s="977"/>
      <c r="E36" s="977"/>
      <c r="F36" s="977"/>
      <c r="G36" s="977"/>
      <c r="H36" s="977"/>
      <c r="I36" s="977"/>
      <c r="J36" s="977"/>
      <c r="K36" s="130"/>
      <c r="L36" s="130"/>
      <c r="M36" s="130"/>
      <c r="N36" s="130"/>
      <c r="O36" s="130"/>
      <c r="P36" s="130"/>
      <c r="Q36" s="130"/>
      <c r="R36" s="704"/>
      <c r="S36" s="130"/>
      <c r="T36" s="130"/>
      <c r="U36" s="130"/>
      <c r="V36" s="130"/>
      <c r="W36" s="130"/>
      <c r="X36" s="130"/>
      <c r="Y36" s="130"/>
      <c r="Z36" s="130"/>
      <c r="AA36" s="217"/>
      <c r="AB36" s="130"/>
      <c r="AC36" s="704"/>
      <c r="AD36" s="130"/>
      <c r="AE36" s="130"/>
      <c r="AF36" s="130"/>
      <c r="AG36" s="130"/>
      <c r="AH36" s="130"/>
      <c r="AI36" s="130"/>
      <c r="AJ36" s="130"/>
      <c r="AK36" s="130"/>
      <c r="AL36" s="130"/>
      <c r="AM36" s="130"/>
      <c r="AN36" s="217"/>
    </row>
    <row r="37" spans="1:84" s="114" customFormat="1" ht="14.1" customHeight="1" x14ac:dyDescent="0.2">
      <c r="A37"/>
      <c r="B37"/>
      <c r="C37" s="978" t="str">
        <f>C10</f>
        <v>Revenue Growth %</v>
      </c>
      <c r="D37" s="755"/>
      <c r="E37" s="178">
        <f>E10</f>
        <v>0.17736560682222513</v>
      </c>
      <c r="F37" s="178">
        <f t="shared" ref="F37:O37" si="36">F10</f>
        <v>8.0349536142658717E-2</v>
      </c>
      <c r="G37" s="178">
        <f t="shared" si="36"/>
        <v>1.9941961174992473E-2</v>
      </c>
      <c r="H37" s="178">
        <f t="shared" si="36"/>
        <v>0.25589700422417905</v>
      </c>
      <c r="I37" s="178">
        <f t="shared" si="36"/>
        <v>0.21992927001482032</v>
      </c>
      <c r="J37" s="178">
        <f t="shared" si="36"/>
        <v>3.2010807802276275E-2</v>
      </c>
      <c r="K37" s="178">
        <f t="shared" si="36"/>
        <v>0.11371800393241971</v>
      </c>
      <c r="L37" s="178">
        <f t="shared" si="36"/>
        <v>0.11011397797145661</v>
      </c>
      <c r="M37" s="178">
        <f t="shared" si="36"/>
        <v>0.14839364532137833</v>
      </c>
      <c r="N37" s="178">
        <f t="shared" si="36"/>
        <v>8.8691950711687229E-2</v>
      </c>
      <c r="O37" s="178">
        <f t="shared" si="36"/>
        <v>7.953468556996679E-2</v>
      </c>
      <c r="R37" s="705">
        <f t="shared" ref="R37:AA37" si="37">R10</f>
        <v>9.4E-2</v>
      </c>
      <c r="S37" s="178">
        <f t="shared" si="37"/>
        <v>8.744444444444445E-2</v>
      </c>
      <c r="T37" s="178">
        <f t="shared" si="37"/>
        <v>8.0888888888888899E-2</v>
      </c>
      <c r="U37" s="178">
        <f t="shared" si="37"/>
        <v>7.4333333333333348E-2</v>
      </c>
      <c r="V37" s="178">
        <f t="shared" si="37"/>
        <v>6.7777777777777798E-2</v>
      </c>
      <c r="W37" s="178">
        <f t="shared" si="37"/>
        <v>6.122222222222224E-2</v>
      </c>
      <c r="X37" s="178">
        <f t="shared" si="37"/>
        <v>5.4666666666666683E-2</v>
      </c>
      <c r="Y37" s="178">
        <f t="shared" si="37"/>
        <v>4.8111111111111125E-2</v>
      </c>
      <c r="Z37" s="178">
        <f t="shared" si="37"/>
        <v>4.1555555555555568E-2</v>
      </c>
      <c r="AA37" s="699">
        <f t="shared" si="37"/>
        <v>3.5000000000000003E-2</v>
      </c>
      <c r="AC37" s="705">
        <f>AC10</f>
        <v>3.5000000000000003E-2</v>
      </c>
      <c r="AD37" s="178">
        <f t="shared" ref="AD37:AN37" si="38">AD10</f>
        <v>3.5000000000000003E-2</v>
      </c>
      <c r="AE37" s="178">
        <f t="shared" si="38"/>
        <v>3.5000000000000003E-2</v>
      </c>
      <c r="AF37" s="178">
        <f t="shared" si="38"/>
        <v>3.5000000000000003E-2</v>
      </c>
      <c r="AG37" s="178">
        <f t="shared" si="38"/>
        <v>3.5000000000000003E-2</v>
      </c>
      <c r="AH37" s="178">
        <f t="shared" si="38"/>
        <v>3.5000000000000003E-2</v>
      </c>
      <c r="AI37" s="178">
        <f t="shared" si="38"/>
        <v>3.5000000000000003E-2</v>
      </c>
      <c r="AJ37" s="178">
        <f t="shared" si="38"/>
        <v>3.5000000000000003E-2</v>
      </c>
      <c r="AK37" s="178">
        <f t="shared" si="38"/>
        <v>3.5000000000000003E-2</v>
      </c>
      <c r="AL37" s="178">
        <f t="shared" si="38"/>
        <v>3.5000000000000003E-2</v>
      </c>
      <c r="AM37" s="178">
        <f t="shared" si="38"/>
        <v>3.5000000000000003E-2</v>
      </c>
      <c r="AN37" s="699">
        <f t="shared" si="38"/>
        <v>3.5000000000000003E-2</v>
      </c>
    </row>
    <row r="38" spans="1:84" s="114" customFormat="1" ht="14.1" customHeight="1" x14ac:dyDescent="0.2">
      <c r="A38"/>
      <c r="B38"/>
      <c r="C38" s="978" t="str">
        <f>C12</f>
        <v>EBIT  Margin %</v>
      </c>
      <c r="D38" s="755"/>
      <c r="E38" s="178">
        <f>E12</f>
        <v>8.5362690306067926E-2</v>
      </c>
      <c r="F38" s="178">
        <f t="shared" ref="F38:O38" si="39">F12</f>
        <v>8.5399345733978477E-2</v>
      </c>
      <c r="G38" s="178">
        <f t="shared" si="39"/>
        <v>0.1020083742782735</v>
      </c>
      <c r="H38" s="178">
        <f t="shared" si="39"/>
        <v>0.14864172693367075</v>
      </c>
      <c r="I38" s="178">
        <f t="shared" si="39"/>
        <v>0.17043151303859472</v>
      </c>
      <c r="J38" s="178">
        <f t="shared" si="39"/>
        <v>0.16205959708242404</v>
      </c>
      <c r="K38" s="178">
        <f t="shared" si="39"/>
        <v>0.15411444456347134</v>
      </c>
      <c r="L38" s="178">
        <f t="shared" si="39"/>
        <v>0.1838960578592351</v>
      </c>
      <c r="M38" s="178">
        <f t="shared" si="39"/>
        <v>0.20315120345541482</v>
      </c>
      <c r="N38" s="178">
        <f t="shared" si="39"/>
        <v>0.21586176129142348</v>
      </c>
      <c r="O38" s="178">
        <f t="shared" si="39"/>
        <v>0.22764474511979579</v>
      </c>
      <c r="R38" s="705">
        <f t="shared" ref="R38:AA38" si="40">R12</f>
        <v>0.23400000000000001</v>
      </c>
      <c r="S38" s="178">
        <f t="shared" si="40"/>
        <v>0.22744444444444445</v>
      </c>
      <c r="T38" s="178">
        <f t="shared" si="40"/>
        <v>0.22088888888888888</v>
      </c>
      <c r="U38" s="178">
        <f t="shared" si="40"/>
        <v>0.21433333333333332</v>
      </c>
      <c r="V38" s="178">
        <f t="shared" si="40"/>
        <v>0.20777777777777776</v>
      </c>
      <c r="W38" s="178">
        <f t="shared" si="40"/>
        <v>0.20122222222222219</v>
      </c>
      <c r="X38" s="178">
        <f t="shared" si="40"/>
        <v>0.19466666666666663</v>
      </c>
      <c r="Y38" s="178">
        <f t="shared" si="40"/>
        <v>0.18811111111111106</v>
      </c>
      <c r="Z38" s="178">
        <f t="shared" si="40"/>
        <v>0.1815555555555555</v>
      </c>
      <c r="AA38" s="699">
        <f t="shared" si="40"/>
        <v>0.24399999999999999</v>
      </c>
      <c r="AC38" s="705">
        <f>AC12</f>
        <v>0.24399999999999999</v>
      </c>
      <c r="AD38" s="178">
        <f t="shared" ref="AD38:AN38" si="41">AD12</f>
        <v>0.24399999999999999</v>
      </c>
      <c r="AE38" s="178">
        <f t="shared" si="41"/>
        <v>0.24399999999999999</v>
      </c>
      <c r="AF38" s="178">
        <f t="shared" si="41"/>
        <v>0.24399999999999999</v>
      </c>
      <c r="AG38" s="178">
        <f t="shared" si="41"/>
        <v>0.24399999999999999</v>
      </c>
      <c r="AH38" s="178">
        <f t="shared" si="41"/>
        <v>0.24399999999999999</v>
      </c>
      <c r="AI38" s="178">
        <f t="shared" si="41"/>
        <v>0.24399999999999999</v>
      </c>
      <c r="AJ38" s="178">
        <f t="shared" si="41"/>
        <v>0.24399999999999999</v>
      </c>
      <c r="AK38" s="178">
        <f t="shared" si="41"/>
        <v>0.24399999999999999</v>
      </c>
      <c r="AL38" s="178">
        <f t="shared" si="41"/>
        <v>0.24399999999999999</v>
      </c>
      <c r="AM38" s="178">
        <f t="shared" si="41"/>
        <v>0.24399999999999999</v>
      </c>
      <c r="AN38" s="699">
        <f t="shared" si="41"/>
        <v>0.24399999999999999</v>
      </c>
    </row>
    <row r="39" spans="1:84" s="114" customFormat="1" ht="14.1" customHeight="1" x14ac:dyDescent="0.2">
      <c r="A39"/>
      <c r="B39"/>
      <c r="C39" s="978" t="str">
        <f>C13</f>
        <v>EBIT Tax Rate %</v>
      </c>
      <c r="D39" s="755"/>
      <c r="E39" s="178">
        <f>E13</f>
        <v>0.22772848779569638</v>
      </c>
      <c r="F39" s="178">
        <f t="shared" ref="F39:O39" si="42">F13</f>
        <v>0.22535323041242747</v>
      </c>
      <c r="G39" s="178">
        <f t="shared" si="42"/>
        <v>0.21660934603028675</v>
      </c>
      <c r="H39" s="178">
        <f t="shared" si="42"/>
        <v>0.23913074280873803</v>
      </c>
      <c r="I39" s="178">
        <f t="shared" si="42"/>
        <v>0.23649412830896319</v>
      </c>
      <c r="J39" s="178">
        <f t="shared" si="42"/>
        <v>0.23888222306542459</v>
      </c>
      <c r="K39" s="178">
        <f t="shared" si="42"/>
        <v>0.23888222306542459</v>
      </c>
      <c r="L39" s="178">
        <f t="shared" si="42"/>
        <v>0.23788222306542459</v>
      </c>
      <c r="M39" s="178">
        <f t="shared" si="42"/>
        <v>0.23788222306542459</v>
      </c>
      <c r="N39" s="178">
        <f t="shared" si="42"/>
        <v>0.23688222306542459</v>
      </c>
      <c r="O39" s="178">
        <f t="shared" si="42"/>
        <v>0.23688222306542459</v>
      </c>
      <c r="R39" s="705">
        <f t="shared" ref="R39:AA39" si="43">R13</f>
        <v>0.23538222306542458</v>
      </c>
      <c r="S39" s="178">
        <f t="shared" si="43"/>
        <v>0.22882666750986902</v>
      </c>
      <c r="T39" s="178">
        <f t="shared" si="43"/>
        <v>0.22227111195431346</v>
      </c>
      <c r="U39" s="178">
        <f t="shared" si="43"/>
        <v>0.21571555639875789</v>
      </c>
      <c r="V39" s="178">
        <f t="shared" si="43"/>
        <v>0.20916000084320233</v>
      </c>
      <c r="W39" s="178">
        <f t="shared" si="43"/>
        <v>0.20260444528764676</v>
      </c>
      <c r="X39" s="178">
        <f t="shared" si="43"/>
        <v>0.1960488897320912</v>
      </c>
      <c r="Y39" s="178">
        <f t="shared" si="43"/>
        <v>0.18949333417653563</v>
      </c>
      <c r="Z39" s="178">
        <f t="shared" si="43"/>
        <v>0.18293777862098007</v>
      </c>
      <c r="AA39" s="699">
        <f t="shared" si="43"/>
        <v>0.23288222306542458</v>
      </c>
      <c r="AC39" s="705">
        <f>AC13</f>
        <v>0.23288222306542458</v>
      </c>
      <c r="AD39" s="178">
        <f t="shared" ref="AD39:AN39" si="44">AD13</f>
        <v>0.23288222306542458</v>
      </c>
      <c r="AE39" s="178">
        <f t="shared" si="44"/>
        <v>0.23288222306542458</v>
      </c>
      <c r="AF39" s="178">
        <f t="shared" si="44"/>
        <v>0.23288222306542458</v>
      </c>
      <c r="AG39" s="178">
        <f t="shared" si="44"/>
        <v>0.23288222306542458</v>
      </c>
      <c r="AH39" s="178">
        <f t="shared" si="44"/>
        <v>0.23288222306542458</v>
      </c>
      <c r="AI39" s="178">
        <f t="shared" si="44"/>
        <v>0.23288222306542458</v>
      </c>
      <c r="AJ39" s="178">
        <f t="shared" si="44"/>
        <v>0.23288222306542458</v>
      </c>
      <c r="AK39" s="178">
        <f t="shared" si="44"/>
        <v>0.23288222306542458</v>
      </c>
      <c r="AL39" s="178">
        <f t="shared" si="44"/>
        <v>0.23288222306542458</v>
      </c>
      <c r="AM39" s="178">
        <f t="shared" si="44"/>
        <v>0.23288222306542458</v>
      </c>
      <c r="AN39" s="699">
        <f t="shared" si="44"/>
        <v>0.23288222306542458</v>
      </c>
    </row>
    <row r="40" spans="1:84" s="114" customFormat="1" ht="14.1" customHeight="1" x14ac:dyDescent="0.2">
      <c r="A40"/>
      <c r="B40"/>
      <c r="C40" s="978" t="str">
        <f>C18</f>
        <v>IC Turns (EOY)</v>
      </c>
      <c r="D40" s="755"/>
      <c r="E40" s="755">
        <f>E18</f>
        <v>2.0254626596238472</v>
      </c>
      <c r="F40" s="755">
        <f t="shared" ref="F40:O40" si="45">F18</f>
        <v>1.6909158703735425</v>
      </c>
      <c r="G40" s="755">
        <f t="shared" si="45"/>
        <v>1.623508890088607</v>
      </c>
      <c r="H40" s="755">
        <f t="shared" si="45"/>
        <v>1.7962975317139718</v>
      </c>
      <c r="I40" s="755">
        <f t="shared" si="45"/>
        <v>1.8054446754372064</v>
      </c>
      <c r="J40" s="755">
        <f t="shared" si="45"/>
        <v>1.6151657019729972</v>
      </c>
      <c r="K40" s="755">
        <f t="shared" si="45"/>
        <v>1.2321295306086515</v>
      </c>
      <c r="L40" s="755">
        <f t="shared" si="45"/>
        <v>1.1893571038432804</v>
      </c>
      <c r="M40" s="755">
        <f t="shared" si="45"/>
        <v>1.2180022407071889</v>
      </c>
      <c r="N40" s="755">
        <f t="shared" si="45"/>
        <v>1.2226993982108041</v>
      </c>
      <c r="O40" s="755">
        <f t="shared" si="45"/>
        <v>1.2420390745121181</v>
      </c>
      <c r="R40" s="984">
        <f t="shared" ref="R40:AA40" si="46">R18</f>
        <v>1.3920390745121181</v>
      </c>
      <c r="S40" s="755">
        <f t="shared" si="46"/>
        <v>1.4629236217885493</v>
      </c>
      <c r="T40" s="755">
        <f t="shared" si="46"/>
        <v>1.5338081690649805</v>
      </c>
      <c r="U40" s="755">
        <f t="shared" si="46"/>
        <v>1.6046927163414118</v>
      </c>
      <c r="V40" s="755">
        <f t="shared" si="46"/>
        <v>1.675577263617843</v>
      </c>
      <c r="W40" s="755">
        <f t="shared" si="46"/>
        <v>1.7464618108942742</v>
      </c>
      <c r="X40" s="755">
        <f t="shared" si="46"/>
        <v>1.8173463581707054</v>
      </c>
      <c r="Y40" s="755">
        <f t="shared" si="46"/>
        <v>1.8882309054471367</v>
      </c>
      <c r="Z40" s="755">
        <f t="shared" si="46"/>
        <v>1.9591154527235679</v>
      </c>
      <c r="AA40" s="995">
        <f t="shared" si="46"/>
        <v>2.0299999999999998</v>
      </c>
      <c r="AC40" s="984">
        <f>AC18</f>
        <v>2.0299999999999998</v>
      </c>
      <c r="AD40" s="1317">
        <f t="shared" ref="AD40:AN40" si="47">AD18</f>
        <v>2.0299999999999998</v>
      </c>
      <c r="AE40" s="1317">
        <f t="shared" si="47"/>
        <v>2.0299999999999998</v>
      </c>
      <c r="AF40" s="1317">
        <f t="shared" si="47"/>
        <v>2.0299999999999998</v>
      </c>
      <c r="AG40" s="1317">
        <f t="shared" si="47"/>
        <v>2.0299999999999998</v>
      </c>
      <c r="AH40" s="1317">
        <f t="shared" si="47"/>
        <v>2.0299999999999998</v>
      </c>
      <c r="AI40" s="1317">
        <f t="shared" si="47"/>
        <v>2.0299999999999998</v>
      </c>
      <c r="AJ40" s="1317">
        <f t="shared" si="47"/>
        <v>2.0299999999999998</v>
      </c>
      <c r="AK40" s="1317">
        <f t="shared" si="47"/>
        <v>2.0299999999999998</v>
      </c>
      <c r="AL40" s="1317">
        <f t="shared" si="47"/>
        <v>2.0299999999999998</v>
      </c>
      <c r="AM40" s="1317">
        <f t="shared" si="47"/>
        <v>2.0299999999999998</v>
      </c>
      <c r="AN40" s="1318">
        <f t="shared" si="47"/>
        <v>2.0299999999999998</v>
      </c>
    </row>
    <row r="41" spans="1:84" s="114" customFormat="1" ht="14.1" customHeight="1" x14ac:dyDescent="0.2">
      <c r="A41"/>
      <c r="B41"/>
      <c r="C41" s="979" t="str">
        <f>C20</f>
        <v>Share Based Compensation / Revenue (%)</v>
      </c>
      <c r="D41" s="980"/>
      <c r="E41" s="981">
        <f>E20</f>
        <v>0</v>
      </c>
      <c r="F41" s="981">
        <f t="shared" ref="F41:O41" si="48">F20</f>
        <v>0</v>
      </c>
      <c r="G41" s="981">
        <f t="shared" si="48"/>
        <v>0</v>
      </c>
      <c r="H41" s="981">
        <f t="shared" si="48"/>
        <v>0</v>
      </c>
      <c r="I41" s="981">
        <f t="shared" si="48"/>
        <v>0</v>
      </c>
      <c r="J41" s="981">
        <f t="shared" si="48"/>
        <v>0</v>
      </c>
      <c r="K41" s="981">
        <f t="shared" si="48"/>
        <v>0</v>
      </c>
      <c r="L41" s="981">
        <f t="shared" si="48"/>
        <v>0</v>
      </c>
      <c r="M41" s="981">
        <f t="shared" si="48"/>
        <v>0</v>
      </c>
      <c r="N41" s="981">
        <f t="shared" si="48"/>
        <v>0</v>
      </c>
      <c r="O41" s="981">
        <f t="shared" si="48"/>
        <v>0</v>
      </c>
      <c r="P41" s="203"/>
      <c r="Q41" s="203"/>
      <c r="R41" s="992">
        <f t="shared" ref="R41:AA41" si="49">R20</f>
        <v>0</v>
      </c>
      <c r="S41" s="981">
        <f t="shared" si="49"/>
        <v>0</v>
      </c>
      <c r="T41" s="981">
        <f t="shared" si="49"/>
        <v>0</v>
      </c>
      <c r="U41" s="981">
        <f t="shared" si="49"/>
        <v>0</v>
      </c>
      <c r="V41" s="981">
        <f t="shared" si="49"/>
        <v>0</v>
      </c>
      <c r="W41" s="981">
        <f t="shared" si="49"/>
        <v>0</v>
      </c>
      <c r="X41" s="981">
        <f t="shared" si="49"/>
        <v>0</v>
      </c>
      <c r="Y41" s="981">
        <f t="shared" si="49"/>
        <v>0</v>
      </c>
      <c r="Z41" s="981">
        <f t="shared" si="49"/>
        <v>0</v>
      </c>
      <c r="AA41" s="986">
        <f t="shared" si="49"/>
        <v>0</v>
      </c>
      <c r="AB41" s="203"/>
      <c r="AC41" s="992">
        <f>AC20</f>
        <v>0</v>
      </c>
      <c r="AD41" s="981">
        <f t="shared" ref="AD41:AN41" si="50">AD20</f>
        <v>0</v>
      </c>
      <c r="AE41" s="981">
        <f t="shared" si="50"/>
        <v>0</v>
      </c>
      <c r="AF41" s="981">
        <f t="shared" si="50"/>
        <v>0</v>
      </c>
      <c r="AG41" s="981">
        <f t="shared" si="50"/>
        <v>0</v>
      </c>
      <c r="AH41" s="981">
        <f t="shared" si="50"/>
        <v>0</v>
      </c>
      <c r="AI41" s="981">
        <f t="shared" si="50"/>
        <v>0</v>
      </c>
      <c r="AJ41" s="981">
        <f t="shared" si="50"/>
        <v>0</v>
      </c>
      <c r="AK41" s="981">
        <f t="shared" si="50"/>
        <v>0</v>
      </c>
      <c r="AL41" s="981">
        <f t="shared" si="50"/>
        <v>0</v>
      </c>
      <c r="AM41" s="981">
        <f t="shared" si="50"/>
        <v>0</v>
      </c>
      <c r="AN41" s="986">
        <f t="shared" si="50"/>
        <v>0</v>
      </c>
    </row>
    <row r="42" spans="1:84" s="114" customFormat="1" ht="14.1" customHeight="1" x14ac:dyDescent="0.2">
      <c r="A42"/>
      <c r="B42"/>
      <c r="C42" s="763"/>
      <c r="D42" s="755"/>
      <c r="E42" s="755"/>
      <c r="F42" s="755"/>
      <c r="G42" s="624"/>
      <c r="H42" s="624"/>
      <c r="I42" s="624"/>
      <c r="J42" s="624"/>
      <c r="K42" s="116"/>
      <c r="L42" s="116"/>
      <c r="M42" s="116"/>
      <c r="N42" s="116"/>
      <c r="O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row>
    <row r="43" spans="1:84" s="114" customFormat="1" ht="14.1" customHeight="1" x14ac:dyDescent="0.2">
      <c r="A43"/>
      <c r="B43"/>
      <c r="C43" s="982" t="str">
        <f>"Growth Rate:"</f>
        <v>Growth Rate:</v>
      </c>
      <c r="D43" s="977"/>
      <c r="E43" s="451"/>
      <c r="F43" s="983"/>
      <c r="G43" s="983"/>
      <c r="H43" s="983"/>
      <c r="I43" s="983"/>
      <c r="J43" s="983"/>
      <c r="K43" s="983"/>
      <c r="L43" s="983"/>
      <c r="M43" s="983"/>
      <c r="N43" s="983"/>
      <c r="O43" s="983"/>
      <c r="P43" s="130"/>
      <c r="Q43" s="130"/>
      <c r="R43" s="1444" t="str">
        <f>R8</f>
        <v>Decay Period</v>
      </c>
      <c r="S43" s="1445"/>
      <c r="T43" s="1445"/>
      <c r="U43" s="1445"/>
      <c r="V43" s="1445"/>
      <c r="W43" s="1445"/>
      <c r="X43" s="1445"/>
      <c r="Y43" s="1445"/>
      <c r="Z43" s="1445"/>
      <c r="AA43" s="1446"/>
      <c r="AB43" s="451"/>
      <c r="AC43" s="1432" t="str">
        <f>"Confirming Steady-State Long-Term Growth Rates @ "&amp;ROUND(AC44,3)*100&amp;"%"</f>
        <v>Confirming Steady-State Long-Term Growth Rates @ 3.5%</v>
      </c>
      <c r="AD43" s="1433"/>
      <c r="AE43" s="1433"/>
      <c r="AF43" s="1433"/>
      <c r="AG43" s="1433"/>
      <c r="AH43" s="1433"/>
      <c r="AI43" s="1433"/>
      <c r="AJ43" s="1433"/>
      <c r="AK43" s="1433"/>
      <c r="AL43" s="1433"/>
      <c r="AM43" s="1433"/>
      <c r="AN43" s="1434"/>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row>
    <row r="44" spans="1:84" s="114" customFormat="1" ht="14.1" customHeight="1" x14ac:dyDescent="0.2">
      <c r="A44"/>
      <c r="B44"/>
      <c r="C44" s="984" t="str">
        <f>"Revenue Growth Rate"</f>
        <v>Revenue Growth Rate</v>
      </c>
      <c r="D44" s="755"/>
      <c r="E44" s="160" t="str">
        <f>IFERROR(E9/D9-1,"NM")</f>
        <v>NM</v>
      </c>
      <c r="F44" s="160">
        <f t="shared" ref="F44:O44" si="51">IFERROR(F9/E9-1,"NM")</f>
        <v>8.0349536142658717E-2</v>
      </c>
      <c r="G44" s="160">
        <f t="shared" si="51"/>
        <v>1.9941961174992473E-2</v>
      </c>
      <c r="H44" s="160">
        <f t="shared" si="51"/>
        <v>0.25589700422417905</v>
      </c>
      <c r="I44" s="160">
        <f t="shared" si="51"/>
        <v>0.21992927001482032</v>
      </c>
      <c r="J44" s="160">
        <f t="shared" si="51"/>
        <v>3.2010807802276275E-2</v>
      </c>
      <c r="K44" s="160">
        <f t="shared" si="51"/>
        <v>0.11371800393241971</v>
      </c>
      <c r="L44" s="160">
        <f t="shared" si="51"/>
        <v>0.11011397797145661</v>
      </c>
      <c r="M44" s="160">
        <f t="shared" si="51"/>
        <v>0.14839364532137833</v>
      </c>
      <c r="N44" s="160">
        <f t="shared" si="51"/>
        <v>8.8691950711687229E-2</v>
      </c>
      <c r="O44" s="160">
        <f t="shared" si="51"/>
        <v>7.953468556996679E-2</v>
      </c>
      <c r="R44" s="601">
        <f>IFERROR(R9/O9-1,"NM")</f>
        <v>9.4000000000000083E-2</v>
      </c>
      <c r="S44" s="160">
        <f t="shared" ref="S44:AA44" si="52">IFERROR(S9/R9-1,"NM")</f>
        <v>8.7444444444444436E-2</v>
      </c>
      <c r="T44" s="178">
        <f t="shared" si="52"/>
        <v>8.088888888888901E-2</v>
      </c>
      <c r="U44" s="178">
        <f t="shared" si="52"/>
        <v>7.4333333333333362E-2</v>
      </c>
      <c r="V44" s="178">
        <f t="shared" si="52"/>
        <v>6.7777777777777715E-2</v>
      </c>
      <c r="W44" s="178">
        <f t="shared" si="52"/>
        <v>6.1222222222222289E-2</v>
      </c>
      <c r="X44" s="178">
        <f t="shared" si="52"/>
        <v>5.4666666666666641E-2</v>
      </c>
      <c r="Y44" s="178">
        <f t="shared" si="52"/>
        <v>4.8111111111111216E-2</v>
      </c>
      <c r="Z44" s="178">
        <f t="shared" si="52"/>
        <v>4.1555555555555568E-2</v>
      </c>
      <c r="AA44" s="699">
        <f t="shared" si="52"/>
        <v>3.499999999999992E-2</v>
      </c>
      <c r="AC44" s="705">
        <f>IFERROR(AC9/AA9-1,"NM")</f>
        <v>3.499999999999992E-2</v>
      </c>
      <c r="AD44" s="160">
        <f>IFERROR(AD9/AC9-1,"NM")</f>
        <v>3.499999999999992E-2</v>
      </c>
      <c r="AE44" s="160">
        <f t="shared" ref="AE44:AN44" si="53">IFERROR(AE9/AD9-1,"NM")</f>
        <v>3.499999999999992E-2</v>
      </c>
      <c r="AF44" s="160">
        <f t="shared" si="53"/>
        <v>3.499999999999992E-2</v>
      </c>
      <c r="AG44" s="160">
        <f t="shared" si="53"/>
        <v>3.499999999999992E-2</v>
      </c>
      <c r="AH44" s="160">
        <f t="shared" si="53"/>
        <v>3.499999999999992E-2</v>
      </c>
      <c r="AI44" s="160">
        <f t="shared" si="53"/>
        <v>3.499999999999992E-2</v>
      </c>
      <c r="AJ44" s="160">
        <f t="shared" si="53"/>
        <v>3.499999999999992E-2</v>
      </c>
      <c r="AK44" s="160">
        <f t="shared" si="53"/>
        <v>3.499999999999992E-2</v>
      </c>
      <c r="AL44" s="160">
        <f t="shared" si="53"/>
        <v>3.499999999999992E-2</v>
      </c>
      <c r="AM44" s="160">
        <f t="shared" si="53"/>
        <v>3.499999999999992E-2</v>
      </c>
      <c r="AN44" s="199">
        <f t="shared" si="53"/>
        <v>3.499999999999992E-2</v>
      </c>
    </row>
    <row r="45" spans="1:84" s="161" customFormat="1" ht="14.1" customHeight="1" x14ac:dyDescent="0.2">
      <c r="A45"/>
      <c r="B45"/>
      <c r="C45" s="984" t="str">
        <f>"EBIT Growth Rate"</f>
        <v>EBIT Growth Rate</v>
      </c>
      <c r="D45" s="756"/>
      <c r="E45" s="160" t="str">
        <f>IFERROR(E11/D11-1,"NM")</f>
        <v>NM</v>
      </c>
      <c r="F45" s="160">
        <f t="shared" ref="F45:O45" si="54">IFERROR(F11/E11-1,"NM")</f>
        <v>8.0813446949572931E-2</v>
      </c>
      <c r="G45" s="160">
        <f t="shared" si="54"/>
        <v>0.21830700719594298</v>
      </c>
      <c r="H45" s="160">
        <f t="shared" si="54"/>
        <v>0.83003308188655023</v>
      </c>
      <c r="I45" s="160">
        <f t="shared" si="54"/>
        <v>0.39876194644504515</v>
      </c>
      <c r="J45" s="160">
        <f t="shared" si="54"/>
        <v>-1.8683500983352475E-2</v>
      </c>
      <c r="K45" s="160">
        <f t="shared" si="54"/>
        <v>5.9116736474953635E-2</v>
      </c>
      <c r="L45" s="160">
        <f t="shared" si="54"/>
        <v>0.3246362785891117</v>
      </c>
      <c r="M45" s="160">
        <f t="shared" si="54"/>
        <v>0.2686381307106025</v>
      </c>
      <c r="N45" s="160">
        <f t="shared" si="54"/>
        <v>0.15680812117855325</v>
      </c>
      <c r="O45" s="160">
        <f t="shared" si="54"/>
        <v>0.13846193450066147</v>
      </c>
      <c r="P45" s="127"/>
      <c r="Q45" s="127"/>
      <c r="R45" s="601">
        <f>IFERROR(R11/O11-1,"NM")</f>
        <v>0.12454166190080374</v>
      </c>
      <c r="S45" s="160">
        <f t="shared" ref="S45:AA45" si="55">IFERROR(S11/R11-1,"NM")</f>
        <v>5.6979476627624592E-2</v>
      </c>
      <c r="T45" s="764">
        <f t="shared" si="55"/>
        <v>4.97347880366934E-2</v>
      </c>
      <c r="U45" s="764">
        <f t="shared" si="55"/>
        <v>4.2449195171025966E-2</v>
      </c>
      <c r="V45" s="764">
        <f t="shared" si="55"/>
        <v>3.5118944761246329E-2</v>
      </c>
      <c r="W45" s="764">
        <f t="shared" si="55"/>
        <v>2.773980986333946E-2</v>
      </c>
      <c r="X45" s="764">
        <f t="shared" si="55"/>
        <v>2.0307012700165661E-2</v>
      </c>
      <c r="Y45" s="764">
        <f t="shared" si="55"/>
        <v>1.2815131912734756E-2</v>
      </c>
      <c r="Z45" s="764">
        <f t="shared" si="55"/>
        <v>5.2579904180611869E-3</v>
      </c>
      <c r="AA45" s="993">
        <f t="shared" si="55"/>
        <v>0.39097919216646315</v>
      </c>
      <c r="AC45" s="991">
        <f>IFERROR(AC11/AA11-1,"NM")</f>
        <v>3.499999999999992E-2</v>
      </c>
      <c r="AD45" s="160">
        <f>IFERROR(AD11/AC11-1,"NM")</f>
        <v>3.4999999999999698E-2</v>
      </c>
      <c r="AE45" s="160">
        <f t="shared" ref="AE45:AN45" si="56">IFERROR(AE11/AD11-1,"NM")</f>
        <v>3.499999999999992E-2</v>
      </c>
      <c r="AF45" s="160">
        <f t="shared" si="56"/>
        <v>3.499999999999992E-2</v>
      </c>
      <c r="AG45" s="160">
        <f t="shared" si="56"/>
        <v>3.499999999999992E-2</v>
      </c>
      <c r="AH45" s="160">
        <f t="shared" si="56"/>
        <v>3.5000000000000142E-2</v>
      </c>
      <c r="AI45" s="160">
        <f t="shared" si="56"/>
        <v>3.4999999999999698E-2</v>
      </c>
      <c r="AJ45" s="160">
        <f t="shared" si="56"/>
        <v>3.499999999999992E-2</v>
      </c>
      <c r="AK45" s="160">
        <f t="shared" si="56"/>
        <v>3.499999999999992E-2</v>
      </c>
      <c r="AL45" s="160">
        <f t="shared" si="56"/>
        <v>3.499999999999992E-2</v>
      </c>
      <c r="AM45" s="160">
        <f t="shared" si="56"/>
        <v>3.499999999999992E-2</v>
      </c>
      <c r="AN45" s="199">
        <f t="shared" si="56"/>
        <v>3.5000000000000142E-2</v>
      </c>
    </row>
    <row r="46" spans="1:84" s="114" customFormat="1" ht="14.1" customHeight="1" x14ac:dyDescent="0.2">
      <c r="A46"/>
      <c r="B46"/>
      <c r="C46" s="984" t="str">
        <f>"Taxes on EBIT Margin Growth Rate"</f>
        <v>Taxes on EBIT Margin Growth Rate</v>
      </c>
      <c r="D46" s="755"/>
      <c r="E46" s="160" t="str">
        <f>IFERROR((E13*E11/D13*D11)-1,"NM")</f>
        <v>NM</v>
      </c>
      <c r="F46" s="160">
        <f>IFERROR(((F13*F11)/(E13*E11))-1,"NM")</f>
        <v>6.9540328927964579E-2</v>
      </c>
      <c r="G46" s="160">
        <f t="shared" ref="G46:O46" si="57">IFERROR(((G13*G11)/(F13*F11))-1,"NM")</f>
        <v>0.17103572737724559</v>
      </c>
      <c r="H46" s="160">
        <f t="shared" si="57"/>
        <v>1.0203060406031894</v>
      </c>
      <c r="I46" s="160">
        <f t="shared" si="57"/>
        <v>0.38333943745932264</v>
      </c>
      <c r="J46" s="160">
        <f t="shared" si="57"/>
        <v>-8.7742622107553903E-3</v>
      </c>
      <c r="K46" s="160">
        <f t="shared" si="57"/>
        <v>5.9116736474953635E-2</v>
      </c>
      <c r="L46" s="160">
        <f t="shared" si="57"/>
        <v>0.31909113478732132</v>
      </c>
      <c r="M46" s="160">
        <f t="shared" si="57"/>
        <v>0.2686381307106025</v>
      </c>
      <c r="N46" s="160">
        <f t="shared" si="57"/>
        <v>0.15194517637220506</v>
      </c>
      <c r="O46" s="160">
        <f t="shared" si="57"/>
        <v>0.13846193450066147</v>
      </c>
      <c r="R46" s="601">
        <f>IFERROR(((R13*R11)/(O13*O11))-1,"NM")</f>
        <v>0.11742077088997727</v>
      </c>
      <c r="S46" s="160">
        <f t="shared" ref="S46:AA46" si="58">IFERROR(((S13*S11)/(R13*R11))-1,"NM")</f>
        <v>2.7541876838329982E-2</v>
      </c>
      <c r="T46" s="178">
        <f t="shared" si="58"/>
        <v>1.9661393198318056E-2</v>
      </c>
      <c r="U46" s="178">
        <f t="shared" si="58"/>
        <v>1.1703708037311245E-2</v>
      </c>
      <c r="V46" s="178">
        <f t="shared" si="58"/>
        <v>3.6618729474422462E-3</v>
      </c>
      <c r="W46" s="178">
        <f t="shared" si="58"/>
        <v>-4.4719198797004145E-3</v>
      </c>
      <c r="X46" s="178">
        <f t="shared" si="58"/>
        <v>-1.2706474718546579E-2</v>
      </c>
      <c r="Y46" s="178">
        <f t="shared" si="58"/>
        <v>-2.1051756463090876E-2</v>
      </c>
      <c r="Z46" s="178">
        <f t="shared" si="58"/>
        <v>-2.9519088324520437E-2</v>
      </c>
      <c r="AA46" s="699">
        <f t="shared" si="58"/>
        <v>0.77073499498765741</v>
      </c>
      <c r="AC46" s="705">
        <f>IFERROR(((AC13*AC11)/(AA13*AA11))-1,"NM")</f>
        <v>3.499999999999992E-2</v>
      </c>
      <c r="AD46" s="160">
        <f>IFERROR(((AD13*AD11)/(AC13*AC11))-1,"NM")</f>
        <v>3.4999999999999698E-2</v>
      </c>
      <c r="AE46" s="160">
        <f t="shared" ref="AE46:AN46" si="59">IFERROR(((AE13*AE11)/(AD13*AD11))-1,"NM")</f>
        <v>3.499999999999992E-2</v>
      </c>
      <c r="AF46" s="160">
        <f t="shared" si="59"/>
        <v>3.499999999999992E-2</v>
      </c>
      <c r="AG46" s="160">
        <f t="shared" si="59"/>
        <v>3.499999999999992E-2</v>
      </c>
      <c r="AH46" s="160">
        <f t="shared" si="59"/>
        <v>3.5000000000000142E-2</v>
      </c>
      <c r="AI46" s="160">
        <f t="shared" si="59"/>
        <v>3.499999999999992E-2</v>
      </c>
      <c r="AJ46" s="160">
        <f t="shared" si="59"/>
        <v>3.499999999999992E-2</v>
      </c>
      <c r="AK46" s="160">
        <f t="shared" si="59"/>
        <v>3.499999999999992E-2</v>
      </c>
      <c r="AL46" s="160">
        <f t="shared" si="59"/>
        <v>3.5000000000000142E-2</v>
      </c>
      <c r="AM46" s="160">
        <f t="shared" si="59"/>
        <v>3.499999999999992E-2</v>
      </c>
      <c r="AN46" s="199">
        <f t="shared" si="59"/>
        <v>3.5000000000000142E-2</v>
      </c>
    </row>
    <row r="47" spans="1:84" s="114" customFormat="1" ht="14.1" customHeight="1" x14ac:dyDescent="0.2">
      <c r="A47"/>
      <c r="B47"/>
      <c r="C47" s="984" t="str">
        <f>"Invested Capital Growth Rate"</f>
        <v>Invested Capital Growth Rate</v>
      </c>
      <c r="D47" s="755"/>
      <c r="E47" s="160" t="str">
        <f>IFERROR(E16/D16-1,"NM")</f>
        <v>NM</v>
      </c>
      <c r="F47" s="160">
        <f t="shared" ref="F47:O47" si="60">IFERROR(F16/E16-1,"NM")</f>
        <v>0.29409610681310783</v>
      </c>
      <c r="G47" s="160">
        <f t="shared" si="60"/>
        <v>6.2289254798342242E-2</v>
      </c>
      <c r="H47" s="160">
        <f t="shared" si="60"/>
        <v>0.13509032629360163</v>
      </c>
      <c r="I47" s="160">
        <f t="shared" si="60"/>
        <v>0.21374859413102243</v>
      </c>
      <c r="J47" s="160">
        <f t="shared" si="60"/>
        <v>0.15358963830413241</v>
      </c>
      <c r="K47" s="160">
        <f t="shared" si="60"/>
        <v>0.45994319341804557</v>
      </c>
      <c r="L47" s="160">
        <f t="shared" si="60"/>
        <v>0.15003661236827925</v>
      </c>
      <c r="M47" s="160">
        <f t="shared" si="60"/>
        <v>0.12138557255726434</v>
      </c>
      <c r="N47" s="160">
        <f t="shared" si="60"/>
        <v>8.4509600108674032E-2</v>
      </c>
      <c r="O47" s="160">
        <f t="shared" si="60"/>
        <v>6.2725350176742412E-2</v>
      </c>
      <c r="R47" s="601">
        <f>IFERROR(R16/O16-1,"NM")</f>
        <v>-2.3884621922350524E-2</v>
      </c>
      <c r="S47" s="160">
        <f t="shared" ref="S47:AA47" si="61">IFERROR(S16/R16-1,"NM")</f>
        <v>3.4753377060848356E-2</v>
      </c>
      <c r="T47" s="178">
        <f t="shared" si="61"/>
        <v>3.0935888839527692E-2</v>
      </c>
      <c r="U47" s="178">
        <f t="shared" si="61"/>
        <v>2.6876501765643823E-2</v>
      </c>
      <c r="V47" s="178">
        <f t="shared" si="61"/>
        <v>2.2605916107736546E-2</v>
      </c>
      <c r="W47" s="178">
        <f t="shared" si="61"/>
        <v>1.8149847943742081E-2</v>
      </c>
      <c r="X47" s="178">
        <f t="shared" si="61"/>
        <v>1.3530001188402752E-2</v>
      </c>
      <c r="Y47" s="178">
        <f t="shared" si="61"/>
        <v>8.7648206801136386E-3</v>
      </c>
      <c r="Z47" s="178">
        <f t="shared" si="61"/>
        <v>3.8700817790262576E-3</v>
      </c>
      <c r="AA47" s="699">
        <f t="shared" si="61"/>
        <v>-1.1406435621216238E-3</v>
      </c>
      <c r="AC47" s="705">
        <f>IFERROR(AC16/AA16-1,"NM")</f>
        <v>3.499999999999992E-2</v>
      </c>
      <c r="AD47" s="160">
        <f>IFERROR(AD16/AC16-1,"NM")</f>
        <v>3.499999999999992E-2</v>
      </c>
      <c r="AE47" s="160">
        <f t="shared" ref="AE47:AN47" si="62">IFERROR(AE16/AD16-1,"NM")</f>
        <v>3.499999999999992E-2</v>
      </c>
      <c r="AF47" s="160">
        <f t="shared" si="62"/>
        <v>3.4999999999999698E-2</v>
      </c>
      <c r="AG47" s="160">
        <f t="shared" si="62"/>
        <v>3.5000000000000142E-2</v>
      </c>
      <c r="AH47" s="160">
        <f t="shared" si="62"/>
        <v>3.499999999999992E-2</v>
      </c>
      <c r="AI47" s="160">
        <f t="shared" si="62"/>
        <v>3.499999999999992E-2</v>
      </c>
      <c r="AJ47" s="160">
        <f t="shared" si="62"/>
        <v>3.4999999999999698E-2</v>
      </c>
      <c r="AK47" s="160">
        <f t="shared" si="62"/>
        <v>3.5000000000000142E-2</v>
      </c>
      <c r="AL47" s="160">
        <f t="shared" si="62"/>
        <v>3.499999999999992E-2</v>
      </c>
      <c r="AM47" s="160">
        <f t="shared" si="62"/>
        <v>3.499999999999992E-2</v>
      </c>
      <c r="AN47" s="199">
        <f t="shared" si="62"/>
        <v>3.5000000000000142E-2</v>
      </c>
    </row>
    <row r="48" spans="1:84" s="114" customFormat="1" ht="14.1" customHeight="1" x14ac:dyDescent="0.2">
      <c r="A48"/>
      <c r="B48"/>
      <c r="C48" s="984" t="str">
        <f>"Change in Invested Capital Growth Rate"</f>
        <v>Change in Invested Capital Growth Rate</v>
      </c>
      <c r="D48" s="755"/>
      <c r="E48" s="160" t="str">
        <f>IFERROR(E17/D17-1,"NM")</f>
        <v>NM</v>
      </c>
      <c r="F48" s="160">
        <f t="shared" ref="F48:O48" si="63">IFERROR(F17/E17-1,"NM")</f>
        <v>1.2688989880856765</v>
      </c>
      <c r="G48" s="160">
        <f t="shared" si="63"/>
        <v>-0.72591176740041163</v>
      </c>
      <c r="H48" s="160">
        <f t="shared" si="63"/>
        <v>1.3038484328233459</v>
      </c>
      <c r="I48" s="160">
        <f t="shared" si="63"/>
        <v>0.79601284646887671</v>
      </c>
      <c r="J48" s="160">
        <f t="shared" si="63"/>
        <v>-0.12785762019813429</v>
      </c>
      <c r="K48" s="160">
        <f t="shared" si="63"/>
        <v>2.4545670397694725</v>
      </c>
      <c r="L48" s="160">
        <f>IFERROR(L17/K17-1,"NM")</f>
        <v>-0.52375655488507356</v>
      </c>
      <c r="M48" s="160">
        <f t="shared" si="63"/>
        <v>-6.9574749451926876E-2</v>
      </c>
      <c r="N48" s="160">
        <f t="shared" si="63"/>
        <v>-0.21928245418339465</v>
      </c>
      <c r="O48" s="160">
        <f t="shared" si="63"/>
        <v>-0.19504713843897103</v>
      </c>
      <c r="R48" s="601">
        <f>IFERROR(R17/O17-1,"NM")</f>
        <v>-1.4046656276090519</v>
      </c>
      <c r="S48" s="160">
        <f t="shared" ref="S48:AA48" si="64">IFERROR(S17/R17-1,"NM")</f>
        <v>-2.420299048463515</v>
      </c>
      <c r="T48" s="178">
        <f t="shared" si="64"/>
        <v>-7.8909212390113725E-2</v>
      </c>
      <c r="U48" s="178">
        <f t="shared" si="64"/>
        <v>-0.10434284334323496</v>
      </c>
      <c r="V48" s="178">
        <f t="shared" si="64"/>
        <v>-0.13629071765605161</v>
      </c>
      <c r="W48" s="178">
        <f t="shared" si="64"/>
        <v>-0.17896970884649821</v>
      </c>
      <c r="X48" s="178">
        <f t="shared" si="64"/>
        <v>-0.2410091425917128</v>
      </c>
      <c r="Y48" s="178">
        <f t="shared" si="64"/>
        <v>-0.3434288297072623</v>
      </c>
      <c r="Z48" s="178">
        <f t="shared" si="64"/>
        <v>-0.5545827468330824</v>
      </c>
      <c r="AA48" s="699">
        <f t="shared" si="64"/>
        <v>-1.2958743539202122</v>
      </c>
      <c r="AC48" s="705">
        <f>IFERROR(AC17/AA17-1,"NM")</f>
        <v>-31.64943215941906</v>
      </c>
      <c r="AD48" s="160">
        <f>IFERROR(AD17/AC17-1,"NM")</f>
        <v>3.4999999999997922E-2</v>
      </c>
      <c r="AE48" s="160">
        <f t="shared" ref="AE48:AN48" si="65">IFERROR(AE17/AD17-1,"NM")</f>
        <v>3.5000000000002363E-2</v>
      </c>
      <c r="AF48" s="160">
        <f t="shared" si="65"/>
        <v>3.4999999999995479E-2</v>
      </c>
      <c r="AG48" s="160">
        <f t="shared" si="65"/>
        <v>3.5000000000008136E-2</v>
      </c>
      <c r="AH48" s="160">
        <f t="shared" si="65"/>
        <v>3.4999999999997033E-2</v>
      </c>
      <c r="AI48" s="160">
        <f t="shared" si="65"/>
        <v>3.4999999999999698E-2</v>
      </c>
      <c r="AJ48" s="160">
        <f t="shared" si="65"/>
        <v>3.4999999999994369E-2</v>
      </c>
      <c r="AK48" s="160">
        <f t="shared" si="65"/>
        <v>3.5000000000008802E-2</v>
      </c>
      <c r="AL48" s="160">
        <f t="shared" si="65"/>
        <v>3.4999999999995701E-2</v>
      </c>
      <c r="AM48" s="160">
        <f t="shared" si="65"/>
        <v>3.49999999999977E-2</v>
      </c>
      <c r="AN48" s="199">
        <f t="shared" si="65"/>
        <v>3.500000000000747E-2</v>
      </c>
    </row>
    <row r="49" spans="1:78" s="114" customFormat="1" ht="14.1" customHeight="1" x14ac:dyDescent="0.2">
      <c r="A49"/>
      <c r="B49"/>
      <c r="C49" s="985" t="str">
        <f>"FCF Growth Rate"</f>
        <v>FCF Growth Rate</v>
      </c>
      <c r="D49" s="980"/>
      <c r="E49" s="730" t="str">
        <f>IFERROR(E21/D21-1,"NM")</f>
        <v>NM</v>
      </c>
      <c r="F49" s="730">
        <f t="shared" ref="F49:O49" si="66">IFERROR(F21/E21-1,"NM")</f>
        <v>-39.249276535904173</v>
      </c>
      <c r="G49" s="730">
        <f t="shared" si="66"/>
        <v>-1.654519661546717</v>
      </c>
      <c r="H49" s="730">
        <f t="shared" si="66"/>
        <v>0.34328400071117082</v>
      </c>
      <c r="I49" s="730">
        <f t="shared" si="66"/>
        <v>-0.15141233235634366</v>
      </c>
      <c r="J49" s="730">
        <f t="shared" si="66"/>
        <v>0.29587898907926902</v>
      </c>
      <c r="K49" s="730">
        <f t="shared" si="66"/>
        <v>-4.7670164689968502</v>
      </c>
      <c r="L49" s="730">
        <f t="shared" si="66"/>
        <v>-1.2443305249141832</v>
      </c>
      <c r="M49" s="730">
        <f t="shared" si="66"/>
        <v>1.4866448146588573</v>
      </c>
      <c r="N49" s="730">
        <f t="shared" si="66"/>
        <v>0.66715163646176689</v>
      </c>
      <c r="O49" s="730">
        <f t="shared" si="66"/>
        <v>0.34891427034051947</v>
      </c>
      <c r="P49" s="203"/>
      <c r="Q49" s="203"/>
      <c r="R49" s="734">
        <f>IFERROR(R21/O21-1,"NM")</f>
        <v>0.70342009713092479</v>
      </c>
      <c r="S49" s="730">
        <f t="shared" ref="S49:AA49" si="67">IFERROR(S21/R21-1,"NM")</f>
        <v>-0.15637505966624554</v>
      </c>
      <c r="T49" s="981">
        <f t="shared" si="67"/>
        <v>7.9376577718127894E-2</v>
      </c>
      <c r="U49" s="981">
        <f t="shared" si="67"/>
        <v>7.1230921047368279E-2</v>
      </c>
      <c r="V49" s="981">
        <f t="shared" si="67"/>
        <v>6.3119623554992899E-2</v>
      </c>
      <c r="W49" s="981">
        <f t="shared" si="67"/>
        <v>5.5048436944538759E-2</v>
      </c>
      <c r="X49" s="981">
        <f t="shared" si="67"/>
        <v>4.701769849424875E-2</v>
      </c>
      <c r="Y49" s="981">
        <f t="shared" si="67"/>
        <v>3.9024472308625491E-2</v>
      </c>
      <c r="Z49" s="981">
        <f t="shared" si="67"/>
        <v>3.1063866774168503E-2</v>
      </c>
      <c r="AA49" s="986">
        <f t="shared" si="67"/>
        <v>0.3274874312166085</v>
      </c>
      <c r="AB49" s="203"/>
      <c r="AC49" s="992">
        <f>IFERROR(AC21/AA21-1,"NM")</f>
        <v>-5.993806395189516E-2</v>
      </c>
      <c r="AD49" s="730">
        <f>IFERROR(AD21/AC21-1,"NM")</f>
        <v>3.499999999999992E-2</v>
      </c>
      <c r="AE49" s="730">
        <f t="shared" ref="AE49:AN49" si="68">IFERROR(AE21/AD21-1,"NM")</f>
        <v>3.4999999999999476E-2</v>
      </c>
      <c r="AF49" s="730">
        <f t="shared" si="68"/>
        <v>3.5000000000000364E-2</v>
      </c>
      <c r="AG49" s="730">
        <f t="shared" si="68"/>
        <v>3.4999999999999032E-2</v>
      </c>
      <c r="AH49" s="730">
        <f t="shared" si="68"/>
        <v>3.5000000000000142E-2</v>
      </c>
      <c r="AI49" s="730">
        <f t="shared" si="68"/>
        <v>3.499999999999992E-2</v>
      </c>
      <c r="AJ49" s="730">
        <f t="shared" si="68"/>
        <v>3.5000000000000364E-2</v>
      </c>
      <c r="AK49" s="730">
        <f t="shared" si="68"/>
        <v>3.4999999999999032E-2</v>
      </c>
      <c r="AL49" s="730">
        <f t="shared" si="68"/>
        <v>3.5000000000000364E-2</v>
      </c>
      <c r="AM49" s="730">
        <f t="shared" si="68"/>
        <v>3.5000000000000142E-2</v>
      </c>
      <c r="AN49" s="732">
        <f t="shared" si="68"/>
        <v>3.4999999999999476E-2</v>
      </c>
    </row>
    <row r="50" spans="1:78" s="114" customFormat="1" ht="14.1" customHeight="1" x14ac:dyDescent="0.2">
      <c r="A50"/>
      <c r="B50"/>
      <c r="C50" s="755"/>
      <c r="D50" s="755"/>
      <c r="E50" s="755"/>
      <c r="F50" s="755"/>
      <c r="G50" s="755"/>
      <c r="H50" s="755"/>
      <c r="I50" s="755"/>
      <c r="J50" s="755"/>
      <c r="O50" s="1432" t="s">
        <v>568</v>
      </c>
      <c r="P50" s="1433"/>
      <c r="Q50" s="1433"/>
      <c r="R50" s="1433"/>
      <c r="S50" s="1434"/>
    </row>
    <row r="51" spans="1:78" s="114" customFormat="1" ht="14.1" customHeight="1" x14ac:dyDescent="0.2">
      <c r="A51"/>
      <c r="B51"/>
      <c r="C51" s="755"/>
      <c r="D51" s="755"/>
      <c r="E51" s="755"/>
      <c r="F51" s="755"/>
      <c r="G51" s="755"/>
      <c r="H51" s="755"/>
      <c r="I51" s="755"/>
      <c r="J51" s="755"/>
      <c r="O51" s="1142"/>
      <c r="P51" s="438"/>
      <c r="Q51" s="438"/>
      <c r="R51" s="1140" t="s">
        <v>569</v>
      </c>
      <c r="S51" s="1141" t="s">
        <v>570</v>
      </c>
    </row>
    <row r="52" spans="1:78" ht="14.1" customHeight="1" x14ac:dyDescent="0.2">
      <c r="O52" s="210" t="str">
        <f>'Revenue Build'!C46</f>
        <v>Reversed</v>
      </c>
      <c r="R52" s="1306">
        <v>7.8519718069157612E-2</v>
      </c>
      <c r="S52" s="1307">
        <v>3.5000000000000003E-2</v>
      </c>
    </row>
    <row r="53" spans="1:78" ht="14.1" customHeight="1" x14ac:dyDescent="0.2">
      <c r="O53" s="210" t="str">
        <f>'Revenue Build'!C47</f>
        <v>Base</v>
      </c>
      <c r="R53" s="1306">
        <v>9.4E-2</v>
      </c>
      <c r="S53" s="1307">
        <v>3.5000000000000003E-2</v>
      </c>
    </row>
    <row r="54" spans="1:78" ht="14.1" customHeight="1" x14ac:dyDescent="0.2">
      <c r="O54" s="210" t="str">
        <f>'Revenue Build'!C48</f>
        <v>Bull</v>
      </c>
      <c r="R54" s="1306">
        <v>9.6299999999999997E-2</v>
      </c>
      <c r="S54" s="1307">
        <v>3.5000000000000003E-2</v>
      </c>
    </row>
    <row r="55" spans="1:78" ht="14.1" customHeight="1" x14ac:dyDescent="0.2">
      <c r="O55" s="210" t="str">
        <f>'Revenue Build'!C49</f>
        <v>Bear</v>
      </c>
      <c r="R55" s="1306">
        <v>7.6999999999999999E-2</v>
      </c>
      <c r="S55" s="1307">
        <v>3.3500000000000002E-2</v>
      </c>
    </row>
    <row r="56" spans="1:78" ht="14.1" customHeight="1" x14ac:dyDescent="0.2">
      <c r="O56" s="1451" t="s">
        <v>571</v>
      </c>
      <c r="P56" s="1452"/>
      <c r="Q56" s="1452"/>
      <c r="R56" s="1452"/>
      <c r="S56" s="1453"/>
    </row>
    <row r="57" spans="1:78" s="114" customFormat="1" ht="14.1" customHeight="1" x14ac:dyDescent="0.25">
      <c r="A57"/>
      <c r="B57"/>
      <c r="C57" s="774"/>
      <c r="D57" s="775"/>
      <c r="E57" s="775"/>
      <c r="F57" s="775"/>
      <c r="G57" s="775"/>
      <c r="H57" s="775"/>
      <c r="I57" s="775"/>
      <c r="J57" s="775"/>
      <c r="K57" s="775"/>
      <c r="L57" s="775"/>
      <c r="M57" s="775"/>
      <c r="N57" s="776"/>
      <c r="O57" s="1142"/>
      <c r="P57" s="438"/>
      <c r="Q57" s="438"/>
      <c r="R57" s="1140" t="s">
        <v>569</v>
      </c>
      <c r="S57" s="1141" t="s">
        <v>570</v>
      </c>
      <c r="T57" s="1089"/>
      <c r="U57" s="1089"/>
      <c r="V57" s="1089"/>
      <c r="W57" s="1089"/>
      <c r="X57" s="1089"/>
      <c r="Y57" s="1089"/>
      <c r="Z57" s="1089"/>
      <c r="AA57" s="1089"/>
      <c r="AB57" s="1089"/>
      <c r="AC57" s="1089"/>
      <c r="AD57" s="1089"/>
      <c r="AE57" s="1089"/>
      <c r="AF57" s="1089"/>
      <c r="AG57" s="1089"/>
      <c r="AH57" s="1089"/>
      <c r="AI57" s="1089"/>
      <c r="AJ57" s="1089"/>
      <c r="AK57" s="1089"/>
      <c r="AL57" s="1089"/>
      <c r="AM57" s="1089"/>
      <c r="AN57" s="1089"/>
      <c r="AO57" s="1089"/>
      <c r="AP57" s="1089"/>
      <c r="AQ57" s="1089"/>
      <c r="AR57" s="1089"/>
      <c r="AS57" s="1089"/>
      <c r="AT57" s="1089"/>
      <c r="AU57" s="1089"/>
      <c r="AV57" s="1089"/>
      <c r="AW57" s="1089"/>
      <c r="AX57" s="1089"/>
      <c r="AY57" s="1089"/>
      <c r="AZ57" s="1089"/>
      <c r="BA57" s="186"/>
      <c r="BB57" s="149"/>
      <c r="BC57" s="149"/>
      <c r="BD57" s="149"/>
      <c r="BE57" s="149"/>
      <c r="BF57" s="149"/>
      <c r="BG57" s="149"/>
      <c r="BH57" s="149"/>
      <c r="BI57" s="149"/>
      <c r="BJ57" s="149"/>
      <c r="BK57" s="149"/>
      <c r="BL57" s="149"/>
      <c r="BM57" s="149"/>
      <c r="BN57" s="149"/>
      <c r="BO57" s="149"/>
      <c r="BP57" s="149"/>
      <c r="BQ57" s="149"/>
      <c r="BR57" s="149"/>
      <c r="BS57" s="149"/>
      <c r="BT57" s="149"/>
      <c r="BU57" s="149"/>
      <c r="BV57" s="149"/>
      <c r="BW57" s="149"/>
      <c r="BX57" s="149"/>
      <c r="BY57" s="149"/>
      <c r="BZ57" s="149"/>
    </row>
    <row r="58" spans="1:78" s="114" customFormat="1" ht="14.1" customHeight="1" x14ac:dyDescent="0.2">
      <c r="A58"/>
      <c r="B58"/>
      <c r="C58" s="775"/>
      <c r="D58" s="775"/>
      <c r="E58" s="775"/>
      <c r="F58" s="775"/>
      <c r="G58" s="775"/>
      <c r="H58" s="775"/>
      <c r="I58" s="775"/>
      <c r="J58" s="775"/>
      <c r="K58" s="775"/>
      <c r="L58" s="775"/>
      <c r="M58" s="775"/>
      <c r="N58" s="776"/>
      <c r="O58" s="700" t="str">
        <f>O52</f>
        <v>Reversed</v>
      </c>
      <c r="R58" s="1308">
        <v>0.22072528616907688</v>
      </c>
      <c r="S58" s="1309">
        <v>0.23361076289095187</v>
      </c>
      <c r="T58" s="1092"/>
      <c r="U58" s="1092"/>
      <c r="V58" s="1092"/>
      <c r="W58" s="1092"/>
      <c r="X58" s="168"/>
      <c r="Y58" s="168"/>
      <c r="Z58" s="168"/>
      <c r="AA58" s="168"/>
      <c r="AB58" s="168"/>
      <c r="AC58" s="168"/>
      <c r="AD58" s="168"/>
      <c r="AE58" s="168"/>
      <c r="AF58" s="168"/>
      <c r="AG58" s="168"/>
      <c r="AH58" s="168"/>
      <c r="AI58" s="168"/>
      <c r="AJ58" s="168"/>
      <c r="AK58" s="168"/>
      <c r="AL58" s="168"/>
      <c r="AM58" s="168"/>
      <c r="AN58" s="168"/>
      <c r="AO58" s="168"/>
      <c r="AP58" s="168"/>
      <c r="AQ58" s="168"/>
      <c r="AR58" s="168"/>
      <c r="AS58" s="168"/>
      <c r="AT58" s="168"/>
      <c r="AU58" s="168"/>
      <c r="AV58" s="168"/>
      <c r="AW58" s="168"/>
      <c r="AX58" s="168"/>
      <c r="AY58" s="168"/>
      <c r="AZ58" s="168"/>
      <c r="BA58" s="168"/>
      <c r="BB58" s="94"/>
      <c r="BC58" s="94"/>
      <c r="BD58" s="94"/>
      <c r="BE58" s="94"/>
      <c r="BF58" s="94"/>
      <c r="BG58" s="94"/>
      <c r="BH58" s="94"/>
      <c r="BI58" s="94"/>
      <c r="BJ58" s="94"/>
      <c r="BK58" s="94"/>
      <c r="BL58" s="94"/>
      <c r="BM58" s="94"/>
      <c r="BN58" s="94"/>
      <c r="BO58" s="94"/>
      <c r="BP58" s="94"/>
      <c r="BQ58" s="94"/>
      <c r="BR58" s="94"/>
      <c r="BS58" s="94"/>
      <c r="BT58" s="94"/>
      <c r="BU58" s="94"/>
      <c r="BV58" s="94"/>
      <c r="BW58" s="94"/>
      <c r="BX58" s="94"/>
      <c r="BY58" s="94"/>
      <c r="BZ58" s="94"/>
    </row>
    <row r="59" spans="1:78" s="114" customFormat="1" ht="14.1" customHeight="1" x14ac:dyDescent="0.2">
      <c r="A59"/>
      <c r="B59"/>
      <c r="C59" s="777"/>
      <c r="D59" s="775"/>
      <c r="E59" s="775"/>
      <c r="F59" s="775"/>
      <c r="G59" s="775"/>
      <c r="H59" s="775"/>
      <c r="I59" s="775"/>
      <c r="J59" s="775"/>
      <c r="K59" s="775"/>
      <c r="L59" s="775"/>
      <c r="M59" s="775"/>
      <c r="N59" s="776"/>
      <c r="O59" s="700" t="str">
        <f>O53</f>
        <v>Base</v>
      </c>
      <c r="R59" s="1308">
        <v>0.23400000000000001</v>
      </c>
      <c r="S59" s="1309">
        <v>0.24399999999999999</v>
      </c>
      <c r="T59" s="1092"/>
      <c r="U59" s="1092"/>
      <c r="V59" s="1092"/>
      <c r="W59" s="1092"/>
      <c r="X59" s="1089"/>
      <c r="Y59" s="1089"/>
      <c r="Z59" s="1089"/>
      <c r="AA59" s="1089"/>
      <c r="AB59" s="1089"/>
      <c r="AC59" s="1089"/>
      <c r="AD59" s="1089"/>
      <c r="AE59" s="1089"/>
      <c r="AF59" s="1089"/>
      <c r="AG59" s="1089"/>
      <c r="AH59" s="1089"/>
      <c r="AI59" s="1089"/>
      <c r="AJ59" s="1089"/>
      <c r="AK59" s="1089"/>
      <c r="AL59" s="1089"/>
      <c r="AM59" s="1089"/>
      <c r="AN59" s="1089"/>
      <c r="AO59" s="1089"/>
      <c r="AP59" s="1089"/>
      <c r="AQ59" s="1089"/>
      <c r="AR59" s="1089"/>
      <c r="AS59" s="1089"/>
      <c r="AT59" s="1089"/>
      <c r="AU59" s="1089"/>
      <c r="AV59" s="1089"/>
      <c r="AW59" s="1089"/>
      <c r="AX59" s="1089"/>
      <c r="AY59" s="1089"/>
      <c r="AZ59" s="1089"/>
      <c r="BA59" s="1089"/>
      <c r="BB59" s="94"/>
      <c r="BC59" s="94"/>
      <c r="BD59" s="94"/>
      <c r="BE59" s="94"/>
      <c r="BF59" s="94"/>
      <c r="BG59" s="94"/>
      <c r="BH59" s="94"/>
      <c r="BI59" s="94"/>
      <c r="BJ59" s="94"/>
      <c r="BK59" s="94"/>
      <c r="BL59" s="94"/>
      <c r="BM59" s="94"/>
      <c r="BN59" s="94"/>
      <c r="BO59" s="94"/>
      <c r="BP59" s="94"/>
      <c r="BQ59" s="94"/>
      <c r="BR59" s="94"/>
      <c r="BS59" s="94"/>
      <c r="BT59" s="94"/>
      <c r="BU59" s="94"/>
      <c r="BV59" s="94"/>
      <c r="BW59" s="94"/>
      <c r="BX59" s="94"/>
      <c r="BY59" s="94"/>
      <c r="BZ59" s="94"/>
    </row>
    <row r="60" spans="1:78" s="114" customFormat="1" ht="14.1" customHeight="1" x14ac:dyDescent="0.2">
      <c r="A60"/>
      <c r="B60"/>
      <c r="C60" s="778"/>
      <c r="D60" s="779"/>
      <c r="E60" s="779"/>
      <c r="F60" s="779"/>
      <c r="G60" s="779"/>
      <c r="H60" s="779"/>
      <c r="I60" s="779"/>
      <c r="J60" s="779"/>
      <c r="K60" s="780"/>
      <c r="L60" s="781"/>
      <c r="M60" s="781"/>
      <c r="N60" s="781"/>
      <c r="O60" s="700" t="str">
        <f>O54</f>
        <v>Bull</v>
      </c>
      <c r="R60" s="1308">
        <v>0.23400000000000001</v>
      </c>
      <c r="S60" s="1309">
        <v>0.247</v>
      </c>
      <c r="T60" s="1092"/>
      <c r="U60" s="1091"/>
      <c r="V60" s="1091"/>
      <c r="W60" s="1091"/>
      <c r="X60" s="1435"/>
      <c r="Y60" s="1435"/>
      <c r="Z60" s="1435"/>
      <c r="AA60" s="1435"/>
      <c r="AB60" s="1435"/>
      <c r="AC60" s="1435"/>
      <c r="AD60" s="1435"/>
      <c r="AE60" s="1435"/>
      <c r="AF60" s="1435"/>
      <c r="AG60" s="1435"/>
      <c r="AH60" s="1435"/>
      <c r="AI60" s="1435"/>
      <c r="AJ60" s="1435"/>
      <c r="AK60" s="1435"/>
      <c r="AL60" s="1435"/>
      <c r="AM60" s="1435"/>
      <c r="AN60" s="1435"/>
      <c r="AO60" s="1435"/>
      <c r="AP60" s="1435"/>
      <c r="AQ60" s="1435"/>
      <c r="AR60" s="1435"/>
      <c r="AS60" s="1435"/>
      <c r="AT60" s="1435"/>
      <c r="AU60" s="1435"/>
      <c r="AV60" s="1435"/>
      <c r="AW60" s="1435"/>
      <c r="AX60" s="1435"/>
      <c r="AY60" s="1435"/>
      <c r="AZ60" s="1435"/>
      <c r="BA60" s="1435"/>
      <c r="BB60" s="1450"/>
      <c r="BC60" s="1450"/>
      <c r="BD60" s="1450"/>
      <c r="BE60" s="1450"/>
      <c r="BF60" s="1450"/>
      <c r="BG60" s="1431"/>
      <c r="BH60" s="1431"/>
      <c r="BI60" s="1431"/>
      <c r="BJ60" s="1431"/>
      <c r="BK60" s="1431"/>
      <c r="BL60" s="1431"/>
      <c r="BM60" s="1431"/>
      <c r="BN60" s="1431"/>
      <c r="BO60" s="1431"/>
      <c r="BP60" s="1431"/>
      <c r="BQ60" s="1431"/>
      <c r="BR60" s="1431"/>
      <c r="BS60" s="1431"/>
      <c r="BT60" s="1431"/>
      <c r="BU60" s="1431"/>
      <c r="BV60" s="1431"/>
      <c r="BW60" s="1431"/>
      <c r="BX60" s="1431"/>
      <c r="BY60" s="1431"/>
      <c r="BZ60" s="1431"/>
    </row>
    <row r="61" spans="1:78" s="114" customFormat="1" ht="14.1" customHeight="1" x14ac:dyDescent="0.25">
      <c r="A61"/>
      <c r="B61"/>
      <c r="C61" s="149"/>
      <c r="D61" s="94"/>
      <c r="E61" s="94"/>
      <c r="F61" s="94"/>
      <c r="G61" s="94"/>
      <c r="H61" s="94"/>
      <c r="I61" s="94"/>
      <c r="J61" s="94"/>
      <c r="K61" s="94"/>
      <c r="L61" s="94"/>
      <c r="M61" s="94"/>
      <c r="N61" s="94"/>
      <c r="O61" s="700" t="str">
        <f>O55</f>
        <v>Bear</v>
      </c>
      <c r="R61" s="1310">
        <v>0.21299999999999999</v>
      </c>
      <c r="S61" s="1309">
        <v>0.23</v>
      </c>
      <c r="T61" s="1092"/>
      <c r="U61" s="1091"/>
      <c r="V61" s="1091"/>
      <c r="W61" s="1091"/>
      <c r="X61" s="1085"/>
      <c r="Y61" s="1085"/>
      <c r="Z61" s="1085"/>
      <c r="AA61" s="1085"/>
      <c r="AB61" s="1085"/>
      <c r="AC61" s="1085"/>
      <c r="AD61" s="1085"/>
      <c r="AE61" s="1085"/>
      <c r="AF61" s="1085"/>
      <c r="AG61" s="1085"/>
      <c r="AH61" s="1085"/>
      <c r="AI61" s="1085"/>
      <c r="AJ61" s="1085"/>
      <c r="AK61" s="1085"/>
      <c r="AL61" s="1085"/>
      <c r="AM61" s="1085"/>
      <c r="AN61" s="1085"/>
      <c r="AO61" s="1085"/>
      <c r="AP61" s="1085"/>
      <c r="AQ61" s="1085"/>
      <c r="AR61" s="1085"/>
      <c r="AS61" s="1085"/>
      <c r="AT61" s="1085"/>
      <c r="AU61" s="1085"/>
      <c r="AV61" s="1085"/>
      <c r="AW61" s="1085"/>
      <c r="AX61" s="1085"/>
      <c r="AY61" s="1085"/>
      <c r="AZ61" s="1085"/>
      <c r="BA61" s="1085"/>
      <c r="BB61" s="782"/>
      <c r="BC61" s="782"/>
      <c r="BD61" s="782"/>
      <c r="BE61" s="782"/>
      <c r="BF61" s="782"/>
      <c r="BG61" s="782"/>
      <c r="BH61" s="782"/>
      <c r="BI61" s="782"/>
      <c r="BJ61" s="782"/>
      <c r="BK61" s="782"/>
      <c r="BL61" s="782"/>
      <c r="BM61" s="782"/>
      <c r="BN61" s="782"/>
      <c r="BO61" s="782"/>
      <c r="BP61" s="782"/>
      <c r="BQ61" s="782"/>
      <c r="BR61" s="782"/>
      <c r="BS61" s="782"/>
      <c r="BT61" s="782"/>
      <c r="BU61" s="782"/>
      <c r="BV61" s="782"/>
      <c r="BW61" s="782"/>
      <c r="BX61" s="782"/>
      <c r="BY61" s="782"/>
      <c r="BZ61" s="782"/>
    </row>
    <row r="62" spans="1:78" s="93" customFormat="1" ht="14.1" customHeight="1" x14ac:dyDescent="0.2">
      <c r="A62" s="150"/>
      <c r="B62" s="150"/>
      <c r="C62" s="757"/>
      <c r="D62" s="757"/>
      <c r="E62" s="757"/>
      <c r="F62" s="757"/>
      <c r="G62" s="757"/>
      <c r="H62" s="757"/>
      <c r="I62" s="757"/>
      <c r="J62" s="757"/>
      <c r="K62" s="757"/>
      <c r="L62" s="757"/>
      <c r="M62" s="757"/>
      <c r="N62" s="758"/>
      <c r="O62" s="1454" t="s">
        <v>572</v>
      </c>
      <c r="P62" s="1455"/>
      <c r="Q62" s="1455"/>
      <c r="R62" s="1455"/>
      <c r="S62" s="1456"/>
      <c r="T62" s="1090"/>
      <c r="U62" s="1090"/>
      <c r="V62" s="1090"/>
      <c r="W62" s="1090"/>
      <c r="X62" s="759"/>
      <c r="Y62" s="759"/>
      <c r="Z62" s="759"/>
      <c r="AA62" s="759"/>
      <c r="AB62" s="759"/>
      <c r="AC62" s="759"/>
      <c r="AD62" s="759"/>
      <c r="AE62" s="759"/>
      <c r="AF62" s="759"/>
      <c r="AG62" s="759"/>
      <c r="AH62" s="759"/>
      <c r="AI62" s="759"/>
      <c r="AJ62" s="759"/>
      <c r="AK62" s="759"/>
      <c r="AL62" s="759"/>
      <c r="AM62" s="759"/>
      <c r="AN62" s="759"/>
      <c r="AO62" s="759"/>
      <c r="AP62" s="759"/>
      <c r="AQ62" s="759"/>
      <c r="AR62" s="759"/>
      <c r="AS62" s="759"/>
      <c r="AT62" s="759"/>
      <c r="AU62" s="759"/>
      <c r="AV62" s="759"/>
      <c r="AW62" s="759"/>
      <c r="AX62" s="759"/>
      <c r="AY62" s="759"/>
      <c r="AZ62" s="759"/>
      <c r="BA62" s="759"/>
      <c r="BB62" s="759"/>
      <c r="BC62" s="759"/>
      <c r="BD62" s="759"/>
      <c r="BE62" s="759"/>
      <c r="BF62" s="759"/>
      <c r="BG62" s="759"/>
      <c r="BH62" s="759"/>
      <c r="BI62" s="759"/>
      <c r="BJ62" s="759"/>
      <c r="BK62" s="759"/>
      <c r="BL62" s="759"/>
      <c r="BM62" s="759"/>
      <c r="BN62" s="759"/>
      <c r="BO62" s="759"/>
      <c r="BP62" s="759"/>
      <c r="BQ62" s="759"/>
      <c r="BR62" s="759"/>
      <c r="BS62" s="759"/>
      <c r="BT62" s="759"/>
      <c r="BU62" s="759"/>
      <c r="BV62" s="759"/>
      <c r="BW62" s="759"/>
      <c r="BX62" s="759"/>
      <c r="BY62" s="759"/>
      <c r="BZ62" s="759"/>
    </row>
    <row r="63" spans="1:78" s="93" customFormat="1" ht="14.1" customHeight="1" x14ac:dyDescent="0.2">
      <c r="A63"/>
      <c r="B63"/>
      <c r="C63" s="60"/>
      <c r="D63" s="759"/>
      <c r="E63" s="759"/>
      <c r="F63" s="759"/>
      <c r="G63" s="759"/>
      <c r="H63" s="759"/>
      <c r="I63" s="759"/>
      <c r="J63" s="759"/>
      <c r="K63" s="759"/>
      <c r="L63" s="759"/>
      <c r="M63" s="759"/>
      <c r="N63" s="759"/>
      <c r="O63" s="1142"/>
      <c r="P63" s="438"/>
      <c r="Q63" s="438"/>
      <c r="R63" s="1140" t="str">
        <f>R57</f>
        <v xml:space="preserve">Start </v>
      </c>
      <c r="S63" s="1141" t="str">
        <f>S57</f>
        <v>End</v>
      </c>
      <c r="T63" s="1090"/>
      <c r="U63" s="1090"/>
      <c r="V63" s="1090"/>
      <c r="W63" s="1090"/>
      <c r="X63" s="759"/>
      <c r="Y63" s="759"/>
      <c r="Z63" s="759"/>
      <c r="AA63" s="759"/>
      <c r="AB63" s="759"/>
      <c r="AC63" s="759"/>
      <c r="AD63" s="759"/>
      <c r="AE63" s="759"/>
      <c r="AF63" s="759"/>
      <c r="AG63" s="759"/>
      <c r="AH63" s="759"/>
      <c r="AI63" s="759"/>
      <c r="AJ63" s="759"/>
      <c r="AK63" s="759"/>
      <c r="AL63" s="759"/>
      <c r="AM63" s="759"/>
      <c r="AN63" s="759"/>
      <c r="AO63" s="759"/>
      <c r="AP63" s="759"/>
      <c r="AQ63" s="759"/>
      <c r="AR63" s="759"/>
      <c r="AS63" s="759"/>
      <c r="AT63" s="759"/>
      <c r="AU63" s="759"/>
      <c r="AV63" s="759"/>
      <c r="AW63" s="759"/>
      <c r="AX63" s="759"/>
      <c r="AY63" s="759"/>
      <c r="AZ63" s="759"/>
      <c r="BA63" s="759"/>
      <c r="BB63" s="759"/>
      <c r="BC63" s="759"/>
      <c r="BD63" s="759"/>
      <c r="BE63" s="759"/>
      <c r="BF63" s="759"/>
      <c r="BG63" s="759"/>
      <c r="BH63" s="759"/>
      <c r="BI63" s="759"/>
      <c r="BJ63" s="759"/>
      <c r="BK63" s="759"/>
      <c r="BL63" s="759"/>
      <c r="BM63" s="759"/>
      <c r="BN63" s="759"/>
      <c r="BO63" s="759"/>
      <c r="BP63" s="759"/>
      <c r="BQ63" s="759"/>
      <c r="BR63" s="759"/>
      <c r="BS63" s="759"/>
      <c r="BT63" s="759"/>
      <c r="BU63" s="759"/>
      <c r="BV63" s="759"/>
      <c r="BW63" s="759"/>
      <c r="BX63" s="759"/>
      <c r="BY63" s="759"/>
      <c r="BZ63" s="759"/>
    </row>
    <row r="64" spans="1:78" s="93" customFormat="1" ht="14.1" customHeight="1" x14ac:dyDescent="0.2">
      <c r="A64"/>
      <c r="B64"/>
      <c r="C64" s="60"/>
      <c r="D64" s="60"/>
      <c r="E64" s="60"/>
      <c r="F64" s="60"/>
      <c r="G64" s="60"/>
      <c r="H64" s="60"/>
      <c r="I64" s="60"/>
      <c r="J64" s="60"/>
      <c r="K64" s="60"/>
      <c r="L64" s="60"/>
      <c r="M64" s="60"/>
      <c r="N64" s="60"/>
      <c r="O64" s="364" t="str">
        <f>O58</f>
        <v>Reversed</v>
      </c>
      <c r="P64" s="60"/>
      <c r="Q64" s="60"/>
      <c r="R64" s="1311">
        <v>1.36</v>
      </c>
      <c r="S64" s="1312">
        <v>1.91</v>
      </c>
      <c r="T64" s="1084"/>
      <c r="U64" s="1084"/>
      <c r="V64" s="1084"/>
      <c r="W64" s="1084"/>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row>
    <row r="65" spans="1:78" s="758" customFormat="1" ht="14.1" customHeight="1" x14ac:dyDescent="0.2">
      <c r="A65"/>
      <c r="B65"/>
      <c r="C65" s="60"/>
      <c r="D65" s="759"/>
      <c r="E65" s="759"/>
      <c r="F65" s="759"/>
      <c r="G65" s="759"/>
      <c r="H65" s="759"/>
      <c r="I65" s="759"/>
      <c r="J65" s="759"/>
      <c r="K65" s="759"/>
      <c r="L65" s="759"/>
      <c r="M65" s="759"/>
      <c r="N65" s="759"/>
      <c r="O65" s="364" t="str">
        <f>O59</f>
        <v>Base</v>
      </c>
      <c r="P65" s="759"/>
      <c r="Q65" s="759"/>
      <c r="R65" s="1313">
        <v>1.3920390745121181</v>
      </c>
      <c r="S65" s="1314">
        <v>2.0299999999999998</v>
      </c>
      <c r="T65" s="1090"/>
      <c r="U65" s="1090"/>
      <c r="V65" s="1090"/>
      <c r="W65" s="1090"/>
      <c r="X65" s="759"/>
      <c r="Y65" s="759"/>
      <c r="Z65" s="759"/>
      <c r="AA65" s="759"/>
      <c r="AB65" s="759"/>
      <c r="AC65" s="759"/>
      <c r="AD65" s="759"/>
      <c r="AE65" s="759"/>
      <c r="AF65" s="759"/>
      <c r="AG65" s="759"/>
      <c r="AH65" s="759"/>
      <c r="AI65" s="759"/>
      <c r="AJ65" s="759"/>
      <c r="AK65" s="759"/>
      <c r="AL65" s="759"/>
      <c r="AM65" s="759"/>
      <c r="AN65" s="759"/>
      <c r="AO65" s="759"/>
      <c r="AP65" s="759"/>
      <c r="AQ65" s="759"/>
      <c r="AR65" s="759"/>
      <c r="AS65" s="759"/>
      <c r="AT65" s="759"/>
      <c r="AU65" s="759"/>
      <c r="AV65" s="759"/>
      <c r="AW65" s="759"/>
      <c r="AX65" s="759"/>
      <c r="AY65" s="759"/>
      <c r="AZ65" s="759"/>
      <c r="BA65" s="759"/>
      <c r="BB65" s="759"/>
      <c r="BC65" s="759"/>
      <c r="BD65" s="759"/>
      <c r="BE65" s="759"/>
      <c r="BF65" s="759"/>
      <c r="BG65" s="759"/>
      <c r="BH65" s="759"/>
      <c r="BI65" s="759"/>
      <c r="BJ65" s="759"/>
      <c r="BK65" s="759"/>
      <c r="BL65" s="759"/>
      <c r="BM65" s="759"/>
      <c r="BN65" s="759"/>
      <c r="BO65" s="759"/>
      <c r="BP65" s="759"/>
      <c r="BQ65" s="759"/>
      <c r="BR65" s="759"/>
      <c r="BS65" s="759"/>
      <c r="BT65" s="759"/>
      <c r="BU65" s="759"/>
      <c r="BV65" s="759"/>
      <c r="BW65" s="759"/>
      <c r="BX65" s="759"/>
      <c r="BY65" s="759"/>
      <c r="BZ65" s="759"/>
    </row>
    <row r="66" spans="1:78" s="758" customFormat="1" ht="14.1" customHeight="1" x14ac:dyDescent="0.2">
      <c r="A66"/>
      <c r="B66"/>
      <c r="C66" s="60"/>
      <c r="D66" s="759"/>
      <c r="E66" s="759"/>
      <c r="F66" s="759"/>
      <c r="G66" s="759"/>
      <c r="H66" s="759"/>
      <c r="I66" s="759"/>
      <c r="J66" s="759"/>
      <c r="K66" s="759"/>
      <c r="L66" s="759"/>
      <c r="M66" s="759"/>
      <c r="N66" s="759"/>
      <c r="O66" s="364" t="str">
        <f>O60</f>
        <v>Bull</v>
      </c>
      <c r="P66" s="759"/>
      <c r="Q66" s="759"/>
      <c r="R66" s="1313">
        <v>1.39</v>
      </c>
      <c r="S66" s="1314">
        <v>2.15</v>
      </c>
      <c r="T66" s="1090"/>
      <c r="U66" s="1090"/>
      <c r="V66" s="1090"/>
      <c r="W66" s="1090"/>
      <c r="X66" s="759"/>
      <c r="Y66" s="759"/>
      <c r="Z66" s="759"/>
      <c r="AA66" s="759"/>
      <c r="AB66" s="759"/>
      <c r="AC66" s="759"/>
      <c r="AD66" s="759"/>
      <c r="AE66" s="759"/>
      <c r="AF66" s="759"/>
      <c r="AG66" s="759"/>
      <c r="AH66" s="759"/>
      <c r="AI66" s="759"/>
      <c r="AJ66" s="759"/>
      <c r="AK66" s="759"/>
      <c r="AL66" s="759"/>
      <c r="AM66" s="759"/>
      <c r="AN66" s="759"/>
      <c r="AO66" s="759"/>
      <c r="AP66" s="759"/>
      <c r="AQ66" s="759"/>
      <c r="AR66" s="759"/>
      <c r="AS66" s="759"/>
      <c r="AT66" s="759"/>
      <c r="AU66" s="759"/>
      <c r="AV66" s="759"/>
      <c r="AW66" s="759"/>
      <c r="AX66" s="759"/>
      <c r="AY66" s="759"/>
      <c r="AZ66" s="759"/>
      <c r="BA66" s="759"/>
      <c r="BB66" s="759"/>
      <c r="BC66" s="759"/>
      <c r="BD66" s="759"/>
      <c r="BE66" s="759"/>
      <c r="BF66" s="759"/>
      <c r="BG66" s="759"/>
      <c r="BH66" s="759"/>
      <c r="BI66" s="759"/>
      <c r="BJ66" s="759"/>
      <c r="BK66" s="759"/>
      <c r="BL66" s="759"/>
      <c r="BM66" s="759"/>
      <c r="BN66" s="759"/>
      <c r="BO66" s="759"/>
      <c r="BP66" s="759"/>
      <c r="BQ66" s="759"/>
      <c r="BR66" s="759"/>
      <c r="BS66" s="759"/>
      <c r="BT66" s="759"/>
      <c r="BU66" s="759"/>
      <c r="BV66" s="759"/>
      <c r="BW66" s="759"/>
      <c r="BX66" s="759"/>
      <c r="BY66" s="759"/>
      <c r="BZ66" s="759"/>
    </row>
    <row r="67" spans="1:78" s="758" customFormat="1" ht="14.1" customHeight="1" x14ac:dyDescent="0.2">
      <c r="A67"/>
      <c r="B67"/>
      <c r="C67" s="60"/>
      <c r="D67" s="759"/>
      <c r="E67" s="759"/>
      <c r="F67" s="759"/>
      <c r="G67" s="759"/>
      <c r="H67" s="759"/>
      <c r="I67" s="759"/>
      <c r="J67" s="759"/>
      <c r="K67" s="759"/>
      <c r="L67" s="759"/>
      <c r="M67" s="759"/>
      <c r="N67" s="759"/>
      <c r="O67" s="445" t="str">
        <f>O61</f>
        <v>Bear</v>
      </c>
      <c r="P67" s="1139"/>
      <c r="Q67" s="1139"/>
      <c r="R67" s="1315">
        <v>1.35</v>
      </c>
      <c r="S67" s="1316">
        <v>1.9</v>
      </c>
      <c r="T67" s="1090"/>
      <c r="U67" s="1090"/>
      <c r="V67" s="1090"/>
      <c r="W67" s="1090"/>
      <c r="X67" s="759"/>
      <c r="Y67" s="759"/>
      <c r="Z67" s="759"/>
      <c r="AA67" s="759"/>
      <c r="AB67" s="759"/>
      <c r="AC67" s="759"/>
      <c r="AD67" s="759"/>
      <c r="AE67" s="759"/>
      <c r="AF67" s="759"/>
      <c r="AG67" s="759"/>
      <c r="AH67" s="759"/>
      <c r="AI67" s="759"/>
      <c r="AJ67" s="759"/>
      <c r="AK67" s="759"/>
      <c r="AL67" s="759"/>
      <c r="AM67" s="759"/>
      <c r="AN67" s="759"/>
      <c r="AO67" s="759"/>
      <c r="AP67" s="759"/>
      <c r="AQ67" s="759"/>
      <c r="AR67" s="759"/>
      <c r="AS67" s="759"/>
      <c r="AT67" s="759"/>
      <c r="AU67" s="759"/>
      <c r="AV67" s="759"/>
      <c r="AW67" s="759"/>
      <c r="AX67" s="759"/>
      <c r="AY67" s="759"/>
      <c r="AZ67" s="759"/>
      <c r="BA67" s="759"/>
      <c r="BB67" s="759"/>
      <c r="BC67" s="759"/>
      <c r="BD67" s="759"/>
      <c r="BE67" s="759"/>
      <c r="BF67" s="759"/>
      <c r="BG67" s="759"/>
      <c r="BH67" s="759"/>
      <c r="BI67" s="759"/>
      <c r="BJ67" s="759"/>
      <c r="BK67" s="759"/>
      <c r="BL67" s="759"/>
      <c r="BM67" s="759"/>
      <c r="BN67" s="759"/>
      <c r="BO67" s="759"/>
      <c r="BP67" s="759"/>
      <c r="BQ67" s="759"/>
      <c r="BR67" s="759"/>
      <c r="BS67" s="759"/>
      <c r="BT67" s="759"/>
      <c r="BU67" s="759"/>
      <c r="BV67" s="759"/>
      <c r="BW67" s="759"/>
      <c r="BX67" s="759"/>
      <c r="BY67" s="759"/>
      <c r="BZ67" s="759"/>
    </row>
    <row r="68" spans="1:78" s="758" customFormat="1" ht="14.1" customHeight="1" x14ac:dyDescent="0.2">
      <c r="A68"/>
      <c r="B68"/>
      <c r="C68" s="60"/>
      <c r="D68" s="759"/>
      <c r="E68" s="759"/>
      <c r="F68" s="759"/>
      <c r="G68" s="759"/>
      <c r="H68" s="759"/>
      <c r="I68" s="759"/>
      <c r="J68" s="759"/>
      <c r="K68" s="759"/>
      <c r="L68" s="759"/>
      <c r="M68" s="759"/>
      <c r="N68" s="759"/>
      <c r="O68" s="759"/>
      <c r="P68" s="759"/>
      <c r="Q68" s="759"/>
      <c r="R68" s="1093"/>
      <c r="S68" s="1093"/>
    </row>
    <row r="69" spans="1:78" s="93" customFormat="1" ht="14.1" customHeight="1" x14ac:dyDescent="0.2">
      <c r="A69"/>
      <c r="B69"/>
      <c r="C69" s="760"/>
      <c r="D69" s="60"/>
      <c r="E69" s="60"/>
      <c r="F69" s="60"/>
      <c r="G69" s="60"/>
      <c r="H69" s="60"/>
      <c r="I69" s="60"/>
      <c r="J69" s="60"/>
      <c r="P69" s="60"/>
      <c r="Q69" s="60"/>
      <c r="R69" s="60"/>
    </row>
    <row r="70" spans="1:78" s="93" customFormat="1" ht="14.1" customHeight="1" x14ac:dyDescent="0.2">
      <c r="A70"/>
      <c r="B70"/>
      <c r="C70" s="760"/>
      <c r="D70" s="60"/>
      <c r="E70" s="60"/>
      <c r="F70" s="60"/>
      <c r="G70" s="60"/>
      <c r="H70" s="60"/>
      <c r="I70" s="60"/>
      <c r="J70" s="60"/>
      <c r="P70" s="60"/>
      <c r="Q70" s="60"/>
      <c r="R70" s="60"/>
    </row>
    <row r="71" spans="1:78" s="758" customFormat="1" ht="14.1" customHeight="1" x14ac:dyDescent="0.2">
      <c r="A71"/>
      <c r="B71"/>
      <c r="C71" s="60"/>
      <c r="D71" s="759"/>
      <c r="E71" s="759"/>
      <c r="F71" s="759"/>
      <c r="G71" s="759"/>
      <c r="H71" s="759"/>
      <c r="I71" s="759"/>
      <c r="J71" s="759"/>
      <c r="K71" s="759"/>
      <c r="L71" s="759"/>
      <c r="M71" s="759"/>
      <c r="N71" s="759"/>
      <c r="O71" s="759"/>
      <c r="P71" s="759"/>
      <c r="Q71" s="759"/>
      <c r="R71" s="759"/>
      <c r="W71" s="93"/>
      <c r="AB71" s="93"/>
      <c r="AG71" s="93"/>
      <c r="AL71" s="93"/>
      <c r="AQ71" s="93"/>
      <c r="AV71" s="93"/>
      <c r="BA71" s="93"/>
      <c r="BF71" s="761"/>
      <c r="BK71" s="761"/>
      <c r="BP71" s="761"/>
      <c r="BU71" s="761"/>
      <c r="BZ71" s="761"/>
    </row>
    <row r="72" spans="1:78" ht="2.1" customHeight="1" x14ac:dyDescent="0.2"/>
    <row r="77" spans="1:78" s="759" customFormat="1" ht="14.1" customHeight="1" x14ac:dyDescent="0.2">
      <c r="A77"/>
      <c r="B77"/>
      <c r="C77" s="60"/>
      <c r="K77" s="758"/>
      <c r="L77" s="758"/>
      <c r="M77" s="758"/>
      <c r="N77" s="758"/>
      <c r="O77" s="758"/>
      <c r="P77" s="758"/>
    </row>
    <row r="78" spans="1:78" ht="14.1" customHeight="1" x14ac:dyDescent="0.2">
      <c r="C78" s="760"/>
      <c r="K78" s="93"/>
      <c r="L78" s="93"/>
      <c r="M78" s="93"/>
      <c r="N78" s="93"/>
      <c r="O78" s="93"/>
      <c r="P78" s="93"/>
      <c r="R78" s="760"/>
    </row>
    <row r="79" spans="1:78" s="759" customFormat="1" ht="14.1" customHeight="1" x14ac:dyDescent="0.2">
      <c r="A79"/>
      <c r="B79"/>
      <c r="C79" s="60"/>
      <c r="K79" s="758"/>
      <c r="L79" s="758"/>
      <c r="M79" s="758"/>
      <c r="N79" s="758"/>
      <c r="O79" s="758"/>
      <c r="P79" s="758"/>
    </row>
    <row r="80" spans="1:78" ht="14.1" customHeight="1" x14ac:dyDescent="0.2">
      <c r="C80" s="760"/>
      <c r="K80" s="93"/>
      <c r="L80" s="93"/>
      <c r="M80" s="93"/>
      <c r="N80" s="93"/>
      <c r="O80" s="93"/>
      <c r="P80" s="93"/>
      <c r="R80" s="760"/>
    </row>
    <row r="81" spans="1:18" s="759" customFormat="1" ht="14.1" customHeight="1" x14ac:dyDescent="0.2">
      <c r="A81"/>
      <c r="B81"/>
      <c r="C81" s="60"/>
      <c r="K81" s="758"/>
      <c r="L81" s="758"/>
      <c r="M81" s="758"/>
      <c r="N81" s="758"/>
      <c r="O81" s="758"/>
      <c r="P81" s="758"/>
    </row>
    <row r="82" spans="1:18" ht="14.1" customHeight="1" x14ac:dyDescent="0.2">
      <c r="C82" s="760"/>
      <c r="K82" s="93"/>
      <c r="L82" s="93"/>
      <c r="M82" s="93"/>
      <c r="N82" s="93"/>
      <c r="O82" s="93"/>
      <c r="P82" s="93"/>
      <c r="R82" s="760"/>
    </row>
    <row r="83" spans="1:18" s="759" customFormat="1" ht="14.1" customHeight="1" x14ac:dyDescent="0.2">
      <c r="A83"/>
      <c r="B83"/>
      <c r="C83" s="60"/>
      <c r="K83" s="758"/>
      <c r="L83" s="758"/>
      <c r="M83" s="758"/>
      <c r="N83" s="758"/>
      <c r="O83" s="758"/>
      <c r="P83" s="758"/>
    </row>
    <row r="84" spans="1:18" ht="14.1" customHeight="1" x14ac:dyDescent="0.2">
      <c r="C84" s="760"/>
      <c r="K84" s="93"/>
      <c r="L84" s="93"/>
      <c r="M84" s="93"/>
      <c r="N84" s="93"/>
      <c r="O84" s="93"/>
      <c r="P84" s="93"/>
      <c r="R84" s="760"/>
    </row>
    <row r="85" spans="1:18" s="759" customFormat="1" ht="14.1" customHeight="1" x14ac:dyDescent="0.2">
      <c r="A85"/>
      <c r="B85"/>
      <c r="C85" s="60"/>
      <c r="K85" s="758"/>
      <c r="L85" s="758"/>
      <c r="M85" s="758"/>
      <c r="N85" s="758"/>
      <c r="O85" s="758"/>
      <c r="P85" s="758"/>
    </row>
    <row r="86" spans="1:18" ht="14.1" customHeight="1" x14ac:dyDescent="0.2">
      <c r="C86" s="760"/>
      <c r="K86" s="93"/>
      <c r="L86" s="93"/>
      <c r="M86" s="93"/>
      <c r="N86" s="93"/>
      <c r="O86" s="93"/>
      <c r="P86" s="93"/>
      <c r="R86" s="760"/>
    </row>
    <row r="87" spans="1:18" s="759" customFormat="1" ht="14.1" customHeight="1" x14ac:dyDescent="0.2">
      <c r="A87"/>
      <c r="B87"/>
      <c r="C87" s="60"/>
      <c r="K87" s="758"/>
      <c r="L87" s="758"/>
      <c r="M87" s="758"/>
      <c r="N87" s="758"/>
      <c r="O87" s="758"/>
      <c r="P87" s="758"/>
    </row>
    <row r="88" spans="1:18" ht="14.1" customHeight="1" x14ac:dyDescent="0.2">
      <c r="C88" s="760"/>
      <c r="K88" s="93"/>
      <c r="L88" s="93"/>
      <c r="M88" s="93"/>
      <c r="N88" s="93"/>
      <c r="O88" s="93"/>
      <c r="P88" s="93"/>
      <c r="R88" s="760"/>
    </row>
    <row r="89" spans="1:18" s="759" customFormat="1" ht="14.1" customHeight="1" x14ac:dyDescent="0.2">
      <c r="A89"/>
      <c r="B89"/>
      <c r="C89" s="60"/>
      <c r="K89" s="758"/>
      <c r="L89" s="758"/>
      <c r="M89" s="758"/>
      <c r="N89" s="758"/>
      <c r="O89" s="758"/>
      <c r="P89" s="758"/>
    </row>
    <row r="90" spans="1:18" s="759" customFormat="1" ht="14.1" customHeight="1" x14ac:dyDescent="0.2">
      <c r="A90"/>
      <c r="B90"/>
      <c r="C90" s="60"/>
      <c r="K90" s="758"/>
      <c r="L90" s="758"/>
      <c r="M90" s="758"/>
      <c r="N90" s="758"/>
      <c r="O90" s="758"/>
      <c r="P90" s="758"/>
    </row>
    <row r="91" spans="1:18" s="93" customFormat="1" ht="14.1" customHeight="1" x14ac:dyDescent="0.2">
      <c r="A91"/>
      <c r="B91"/>
      <c r="C91" s="760"/>
      <c r="D91" s="60"/>
      <c r="E91" s="60"/>
      <c r="F91" s="60"/>
      <c r="G91" s="60"/>
      <c r="H91" s="60"/>
      <c r="I91" s="60"/>
      <c r="J91" s="60"/>
      <c r="Q91" s="60"/>
      <c r="R91" s="760"/>
    </row>
    <row r="92" spans="1:18" s="758" customFormat="1" ht="14.1" customHeight="1" x14ac:dyDescent="0.2">
      <c r="A92"/>
      <c r="B92"/>
      <c r="C92" s="60"/>
      <c r="D92" s="759"/>
      <c r="E92" s="759"/>
      <c r="F92" s="759"/>
      <c r="G92" s="759"/>
      <c r="H92" s="759"/>
      <c r="I92" s="759"/>
      <c r="J92" s="759"/>
      <c r="Q92" s="759"/>
      <c r="R92" s="759"/>
    </row>
    <row r="93" spans="1:18" s="758" customFormat="1" ht="14.1" customHeight="1" x14ac:dyDescent="0.2">
      <c r="A93"/>
      <c r="B93"/>
      <c r="C93" s="60"/>
      <c r="D93" s="759"/>
      <c r="E93" s="759"/>
      <c r="F93" s="759"/>
      <c r="G93" s="759"/>
      <c r="H93" s="759"/>
      <c r="I93" s="759"/>
      <c r="J93" s="759"/>
      <c r="Q93" s="759"/>
      <c r="R93" s="759"/>
    </row>
    <row r="94" spans="1:18" s="758" customFormat="1" ht="14.1" customHeight="1" x14ac:dyDescent="0.2">
      <c r="A94"/>
      <c r="B94"/>
      <c r="C94" s="60"/>
      <c r="D94" s="759"/>
      <c r="E94" s="759"/>
      <c r="F94" s="759"/>
      <c r="G94" s="759"/>
      <c r="H94" s="759"/>
      <c r="I94" s="759"/>
      <c r="J94" s="759"/>
      <c r="Q94" s="759"/>
      <c r="R94" s="759"/>
    </row>
    <row r="95" spans="1:18" s="758" customFormat="1" ht="14.1" customHeight="1" x14ac:dyDescent="0.2">
      <c r="A95"/>
      <c r="B95"/>
      <c r="C95" s="60"/>
      <c r="D95" s="759"/>
      <c r="E95" s="759"/>
      <c r="F95" s="759"/>
      <c r="G95" s="759"/>
      <c r="H95" s="759"/>
      <c r="I95" s="759"/>
      <c r="J95" s="759"/>
      <c r="Q95" s="759"/>
      <c r="R95" s="759"/>
    </row>
    <row r="96" spans="1:18" ht="2.1" customHeight="1" x14ac:dyDescent="0.2"/>
    <row r="98" spans="1:78" ht="14.1" customHeight="1" x14ac:dyDescent="0.2">
      <c r="C98" s="99"/>
    </row>
    <row r="99" spans="1:78" ht="14.1" customHeight="1" x14ac:dyDescent="0.2">
      <c r="C99" s="99"/>
    </row>
    <row r="100" spans="1:78" ht="8.1" customHeight="1" x14ac:dyDescent="0.2">
      <c r="C100" s="99"/>
    </row>
    <row r="101" spans="1:78" s="114" customFormat="1" ht="18.75" x14ac:dyDescent="0.25">
      <c r="A101"/>
      <c r="B101"/>
      <c r="C101" s="774"/>
      <c r="D101" s="784"/>
      <c r="E101" s="784"/>
      <c r="F101" s="784"/>
      <c r="G101" s="784"/>
      <c r="H101" s="784"/>
      <c r="I101" s="784"/>
      <c r="J101" s="784"/>
      <c r="K101" s="784"/>
      <c r="L101" s="784"/>
      <c r="M101" s="784"/>
      <c r="N101" s="784"/>
      <c r="O101" s="784"/>
      <c r="R101" s="1436"/>
      <c r="S101" s="1437"/>
      <c r="T101" s="1437"/>
      <c r="U101" s="1437"/>
      <c r="V101" s="1437"/>
      <c r="W101" s="1437"/>
      <c r="X101" s="1437"/>
      <c r="Y101" s="1437"/>
      <c r="Z101" s="1437"/>
      <c r="AA101" s="1437"/>
      <c r="AB101" s="1437"/>
      <c r="AC101" s="1437"/>
      <c r="AD101" s="1437"/>
      <c r="AE101" s="1437"/>
      <c r="AF101" s="1437"/>
      <c r="AG101" s="1437"/>
      <c r="AH101" s="1437"/>
      <c r="AI101" s="1437"/>
      <c r="AJ101" s="1437"/>
      <c r="AK101" s="1437"/>
      <c r="AL101" s="1437"/>
      <c r="AM101" s="1437"/>
      <c r="AN101" s="1437"/>
      <c r="AO101" s="1437"/>
      <c r="AP101" s="1437"/>
      <c r="AQ101" s="1437"/>
      <c r="AR101" s="1437"/>
      <c r="AS101" s="1437"/>
      <c r="AT101" s="1437"/>
      <c r="AU101" s="1437"/>
      <c r="AV101" s="1437"/>
      <c r="AW101" s="1437"/>
      <c r="AX101" s="1437"/>
      <c r="AY101" s="1437"/>
      <c r="AZ101" s="1437"/>
      <c r="BA101" s="186"/>
      <c r="BB101" s="149"/>
      <c r="BC101" s="149"/>
      <c r="BD101" s="149"/>
      <c r="BE101" s="149"/>
      <c r="BF101" s="149"/>
      <c r="BG101" s="149"/>
      <c r="BH101" s="149"/>
      <c r="BI101" s="149"/>
      <c r="BJ101" s="149"/>
      <c r="BK101" s="149"/>
      <c r="BL101" s="149"/>
      <c r="BM101" s="149"/>
      <c r="BN101" s="149"/>
      <c r="BO101" s="149"/>
      <c r="BP101" s="149"/>
      <c r="BQ101" s="149"/>
      <c r="BR101" s="149"/>
      <c r="BS101" s="149"/>
      <c r="BT101" s="149"/>
      <c r="BU101" s="149"/>
      <c r="BV101" s="149"/>
      <c r="BW101" s="149"/>
      <c r="BX101" s="149"/>
      <c r="BY101" s="149"/>
      <c r="BZ101" s="149"/>
    </row>
    <row r="102" spans="1:78" s="114" customFormat="1" ht="14.1" customHeight="1" x14ac:dyDescent="0.2">
      <c r="A102"/>
      <c r="B102"/>
      <c r="C102" s="775"/>
      <c r="D102" s="784"/>
      <c r="E102" s="784"/>
      <c r="F102" s="784"/>
      <c r="G102" s="784"/>
      <c r="H102" s="784"/>
      <c r="I102" s="784"/>
      <c r="J102" s="784"/>
      <c r="K102" s="784"/>
      <c r="L102" s="784"/>
      <c r="M102" s="784"/>
      <c r="N102" s="785"/>
      <c r="O102" s="1082"/>
      <c r="R102" s="1436"/>
      <c r="S102" s="1437"/>
      <c r="T102" s="1437"/>
      <c r="U102" s="1437"/>
      <c r="V102" s="1437"/>
      <c r="W102" s="1437"/>
      <c r="X102" s="1437"/>
      <c r="Y102" s="1437"/>
      <c r="Z102" s="1437"/>
      <c r="AA102" s="1437"/>
      <c r="AB102" s="1437"/>
      <c r="AC102" s="1437"/>
      <c r="AD102" s="1437"/>
      <c r="AE102" s="1437"/>
      <c r="AF102" s="1437"/>
      <c r="AG102" s="1437"/>
      <c r="AH102" s="1437"/>
      <c r="AI102" s="1437"/>
      <c r="AJ102" s="1437"/>
      <c r="AK102" s="1437"/>
      <c r="AL102" s="1437"/>
      <c r="AM102" s="1437"/>
      <c r="AN102" s="1437"/>
      <c r="AO102" s="1437"/>
      <c r="AP102" s="1437"/>
      <c r="AQ102" s="1437"/>
      <c r="AR102" s="1437"/>
      <c r="AS102" s="1437"/>
      <c r="AT102" s="1437"/>
      <c r="AU102" s="1437"/>
      <c r="AV102" s="1437"/>
      <c r="AW102" s="1437"/>
      <c r="AX102" s="1437"/>
      <c r="AY102" s="1437"/>
      <c r="AZ102" s="1437"/>
      <c r="BA102" s="1437"/>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c r="BY102" s="94"/>
      <c r="BZ102" s="94"/>
    </row>
    <row r="103" spans="1:78" s="114" customFormat="1" ht="14.1" customHeight="1" x14ac:dyDescent="0.2">
      <c r="A103"/>
      <c r="B103"/>
      <c r="C103" s="778"/>
      <c r="D103" s="784"/>
      <c r="E103" s="784"/>
      <c r="F103" s="784"/>
      <c r="G103" s="784"/>
      <c r="H103" s="784"/>
      <c r="I103" s="784"/>
      <c r="J103" s="784"/>
      <c r="K103" s="784"/>
      <c r="L103" s="784"/>
      <c r="M103" s="784"/>
      <c r="N103" s="785"/>
      <c r="O103" s="1082"/>
      <c r="R103" s="1086"/>
      <c r="BB103" s="786"/>
      <c r="BC103" s="786"/>
      <c r="BD103" s="786"/>
      <c r="BE103" s="786"/>
      <c r="BF103" s="786"/>
      <c r="BG103" s="786"/>
      <c r="BH103" s="786"/>
      <c r="BI103" s="786"/>
      <c r="BJ103" s="786"/>
      <c r="BK103" s="786"/>
      <c r="BL103" s="786"/>
      <c r="BM103" s="786"/>
      <c r="BN103" s="786"/>
      <c r="BO103" s="786"/>
      <c r="BP103" s="786"/>
      <c r="BQ103" s="786"/>
      <c r="BR103" s="786"/>
      <c r="BS103" s="786"/>
      <c r="BT103" s="786"/>
      <c r="BU103" s="786"/>
      <c r="BV103" s="786"/>
      <c r="BW103" s="786"/>
      <c r="BX103" s="786"/>
      <c r="BY103" s="786"/>
      <c r="BZ103" s="786"/>
    </row>
    <row r="104" spans="1:78" s="114" customFormat="1" ht="14.1" customHeight="1" x14ac:dyDescent="0.2">
      <c r="A104"/>
      <c r="B104"/>
      <c r="C104" s="778"/>
      <c r="D104" s="779"/>
      <c r="E104" s="779"/>
      <c r="F104" s="779"/>
      <c r="G104" s="779"/>
      <c r="H104" s="779"/>
      <c r="I104" s="779"/>
      <c r="J104" s="779"/>
      <c r="K104" s="780"/>
      <c r="L104" s="781"/>
      <c r="M104" s="781"/>
      <c r="N104" s="781"/>
      <c r="O104" s="1083"/>
      <c r="S104" s="1435"/>
      <c r="T104" s="1435"/>
      <c r="U104" s="1435"/>
      <c r="V104" s="1435"/>
      <c r="W104" s="1435"/>
      <c r="X104" s="1435"/>
      <c r="Y104" s="1435"/>
      <c r="Z104" s="1435"/>
      <c r="AA104" s="1435"/>
      <c r="AB104" s="1435"/>
      <c r="AC104" s="1435"/>
      <c r="AD104" s="1435"/>
      <c r="AE104" s="1435"/>
      <c r="AF104" s="1435"/>
      <c r="AG104" s="1435"/>
      <c r="AH104" s="1435"/>
      <c r="AI104" s="1435"/>
      <c r="AJ104" s="1435"/>
      <c r="AK104" s="1435"/>
      <c r="AL104" s="1435"/>
      <c r="AM104" s="1435"/>
      <c r="AN104" s="1435"/>
      <c r="AO104" s="1435"/>
      <c r="AP104" s="1435"/>
      <c r="AQ104" s="1435"/>
      <c r="AR104" s="1435"/>
      <c r="AS104" s="1435"/>
      <c r="AT104" s="1435"/>
      <c r="AU104" s="1435"/>
      <c r="AV104" s="1435"/>
      <c r="AW104" s="1435"/>
      <c r="AX104" s="1435"/>
      <c r="AY104" s="1435"/>
      <c r="AZ104" s="1435"/>
      <c r="BA104" s="1435"/>
      <c r="BB104" s="1450"/>
      <c r="BC104" s="1450"/>
      <c r="BD104" s="1450"/>
      <c r="BE104" s="1450"/>
      <c r="BF104" s="1450"/>
      <c r="BG104" s="1431"/>
      <c r="BH104" s="1431"/>
      <c r="BI104" s="1431"/>
      <c r="BJ104" s="1431"/>
      <c r="BK104" s="1431"/>
      <c r="BL104" s="1431"/>
      <c r="BM104" s="1431"/>
      <c r="BN104" s="1431"/>
      <c r="BO104" s="1431"/>
      <c r="BP104" s="1431"/>
      <c r="BQ104" s="1431"/>
      <c r="BR104" s="1431"/>
      <c r="BS104" s="1431"/>
      <c r="BT104" s="1431"/>
      <c r="BU104" s="1431"/>
      <c r="BV104" s="1431"/>
      <c r="BW104" s="1431"/>
      <c r="BX104" s="1431"/>
      <c r="BY104" s="1431"/>
      <c r="BZ104" s="1431"/>
    </row>
    <row r="105" spans="1:78" ht="14.1" customHeight="1" x14ac:dyDescent="0.2">
      <c r="R105" s="783"/>
      <c r="S105" s="1087">
        <f t="shared" ref="S105:BZ105" si="69">S61</f>
        <v>0.23</v>
      </c>
      <c r="T105" s="1088">
        <f t="shared" si="69"/>
        <v>0</v>
      </c>
      <c r="U105" s="1088">
        <f t="shared" si="69"/>
        <v>0</v>
      </c>
      <c r="V105" s="1088">
        <f t="shared" si="69"/>
        <v>0</v>
      </c>
      <c r="W105" s="1088">
        <f t="shared" si="69"/>
        <v>0</v>
      </c>
      <c r="X105" s="1088">
        <f t="shared" si="69"/>
        <v>0</v>
      </c>
      <c r="Y105" s="1088">
        <f t="shared" si="69"/>
        <v>0</v>
      </c>
      <c r="Z105" s="1088">
        <f t="shared" si="69"/>
        <v>0</v>
      </c>
      <c r="AA105" s="1088">
        <f t="shared" si="69"/>
        <v>0</v>
      </c>
      <c r="AB105" s="1088">
        <f t="shared" si="69"/>
        <v>0</v>
      </c>
      <c r="AC105" s="1088">
        <f t="shared" si="69"/>
        <v>0</v>
      </c>
      <c r="AD105" s="1088">
        <f t="shared" si="69"/>
        <v>0</v>
      </c>
      <c r="AE105" s="1088">
        <f t="shared" si="69"/>
        <v>0</v>
      </c>
      <c r="AF105" s="1088">
        <f t="shared" si="69"/>
        <v>0</v>
      </c>
      <c r="AG105" s="1088">
        <f t="shared" si="69"/>
        <v>0</v>
      </c>
      <c r="AH105" s="1088">
        <f t="shared" si="69"/>
        <v>0</v>
      </c>
      <c r="AI105" s="1088">
        <f t="shared" si="69"/>
        <v>0</v>
      </c>
      <c r="AJ105" s="1088">
        <f t="shared" si="69"/>
        <v>0</v>
      </c>
      <c r="AK105" s="1088">
        <f t="shared" si="69"/>
        <v>0</v>
      </c>
      <c r="AL105" s="1088">
        <f t="shared" si="69"/>
        <v>0</v>
      </c>
      <c r="AM105" s="1088">
        <f t="shared" si="69"/>
        <v>0</v>
      </c>
      <c r="AN105" s="1088">
        <f t="shared" si="69"/>
        <v>0</v>
      </c>
      <c r="AO105" s="1088">
        <f t="shared" si="69"/>
        <v>0</v>
      </c>
      <c r="AP105" s="1088">
        <f t="shared" si="69"/>
        <v>0</v>
      </c>
      <c r="AQ105" s="1088">
        <f t="shared" si="69"/>
        <v>0</v>
      </c>
      <c r="AR105" s="1088">
        <f t="shared" si="69"/>
        <v>0</v>
      </c>
      <c r="AS105" s="1088">
        <f t="shared" si="69"/>
        <v>0</v>
      </c>
      <c r="AT105" s="1088">
        <f t="shared" si="69"/>
        <v>0</v>
      </c>
      <c r="AU105" s="1088">
        <f t="shared" si="69"/>
        <v>0</v>
      </c>
      <c r="AV105" s="1088">
        <f t="shared" si="69"/>
        <v>0</v>
      </c>
      <c r="AW105" s="1088">
        <f t="shared" si="69"/>
        <v>0</v>
      </c>
      <c r="AX105" s="1088">
        <f t="shared" si="69"/>
        <v>0</v>
      </c>
      <c r="AY105" s="1088">
        <f t="shared" si="69"/>
        <v>0</v>
      </c>
      <c r="AZ105" s="1088">
        <f t="shared" si="69"/>
        <v>0</v>
      </c>
      <c r="BA105" s="1088">
        <f t="shared" si="69"/>
        <v>0</v>
      </c>
      <c r="BB105" s="57">
        <f t="shared" si="69"/>
        <v>0</v>
      </c>
      <c r="BC105" s="57">
        <f t="shared" si="69"/>
        <v>0</v>
      </c>
      <c r="BD105" s="57">
        <f t="shared" si="69"/>
        <v>0</v>
      </c>
      <c r="BE105" s="58">
        <f t="shared" si="69"/>
        <v>0</v>
      </c>
      <c r="BF105" s="58">
        <f t="shared" si="69"/>
        <v>0</v>
      </c>
      <c r="BG105" s="58">
        <f t="shared" si="69"/>
        <v>0</v>
      </c>
      <c r="BH105" s="58">
        <f t="shared" si="69"/>
        <v>0</v>
      </c>
      <c r="BI105" s="58">
        <f t="shared" si="69"/>
        <v>0</v>
      </c>
      <c r="BJ105" s="58">
        <f t="shared" si="69"/>
        <v>0</v>
      </c>
      <c r="BK105" s="58">
        <f t="shared" si="69"/>
        <v>0</v>
      </c>
      <c r="BL105" s="58">
        <f t="shared" si="69"/>
        <v>0</v>
      </c>
      <c r="BM105" s="58">
        <f t="shared" si="69"/>
        <v>0</v>
      </c>
      <c r="BN105" s="58">
        <f t="shared" si="69"/>
        <v>0</v>
      </c>
      <c r="BO105" s="58">
        <f t="shared" si="69"/>
        <v>0</v>
      </c>
      <c r="BP105" s="58">
        <f t="shared" si="69"/>
        <v>0</v>
      </c>
      <c r="BQ105" s="58">
        <f t="shared" si="69"/>
        <v>0</v>
      </c>
      <c r="BR105" s="58">
        <f t="shared" si="69"/>
        <v>0</v>
      </c>
      <c r="BS105" s="58">
        <f t="shared" si="69"/>
        <v>0</v>
      </c>
      <c r="BT105" s="58">
        <f t="shared" si="69"/>
        <v>0</v>
      </c>
      <c r="BU105" s="58">
        <f t="shared" si="69"/>
        <v>0</v>
      </c>
      <c r="BV105" s="58">
        <f t="shared" si="69"/>
        <v>0</v>
      </c>
      <c r="BW105" s="58">
        <f t="shared" si="69"/>
        <v>0</v>
      </c>
      <c r="BX105" s="58">
        <f t="shared" si="69"/>
        <v>0</v>
      </c>
      <c r="BY105" s="58">
        <f t="shared" si="69"/>
        <v>0</v>
      </c>
      <c r="BZ105" s="59">
        <f t="shared" si="69"/>
        <v>0</v>
      </c>
    </row>
    <row r="107" spans="1:78" s="758" customFormat="1" ht="14.1" customHeight="1" x14ac:dyDescent="0.2">
      <c r="A107"/>
      <c r="B107"/>
      <c r="C107" s="60"/>
      <c r="R107" s="759"/>
    </row>
    <row r="108" spans="1:78" s="758" customFormat="1" ht="14.1" customHeight="1" x14ac:dyDescent="0.2">
      <c r="A108"/>
      <c r="B108"/>
      <c r="C108" s="60"/>
      <c r="R108" s="759"/>
    </row>
    <row r="109" spans="1:78" s="758" customFormat="1" ht="14.1" customHeight="1" x14ac:dyDescent="0.2">
      <c r="A109"/>
      <c r="B109"/>
      <c r="C109" s="60"/>
      <c r="R109" s="759"/>
    </row>
    <row r="110" spans="1:78" s="758" customFormat="1" ht="14.1" customHeight="1" x14ac:dyDescent="0.2">
      <c r="A110"/>
      <c r="B110"/>
      <c r="C110" s="60"/>
      <c r="R110" s="759"/>
    </row>
    <row r="111" spans="1:78" s="758" customFormat="1" ht="14.1" customHeight="1" x14ac:dyDescent="0.2">
      <c r="A111"/>
      <c r="B111"/>
      <c r="C111" s="60"/>
      <c r="R111" s="759"/>
    </row>
    <row r="112" spans="1:78" s="758" customFormat="1" ht="14.1" customHeight="1" x14ac:dyDescent="0.2">
      <c r="A112"/>
      <c r="B112"/>
      <c r="C112" s="60"/>
      <c r="R112" s="759"/>
    </row>
    <row r="113" spans="1:18" s="758" customFormat="1" ht="14.1" customHeight="1" x14ac:dyDescent="0.2">
      <c r="A113"/>
      <c r="B113"/>
      <c r="C113" s="60"/>
      <c r="R113" s="759"/>
    </row>
    <row r="114" spans="1:18" s="758" customFormat="1" ht="14.1" customHeight="1" x14ac:dyDescent="0.2">
      <c r="A114"/>
      <c r="B114"/>
      <c r="C114" s="60"/>
      <c r="R114" s="759"/>
    </row>
    <row r="115" spans="1:18" s="758" customFormat="1" ht="14.1" customHeight="1" x14ac:dyDescent="0.2">
      <c r="A115"/>
      <c r="B115"/>
      <c r="C115" s="60"/>
      <c r="R115" s="759"/>
    </row>
    <row r="116" spans="1:18" s="758" customFormat="1" ht="14.1" customHeight="1" x14ac:dyDescent="0.2">
      <c r="A116"/>
      <c r="B116"/>
      <c r="C116" s="60"/>
      <c r="R116" s="759"/>
    </row>
    <row r="117" spans="1:18" s="758" customFormat="1" ht="14.1" customHeight="1" x14ac:dyDescent="0.2">
      <c r="A117"/>
      <c r="B117"/>
      <c r="C117" s="60"/>
      <c r="R117" s="759"/>
    </row>
    <row r="118" spans="1:18" s="758" customFormat="1" ht="14.1" customHeight="1" x14ac:dyDescent="0.2">
      <c r="A118"/>
      <c r="B118"/>
      <c r="C118" s="60"/>
      <c r="R118" s="759"/>
    </row>
    <row r="119" spans="1:18" s="758" customFormat="1" ht="14.1" customHeight="1" x14ac:dyDescent="0.2">
      <c r="A119"/>
      <c r="B119"/>
      <c r="C119" s="60"/>
      <c r="R119" s="759"/>
    </row>
    <row r="120" spans="1:18" s="758" customFormat="1" ht="14.1" customHeight="1" x14ac:dyDescent="0.2">
      <c r="A120"/>
      <c r="B120"/>
      <c r="C120" s="60"/>
      <c r="R120" s="759"/>
    </row>
  </sheetData>
  <mergeCells count="33">
    <mergeCell ref="R8:AA8"/>
    <mergeCell ref="AC8:AN8"/>
    <mergeCell ref="R43:AA43"/>
    <mergeCell ref="C8:O8"/>
    <mergeCell ref="BB104:BF104"/>
    <mergeCell ref="BB60:BF60"/>
    <mergeCell ref="R101:AZ101"/>
    <mergeCell ref="X60:AB60"/>
    <mergeCell ref="O50:S50"/>
    <mergeCell ref="O56:S56"/>
    <mergeCell ref="O62:S62"/>
    <mergeCell ref="BG104:BK104"/>
    <mergeCell ref="BL104:BP104"/>
    <mergeCell ref="BQ104:BU104"/>
    <mergeCell ref="BV104:BZ104"/>
    <mergeCell ref="R102:BA102"/>
    <mergeCell ref="S104:W104"/>
    <mergeCell ref="X104:AB104"/>
    <mergeCell ref="AC104:AG104"/>
    <mergeCell ref="AH104:AL104"/>
    <mergeCell ref="AM104:AQ104"/>
    <mergeCell ref="AR104:AV104"/>
    <mergeCell ref="AW104:BA104"/>
    <mergeCell ref="BG60:BK60"/>
    <mergeCell ref="BL60:BP60"/>
    <mergeCell ref="BQ60:BU60"/>
    <mergeCell ref="BV60:BZ60"/>
    <mergeCell ref="AC43:AN43"/>
    <mergeCell ref="AC60:AG60"/>
    <mergeCell ref="AH60:AL60"/>
    <mergeCell ref="AM60:AQ60"/>
    <mergeCell ref="AR60:AV60"/>
    <mergeCell ref="AW60:BA60"/>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9C070-0897-4AA5-9C7B-0E7DB3A8CCE7}">
  <dimension ref="A1:CE136"/>
  <sheetViews>
    <sheetView showGridLines="0" workbookViewId="0">
      <pane xSplit="3" topLeftCell="D1" activePane="topRight" state="frozen"/>
      <selection activeCell="E57" sqref="E57"/>
      <selection pane="topRight" activeCell="G37" sqref="G37:K37"/>
    </sheetView>
  </sheetViews>
  <sheetFormatPr defaultColWidth="9.01171875" defaultRowHeight="14.1" customHeight="1" outlineLevelCol="1" x14ac:dyDescent="0.2"/>
  <cols>
    <col min="1" max="1" width="0.671875" customWidth="1"/>
    <col min="2" max="2" width="0.8046875" customWidth="1"/>
    <col min="3" max="3" width="41.8359375" style="60" customWidth="1"/>
    <col min="4" max="6" width="10.22265625" style="60" customWidth="1" outlineLevel="1"/>
    <col min="7" max="7" width="10.22265625" style="60" customWidth="1"/>
    <col min="8" max="9" width="10.22265625" style="60" bestFit="1" customWidth="1"/>
    <col min="10" max="10" width="10.22265625" style="60" customWidth="1"/>
    <col min="11" max="15" width="10.22265625" style="60" bestFit="1" customWidth="1"/>
    <col min="16" max="16" width="9.01171875" style="60" customWidth="1"/>
    <col min="17" max="17" width="5.6484375" style="60" customWidth="1"/>
    <col min="18" max="18" width="41.96875" style="60" customWidth="1"/>
    <col min="19" max="19" width="10.22265625" style="60" hidden="1" customWidth="1" outlineLevel="1"/>
    <col min="20" max="43" width="9.01171875" style="60" hidden="1" customWidth="1" outlineLevel="1"/>
    <col min="44" max="44" width="9.01171875" style="60" collapsed="1"/>
    <col min="45" max="47" width="9.01171875" style="60"/>
    <col min="48" max="48" width="9.01171875" style="60" customWidth="1" outlineLevel="1"/>
    <col min="49" max="52" width="9.01171875" style="60"/>
    <col min="53" max="53" width="9.01171875" style="60" customWidth="1" outlineLevel="1"/>
    <col min="54" max="57" width="9.01171875" style="60"/>
    <col min="58" max="58" width="9.01171875" style="60" customWidth="1" outlineLevel="1"/>
    <col min="59" max="62" width="9.01171875" style="60"/>
    <col min="63" max="63" width="9.01171875" style="60" customWidth="1" outlineLevel="1"/>
    <col min="64" max="67" width="9.01171875" style="60"/>
    <col min="68" max="68" width="9.01171875" style="60" customWidth="1" outlineLevel="1"/>
    <col min="69" max="72" width="9.01171875" style="60"/>
    <col min="73" max="73" width="9.01171875" style="60" customWidth="1" outlineLevel="1"/>
    <col min="74" max="77" width="9.01171875" style="60"/>
    <col min="78" max="78" width="9.01171875" style="60" customWidth="1" outlineLevel="1"/>
    <col min="79" max="16384" width="9.01171875" style="60"/>
  </cols>
  <sheetData>
    <row r="1" spans="1:83" customFormat="1" ht="3" customHeight="1" x14ac:dyDescent="0.2"/>
    <row r="2" spans="1:83" customFormat="1" ht="1.1499999999999999" customHeight="1" x14ac:dyDescent="0.2"/>
    <row r="3" spans="1:83" s="41" customFormat="1" ht="18" customHeight="1" x14ac:dyDescent="0.25">
      <c r="A3"/>
      <c r="B3"/>
      <c r="C3" s="47" t="str">
        <f>Company_Name</f>
        <v>SAIA, Inc.</v>
      </c>
      <c r="D3" s="48"/>
      <c r="E3" s="48"/>
      <c r="F3" s="48"/>
      <c r="G3" s="48"/>
      <c r="H3" s="48"/>
      <c r="I3" s="48"/>
      <c r="J3" s="48"/>
      <c r="K3" s="48"/>
      <c r="L3" s="48"/>
      <c r="M3" s="48"/>
      <c r="N3" s="48"/>
      <c r="O3" s="48"/>
      <c r="P3" s="744" t="s">
        <v>172</v>
      </c>
      <c r="Q3" s="744"/>
      <c r="R3" s="1374" t="str">
        <f>C3</f>
        <v>SAIA, Inc.</v>
      </c>
      <c r="S3" s="1374"/>
      <c r="T3" s="1374"/>
      <c r="U3" s="1374"/>
      <c r="V3" s="1374"/>
      <c r="W3" s="1374"/>
      <c r="X3" s="1374"/>
      <c r="Y3" s="1374"/>
      <c r="Z3" s="1374"/>
      <c r="AA3" s="1374"/>
      <c r="AB3" s="1374"/>
      <c r="AC3" s="1374"/>
      <c r="AD3" s="1374"/>
      <c r="AE3" s="1374"/>
      <c r="AF3" s="1374"/>
      <c r="AG3" s="1374"/>
      <c r="AH3" s="1374"/>
      <c r="AI3" s="1374"/>
      <c r="AJ3" s="1374"/>
      <c r="AK3" s="1374"/>
      <c r="AL3" s="1374"/>
      <c r="AM3" s="1374"/>
      <c r="AN3" s="1374"/>
      <c r="AO3" s="1374"/>
      <c r="AP3" s="1374"/>
      <c r="AQ3" s="1374"/>
      <c r="AR3" s="1374"/>
      <c r="AS3" s="1374"/>
      <c r="AT3" s="1374"/>
      <c r="AU3" s="1374"/>
      <c r="AV3" s="1374"/>
      <c r="AW3" s="1374"/>
      <c r="AX3" s="1374"/>
      <c r="AY3" s="1374"/>
      <c r="AZ3" s="1374"/>
      <c r="BA3" s="47"/>
      <c r="BB3" s="47"/>
      <c r="BC3" s="47"/>
      <c r="BD3" s="47"/>
      <c r="BE3" s="47"/>
      <c r="BF3" s="47"/>
      <c r="BG3" s="47"/>
      <c r="BH3" s="47"/>
      <c r="BI3" s="47"/>
      <c r="BJ3" s="47"/>
      <c r="BK3" s="47"/>
      <c r="BL3" s="47"/>
      <c r="BM3" s="47"/>
      <c r="BN3" s="47"/>
      <c r="BO3" s="47"/>
      <c r="BP3" s="47"/>
      <c r="BQ3" s="47"/>
      <c r="BR3" s="47"/>
      <c r="BS3" s="47"/>
      <c r="BT3" s="47"/>
      <c r="BU3" s="47"/>
      <c r="BV3" s="47"/>
      <c r="BW3" s="47"/>
      <c r="BX3" s="47"/>
      <c r="BY3" s="47"/>
      <c r="BZ3" s="47"/>
    </row>
    <row r="4" spans="1:83" s="62" customFormat="1" ht="15" x14ac:dyDescent="0.2">
      <c r="A4"/>
      <c r="B4"/>
      <c r="C4" s="48"/>
      <c r="D4" s="48"/>
      <c r="E4" s="48"/>
      <c r="F4" s="48"/>
      <c r="G4" s="48"/>
      <c r="H4" s="48"/>
      <c r="I4" s="48"/>
      <c r="J4" s="48"/>
      <c r="K4" s="48"/>
      <c r="L4" s="48"/>
      <c r="M4" s="48"/>
      <c r="N4" s="67" t="str" cm="1">
        <f t="array" ref="N4">"DCF Share Value as of "&amp;TEXT(DCF_ShareValue_Date,"MM/DD/YYYY")&amp;":"</f>
        <v>DCF Share Value as of 12/31/2024:</v>
      </c>
      <c r="O4" s="64"/>
      <c r="P4" s="744"/>
      <c r="Q4" s="744"/>
      <c r="R4" s="1375" t="str">
        <f>C4&amp;" Quarterly and Year Basis"</f>
        <v xml:space="preserve"> Quarterly and Year Basis</v>
      </c>
      <c r="S4" s="1375"/>
      <c r="T4" s="1375"/>
      <c r="U4" s="1375"/>
      <c r="V4" s="1375"/>
      <c r="W4" s="1375"/>
      <c r="X4" s="1375"/>
      <c r="Y4" s="1375"/>
      <c r="Z4" s="1375"/>
      <c r="AA4" s="1375"/>
      <c r="AB4" s="1375"/>
      <c r="AC4" s="1375"/>
      <c r="AD4" s="1375"/>
      <c r="AE4" s="1375"/>
      <c r="AF4" s="1375"/>
      <c r="AG4" s="1375"/>
      <c r="AH4" s="1375"/>
      <c r="AI4" s="1375"/>
      <c r="AJ4" s="1375"/>
      <c r="AK4" s="1375"/>
      <c r="AL4" s="1375"/>
      <c r="AM4" s="1375"/>
      <c r="AN4" s="1375"/>
      <c r="AO4" s="1375"/>
      <c r="AP4" s="1375"/>
      <c r="AQ4" s="1375"/>
      <c r="AR4" s="1375"/>
      <c r="AS4" s="1375"/>
      <c r="AT4" s="1375"/>
      <c r="AU4" s="1375"/>
      <c r="AV4" s="1375"/>
      <c r="AW4" s="1375"/>
      <c r="AX4" s="1375"/>
      <c r="AY4" s="1375"/>
      <c r="AZ4" s="1375"/>
      <c r="BA4" s="1375"/>
      <c r="BB4" s="63"/>
      <c r="BC4" s="63"/>
      <c r="BD4" s="63"/>
      <c r="BE4" s="63"/>
      <c r="BF4" s="63"/>
      <c r="BG4" s="63"/>
      <c r="BH4" s="63"/>
      <c r="BI4" s="63"/>
      <c r="BJ4" s="63"/>
      <c r="BK4" s="63"/>
      <c r="BL4" s="63"/>
      <c r="BM4" s="63"/>
      <c r="BN4" s="63"/>
      <c r="BO4" s="63"/>
      <c r="BP4" s="63"/>
      <c r="BQ4" s="63"/>
      <c r="BR4" s="63"/>
      <c r="BS4" s="63"/>
      <c r="BT4" s="63"/>
      <c r="BU4" s="63"/>
      <c r="BV4" s="63"/>
      <c r="BW4" s="63"/>
      <c r="BX4" s="63"/>
      <c r="BY4" s="63"/>
      <c r="BZ4" s="63"/>
    </row>
    <row r="5" spans="1:83" s="61" customFormat="1" ht="15" x14ac:dyDescent="0.2">
      <c r="A5"/>
      <c r="B5"/>
      <c r="C5" s="46" t="str">
        <f>"($ in millions, fiscal year ending "&amp;TEXT(FY_Year_End,"MMMM,DD")&amp;")"</f>
        <v>($ in millions, fiscal year ending December,31)</v>
      </c>
      <c r="D5" s="49"/>
      <c r="E5" s="49"/>
      <c r="F5" s="49"/>
      <c r="G5" s="49"/>
      <c r="H5" s="49" t="str">
        <f>"Ticker: "&amp;Company_Ticker</f>
        <v>Ticker: SAIA</v>
      </c>
      <c r="I5" s="49"/>
      <c r="J5" s="49"/>
      <c r="K5" s="49"/>
      <c r="L5" s="49"/>
      <c r="M5" s="49"/>
      <c r="N5" s="66" t="str" cm="1">
        <f t="array" ref="N5">"Market Share Price as of "&amp;TEXT(Market_Share_Price_Date,"MM/DD/YYYY")&amp;":"</f>
        <v>Market Share Price as of 12/31/2024:</v>
      </c>
      <c r="O5" s="65">
        <f>Market_Share_Price</f>
        <v>455.73</v>
      </c>
      <c r="P5" s="744"/>
      <c r="Q5" s="744"/>
      <c r="R5" s="96"/>
      <c r="S5" s="1367">
        <f>D7</f>
        <v>43100</v>
      </c>
      <c r="T5" s="1368"/>
      <c r="U5" s="1368"/>
      <c r="V5" s="1368"/>
      <c r="W5" s="1368"/>
      <c r="X5" s="1368">
        <f>DATE(YEAR(S5)+1,MONTH(S5),DAY(S5))</f>
        <v>43465</v>
      </c>
      <c r="Y5" s="1368"/>
      <c r="Z5" s="1368"/>
      <c r="AA5" s="1368"/>
      <c r="AB5" s="1368"/>
      <c r="AC5" s="1368">
        <f>DATE(YEAR(X5)+1,MONTH(X5),DAY(X5))</f>
        <v>43830</v>
      </c>
      <c r="AD5" s="1368"/>
      <c r="AE5" s="1368"/>
      <c r="AF5" s="1368"/>
      <c r="AG5" s="1368"/>
      <c r="AH5" s="1368">
        <f>DATE(YEAR(AC5)+1,MONTH(AC5),DAY(AC5))</f>
        <v>44196</v>
      </c>
      <c r="AI5" s="1368"/>
      <c r="AJ5" s="1368"/>
      <c r="AK5" s="1368"/>
      <c r="AL5" s="1368"/>
      <c r="AM5" s="1368">
        <f>DATE(YEAR(AH5)+1,MONTH(AH5),DAY(AH5))</f>
        <v>44561</v>
      </c>
      <c r="AN5" s="1368"/>
      <c r="AO5" s="1368"/>
      <c r="AP5" s="1368"/>
      <c r="AQ5" s="1368"/>
      <c r="AR5" s="1368">
        <f>DATE(YEAR(AM5)+1,MONTH(AM5),DAY(AM5))</f>
        <v>44926</v>
      </c>
      <c r="AS5" s="1368"/>
      <c r="AT5" s="1368"/>
      <c r="AU5" s="1368"/>
      <c r="AV5" s="1368"/>
      <c r="AW5" s="1368">
        <f>DATE(YEAR(AR5)+1,MONTH(AR5),DAY(AR5))</f>
        <v>45291</v>
      </c>
      <c r="AX5" s="1368"/>
      <c r="AY5" s="1368"/>
      <c r="AZ5" s="1368"/>
      <c r="BA5" s="1368"/>
      <c r="BB5" s="1369">
        <f>DATE(YEAR(AW5)+1,MONTH(AW5),DAY(AW5))</f>
        <v>45657</v>
      </c>
      <c r="BC5" s="1369"/>
      <c r="BD5" s="1369"/>
      <c r="BE5" s="1369"/>
      <c r="BF5" s="1369"/>
      <c r="BG5" s="1365">
        <f>DATE(YEAR(BB5)+1,MONTH(BB5),DAY(BB5))</f>
        <v>46022</v>
      </c>
      <c r="BH5" s="1365"/>
      <c r="BI5" s="1365"/>
      <c r="BJ5" s="1365"/>
      <c r="BK5" s="1365"/>
      <c r="BL5" s="1365">
        <f>DATE(YEAR(BG5)+1,MONTH(BG5),DAY(BG5))</f>
        <v>46387</v>
      </c>
      <c r="BM5" s="1365"/>
      <c r="BN5" s="1365"/>
      <c r="BO5" s="1365"/>
      <c r="BP5" s="1365"/>
      <c r="BQ5" s="1365">
        <f>DATE(YEAR(BL5)+1,MONTH(BL5),DAY(BL5))</f>
        <v>46752</v>
      </c>
      <c r="BR5" s="1365"/>
      <c r="BS5" s="1365"/>
      <c r="BT5" s="1365"/>
      <c r="BU5" s="1365"/>
      <c r="BV5" s="1365">
        <f>DATE(YEAR(BQ5)+1,MONTH(BQ5),DAY(BQ5))</f>
        <v>47118</v>
      </c>
      <c r="BW5" s="1365"/>
      <c r="BX5" s="1365"/>
      <c r="BY5" s="1365"/>
      <c r="BZ5" s="1366"/>
      <c r="CA5" s="1388"/>
      <c r="CB5" s="1388"/>
      <c r="CC5" s="1388"/>
      <c r="CD5" s="1388"/>
      <c r="CE5" s="1388"/>
    </row>
    <row r="6" spans="1:83" s="45" customFormat="1" ht="1.5" customHeight="1" x14ac:dyDescent="0.2">
      <c r="A6"/>
      <c r="B6"/>
      <c r="C6" s="42" t="s">
        <v>49</v>
      </c>
      <c r="D6" s="42">
        <v>6</v>
      </c>
      <c r="E6" s="42">
        <v>5</v>
      </c>
      <c r="F6" s="42">
        <v>4</v>
      </c>
      <c r="G6" s="42">
        <v>3</v>
      </c>
      <c r="H6" s="42">
        <v>2</v>
      </c>
      <c r="I6" s="42">
        <v>1</v>
      </c>
      <c r="J6" s="42"/>
      <c r="K6" s="42">
        <v>1</v>
      </c>
      <c r="L6" s="42">
        <v>2</v>
      </c>
      <c r="M6" s="42">
        <v>3</v>
      </c>
      <c r="N6" s="42">
        <v>4</v>
      </c>
      <c r="O6" s="42">
        <v>5</v>
      </c>
      <c r="P6" s="744">
        <v>6</v>
      </c>
      <c r="Q6" s="744"/>
      <c r="R6" s="42"/>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4"/>
      <c r="CB6" s="44"/>
      <c r="CC6" s="44"/>
      <c r="CD6" s="44"/>
      <c r="CE6" s="44"/>
    </row>
    <row r="7" spans="1:83" s="50" customFormat="1" ht="15" x14ac:dyDescent="0.2">
      <c r="A7"/>
      <c r="B7"/>
      <c r="C7" s="638"/>
      <c r="D7" s="51">
        <f t="shared" ref="D7:I7" si="0">DATE(Base_Year-D6,MONTH(FY_Year_End),DAY(FY_Year_End))</f>
        <v>43100</v>
      </c>
      <c r="E7" s="52">
        <f t="shared" si="0"/>
        <v>43465</v>
      </c>
      <c r="F7" s="52">
        <f t="shared" si="0"/>
        <v>43830</v>
      </c>
      <c r="G7" s="52">
        <f t="shared" si="0"/>
        <v>44196</v>
      </c>
      <c r="H7" s="52">
        <f t="shared" si="0"/>
        <v>44561</v>
      </c>
      <c r="I7" s="52">
        <f t="shared" si="0"/>
        <v>44926</v>
      </c>
      <c r="J7" s="52">
        <f>DATE(Base_Year,MONTH(FY_Year_End),DAY(FY_Year_End))</f>
        <v>45291</v>
      </c>
      <c r="K7" s="53">
        <f t="shared" ref="K7:P7" si="1">DATE(Base_Year+K6,MONTH(FY_Year_End),DAY(FY_Year_End))</f>
        <v>45657</v>
      </c>
      <c r="L7" s="54">
        <f t="shared" si="1"/>
        <v>46022</v>
      </c>
      <c r="M7" s="54">
        <f t="shared" si="1"/>
        <v>46387</v>
      </c>
      <c r="N7" s="54">
        <f t="shared" si="1"/>
        <v>46752</v>
      </c>
      <c r="O7" s="639">
        <f t="shared" si="1"/>
        <v>47118</v>
      </c>
      <c r="P7" s="639">
        <f t="shared" si="1"/>
        <v>47483</v>
      </c>
      <c r="Q7" s="744"/>
      <c r="R7" s="56"/>
      <c r="S7" s="56" t="str">
        <f>TEXT(S5,"YYYY")&amp; " Q"&amp;$K$6</f>
        <v>2017 Q1</v>
      </c>
      <c r="T7" s="57" t="str">
        <f>TEXT(S5,"YYYY")&amp; " Q"&amp;$L$6</f>
        <v>2017 Q2</v>
      </c>
      <c r="U7" s="57" t="str">
        <f>TEXT(S5,"YYYY")&amp; " Q"&amp;$M$6</f>
        <v>2017 Q3</v>
      </c>
      <c r="V7" s="57" t="str">
        <f>TEXT(S5,"YYYY")&amp; " Q"&amp;$N$6</f>
        <v>2017 Q4</v>
      </c>
      <c r="W7" s="57" t="str">
        <f>TEXT(S5,"YYYY")&amp; " FY"</f>
        <v>2017 FY</v>
      </c>
      <c r="X7" s="57" t="str">
        <f>TEXT(X5,"YYYY")&amp; " Q"&amp;$K$6</f>
        <v>2018 Q1</v>
      </c>
      <c r="Y7" s="57" t="str">
        <f>TEXT(X5,"YYYY")&amp; " Q"&amp;$L$6</f>
        <v>2018 Q2</v>
      </c>
      <c r="Z7" s="57" t="str">
        <f>TEXT(X5,"YYYY")&amp; " Q"&amp;$M$6</f>
        <v>2018 Q3</v>
      </c>
      <c r="AA7" s="57" t="str">
        <f>TEXT(X5,"YYYY")&amp; " Q"&amp;$N$6</f>
        <v>2018 Q4</v>
      </c>
      <c r="AB7" s="57" t="str">
        <f>TEXT(X5,"YYYY")&amp; " FY"</f>
        <v>2018 FY</v>
      </c>
      <c r="AC7" s="57" t="str">
        <f>TEXT(AC5,"YYYY")&amp; " Q"&amp;$K$6</f>
        <v>2019 Q1</v>
      </c>
      <c r="AD7" s="57" t="str">
        <f>TEXT(AC5,"YYYY")&amp; " Q"&amp;$L$6</f>
        <v>2019 Q2</v>
      </c>
      <c r="AE7" s="57" t="str">
        <f>TEXT(AC5,"YYYY")&amp; " Q"&amp;$M$6</f>
        <v>2019 Q3</v>
      </c>
      <c r="AF7" s="57" t="str">
        <f>TEXT(AC5,"YYYY")&amp; " Q"&amp;$N$6</f>
        <v>2019 Q4</v>
      </c>
      <c r="AG7" s="57" t="str">
        <f>TEXT(AC5,"YYYY")&amp; " FY"</f>
        <v>2019 FY</v>
      </c>
      <c r="AH7" s="57" t="str">
        <f>TEXT(AH5,"YYYY")&amp; " Q"&amp;$K$6</f>
        <v>2020 Q1</v>
      </c>
      <c r="AI7" s="57" t="str">
        <f>TEXT(AH5,"YYYY")&amp; " Q"&amp;$L$6</f>
        <v>2020 Q2</v>
      </c>
      <c r="AJ7" s="57" t="str">
        <f>TEXT(AH5,"YYYY")&amp; " Q"&amp;$M$6</f>
        <v>2020 Q3</v>
      </c>
      <c r="AK7" s="57" t="str">
        <f>TEXT(AH5,"YYYY")&amp; " Q"&amp;$N$6</f>
        <v>2020 Q4</v>
      </c>
      <c r="AL7" s="57" t="str">
        <f>TEXT(AH5,"YYYY")&amp; " FY"</f>
        <v>2020 FY</v>
      </c>
      <c r="AM7" s="57" t="str">
        <f>TEXT(AM5,"YYYY")&amp; " Q"&amp;$K$6</f>
        <v>2021 Q1</v>
      </c>
      <c r="AN7" s="57" t="str">
        <f>TEXT(AM5,"YYYY")&amp; " Q"&amp;$L$6</f>
        <v>2021 Q2</v>
      </c>
      <c r="AO7" s="57" t="str">
        <f>TEXT(AM5,"YYYY")&amp; " Q"&amp;$M$6</f>
        <v>2021 Q3</v>
      </c>
      <c r="AP7" s="57" t="str">
        <f>TEXT(AM5,"YYYY")&amp; " Q"&amp;$N$6</f>
        <v>2021 Q4</v>
      </c>
      <c r="AQ7" s="57" t="str">
        <f>TEXT(AM5,"YYYY")&amp; " FY"</f>
        <v>2021 FY</v>
      </c>
      <c r="AR7" s="57" t="str">
        <f>TEXT(AR5,"YYYY")&amp; " Q"&amp;$K$6</f>
        <v>2022 Q1</v>
      </c>
      <c r="AS7" s="57" t="str">
        <f>TEXT(AR5,"YYYY")&amp; " Q"&amp;$L$6</f>
        <v>2022 Q2</v>
      </c>
      <c r="AT7" s="57" t="str">
        <f>TEXT(AR5,"YYYY")&amp; " Q"&amp;$M$6</f>
        <v>2022 Q3</v>
      </c>
      <c r="AU7" s="57" t="str">
        <f>TEXT(AR5,"YYYY")&amp; " Q"&amp;$N$6</f>
        <v>2022 Q4</v>
      </c>
      <c r="AV7" s="57" t="str">
        <f>TEXT(AR5,"YYYY")&amp; " FY"</f>
        <v>2022 FY</v>
      </c>
      <c r="AW7" s="57" t="str">
        <f>TEXT(AW5,"YYYY")&amp; " Q"&amp;$K$6</f>
        <v>2023 Q1</v>
      </c>
      <c r="AX7" s="57" t="str">
        <f>TEXT(AW5,"YYYY")&amp; " Q"&amp;$L$6</f>
        <v>2023 Q2</v>
      </c>
      <c r="AY7" s="57" t="str">
        <f>TEXT(AW5,"YYYY")&amp; " Q"&amp;$M$6</f>
        <v>2023 Q3</v>
      </c>
      <c r="AZ7" s="57" t="str">
        <f>TEXT(AW5,"YYYY")&amp; " Q"&amp;$N$6</f>
        <v>2023 Q4</v>
      </c>
      <c r="BA7" s="57" t="str">
        <f>TEXT(AW5,"YYYY")&amp; " FY"</f>
        <v>2023 FY</v>
      </c>
      <c r="BB7" s="57" t="str">
        <f>TEXT(BB5,"YYYY")&amp; " Q"&amp;$K$6</f>
        <v>2024 Q1</v>
      </c>
      <c r="BC7" s="57" t="str">
        <f>TEXT(BB5,"YYYY")&amp; " Q"&amp;$L$6</f>
        <v>2024 Q2</v>
      </c>
      <c r="BD7" s="57" t="str">
        <f>TEXT(BB5,"YYYY")&amp; " Q"&amp;$M$6</f>
        <v>2024 Q3</v>
      </c>
      <c r="BE7" s="58" t="str">
        <f>TEXT(BB5,"YYYY")&amp; " Q"&amp;$N$6</f>
        <v>2024 Q4</v>
      </c>
      <c r="BF7" s="58" t="str">
        <f>TEXT(BB5,"YYYY")&amp; " FY"</f>
        <v>2024 FY</v>
      </c>
      <c r="BG7" s="58" t="str">
        <f>TEXT(BG5,"YYYY")&amp; " Q"&amp;$K$6</f>
        <v>2025 Q1</v>
      </c>
      <c r="BH7" s="58" t="str">
        <f>TEXT(BG5,"YYYY")&amp; " Q"&amp;$L$6</f>
        <v>2025 Q2</v>
      </c>
      <c r="BI7" s="58" t="str">
        <f>TEXT(BG5,"YYYY")&amp; " Q"&amp;$M$6</f>
        <v>2025 Q3</v>
      </c>
      <c r="BJ7" s="58" t="str">
        <f>TEXT(BG5,"YYYY")&amp; " Q"&amp;$N$6</f>
        <v>2025 Q4</v>
      </c>
      <c r="BK7" s="58" t="str">
        <f>TEXT(BG5,"YYYY")&amp; " FY"</f>
        <v>2025 FY</v>
      </c>
      <c r="BL7" s="58" t="str">
        <f>TEXT(BL5,"YYYY")&amp; " Q"&amp;$K$6</f>
        <v>2026 Q1</v>
      </c>
      <c r="BM7" s="58" t="str">
        <f>TEXT(BL5,"YYYY")&amp; " Q"&amp;$L$6</f>
        <v>2026 Q2</v>
      </c>
      <c r="BN7" s="58" t="str">
        <f>TEXT(BL5,"YYYY")&amp; " Q"&amp;$M$6</f>
        <v>2026 Q3</v>
      </c>
      <c r="BO7" s="58" t="str">
        <f>TEXT(BL5,"YYYY")&amp; " Q"&amp;$N$6</f>
        <v>2026 Q4</v>
      </c>
      <c r="BP7" s="58" t="str">
        <f>TEXT(BL5,"YYYY")&amp; " FY"</f>
        <v>2026 FY</v>
      </c>
      <c r="BQ7" s="58" t="str">
        <f>TEXT(BQ5,"YYYY")&amp; " Q"&amp;$K$6</f>
        <v>2027 Q1</v>
      </c>
      <c r="BR7" s="58" t="str">
        <f>TEXT(BQ5,"YYYY")&amp; " Q"&amp;$L$6</f>
        <v>2027 Q2</v>
      </c>
      <c r="BS7" s="58" t="str">
        <f>TEXT(BQ5,"YYYY")&amp; " Q"&amp;$M$6</f>
        <v>2027 Q3</v>
      </c>
      <c r="BT7" s="58" t="str">
        <f>TEXT(BQ5,"YYYY")&amp; " Q"&amp;$N$6</f>
        <v>2027 Q4</v>
      </c>
      <c r="BU7" s="58" t="str">
        <f>TEXT(BQ5,"YYYY")&amp; " FY"</f>
        <v>2027 FY</v>
      </c>
      <c r="BV7" s="58" t="str">
        <f>TEXT(BV5,"YYYY")&amp; " Q"&amp;$K$6</f>
        <v>2028 Q1</v>
      </c>
      <c r="BW7" s="58" t="str">
        <f>TEXT(BV5,"YYYY")&amp; " Q"&amp;$L$6</f>
        <v>2028 Q2</v>
      </c>
      <c r="BX7" s="58" t="str">
        <f>TEXT(BV5,"YYYY")&amp; " Q"&amp;$M$6</f>
        <v>2028 Q3</v>
      </c>
      <c r="BY7" s="58" t="str">
        <f>TEXT(BV5,"YYYY")&amp; " Q"&amp;$N$6</f>
        <v>2028 Q4</v>
      </c>
      <c r="BZ7" s="59" t="str">
        <f>TEXT(BV5,"YYYY")&amp; " FY"</f>
        <v>2028 FY</v>
      </c>
    </row>
    <row r="8" spans="1:83" s="114" customFormat="1" ht="14.1" customHeight="1" x14ac:dyDescent="0.2">
      <c r="A8"/>
      <c r="B8"/>
      <c r="C8" s="710" t="s">
        <v>338</v>
      </c>
      <c r="D8" s="161"/>
      <c r="R8" s="707"/>
    </row>
    <row r="9" spans="1:83" s="161" customFormat="1" ht="14.1" customHeight="1" x14ac:dyDescent="0.2">
      <c r="A9"/>
      <c r="B9"/>
      <c r="C9" s="741" t="s">
        <v>350</v>
      </c>
      <c r="R9" s="707"/>
    </row>
    <row r="10" spans="1:83" s="114" customFormat="1" ht="14.1" customHeight="1" x14ac:dyDescent="0.2">
      <c r="A10"/>
      <c r="B10"/>
      <c r="C10" s="740" t="s">
        <v>349</v>
      </c>
      <c r="R10" s="708"/>
    </row>
    <row r="11" spans="1:83" s="114" customFormat="1" ht="14.1" customHeight="1" x14ac:dyDescent="0.2">
      <c r="A11"/>
      <c r="B11"/>
      <c r="C11" s="707" t="s">
        <v>344</v>
      </c>
      <c r="R11" s="708"/>
    </row>
    <row r="12" spans="1:83" s="114" customFormat="1" ht="14.1" customHeight="1" x14ac:dyDescent="0.2">
      <c r="A12"/>
      <c r="B12"/>
      <c r="C12" s="739" t="s">
        <v>339</v>
      </c>
      <c r="G12" s="114">
        <f>'Balance Sheet'!F21</f>
        <v>103.89</v>
      </c>
      <c r="H12" s="114">
        <f>'Balance Sheet'!G21</f>
        <v>113.715</v>
      </c>
      <c r="I12" s="114">
        <f>'Balance Sheet'!H21</f>
        <v>107.78100000000001</v>
      </c>
      <c r="J12" s="114">
        <f>'Balance Sheet'!I21</f>
        <v>120.455</v>
      </c>
      <c r="K12" s="114">
        <f>'Balance Sheet'!J21</f>
        <v>118.73399999999999</v>
      </c>
      <c r="R12" s="708"/>
    </row>
    <row r="13" spans="1:83" s="114" customFormat="1" ht="14.1" customHeight="1" x14ac:dyDescent="0.2">
      <c r="A13"/>
      <c r="B13"/>
      <c r="C13" s="739" t="s">
        <v>340</v>
      </c>
      <c r="G13" s="114">
        <f>-G28/7</f>
        <v>-36.611857142857147</v>
      </c>
      <c r="H13" s="114">
        <f>-H28/7</f>
        <v>-33.769999999999996</v>
      </c>
      <c r="I13" s="114">
        <f>-I28/7</f>
        <v>-37.815714285714293</v>
      </c>
      <c r="J13" s="114">
        <f>-J28/7</f>
        <v>-37.828142857142858</v>
      </c>
      <c r="K13" s="114">
        <f>-K28/7</f>
        <v>0</v>
      </c>
      <c r="R13" s="708"/>
    </row>
    <row r="14" spans="1:83" s="114" customFormat="1" ht="14.1" customHeight="1" x14ac:dyDescent="0.2">
      <c r="A14"/>
      <c r="B14"/>
      <c r="C14" s="739" t="s">
        <v>341</v>
      </c>
      <c r="G14" s="114">
        <f>G20</f>
        <v>6.6472389764229565</v>
      </c>
      <c r="H14" s="114">
        <f>H20</f>
        <v>5.3459790894199317</v>
      </c>
      <c r="I14" s="114">
        <f>I20</f>
        <v>5.6086739999999997</v>
      </c>
      <c r="J14" s="114">
        <f>J20</f>
        <v>6.4771108628957199</v>
      </c>
      <c r="K14" s="114">
        <f>K20</f>
        <v>6.5998260000000011</v>
      </c>
      <c r="R14" s="708"/>
    </row>
    <row r="15" spans="1:83" s="114" customFormat="1" ht="14.1" customHeight="1" x14ac:dyDescent="0.2">
      <c r="A15"/>
      <c r="B15"/>
      <c r="C15" s="114" t="str">
        <f>C22</f>
        <v>New Additions</v>
      </c>
      <c r="G15" s="114">
        <f>G22</f>
        <v>34.223761023577055</v>
      </c>
      <c r="H15" s="114">
        <f>H22</f>
        <v>20.69802091058007</v>
      </c>
      <c r="I15" s="114">
        <f>I22</f>
        <v>41.323326000000009</v>
      </c>
      <c r="J15" s="114">
        <f>J22</f>
        <v>29.435889137104283</v>
      </c>
      <c r="K15" s="114">
        <f>K22</f>
        <v>0</v>
      </c>
      <c r="R15" s="708"/>
    </row>
    <row r="16" spans="1:83" s="114" customFormat="1" ht="14.1" customHeight="1" x14ac:dyDescent="0.2">
      <c r="A16"/>
      <c r="B16"/>
      <c r="C16" s="945" t="s">
        <v>342</v>
      </c>
      <c r="D16" s="120"/>
      <c r="E16" s="120"/>
      <c r="F16" s="120"/>
      <c r="G16" s="120">
        <f>SUM(G12:G15)</f>
        <v>108.14914285714286</v>
      </c>
      <c r="H16" s="120">
        <f>SUM(H12:H15)</f>
        <v>105.989</v>
      </c>
      <c r="I16" s="120">
        <f>SUM(I12:I15)</f>
        <v>116.89728571428572</v>
      </c>
      <c r="J16" s="120">
        <f>SUM(J12:J15)</f>
        <v>118.53985714285714</v>
      </c>
      <c r="K16" s="120">
        <f>SUM(K12:K15)</f>
        <v>125.333826</v>
      </c>
      <c r="L16" s="120"/>
      <c r="M16" s="120"/>
      <c r="N16" s="120"/>
      <c r="O16" s="120"/>
      <c r="P16" s="118"/>
      <c r="Q16" s="118"/>
      <c r="R16" s="709"/>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row>
    <row r="17" spans="1:78" s="114" customFormat="1" ht="14.1" customHeight="1" x14ac:dyDescent="0.2">
      <c r="A17"/>
      <c r="B17"/>
      <c r="C17" s="707"/>
      <c r="R17" s="710"/>
    </row>
    <row r="18" spans="1:78" s="114" customFormat="1" ht="14.1" customHeight="1" x14ac:dyDescent="0.2">
      <c r="A18"/>
      <c r="B18"/>
      <c r="C18" s="711" t="s">
        <v>343</v>
      </c>
      <c r="R18" s="708"/>
    </row>
    <row r="19" spans="1:78" s="114" customFormat="1" ht="14.1" customHeight="1" x14ac:dyDescent="0.2">
      <c r="A19"/>
      <c r="B19"/>
      <c r="C19" s="739" t="s">
        <v>345</v>
      </c>
      <c r="G19" s="114">
        <f>'Balance Sheet'!F38+'Balance Sheet'!F30</f>
        <v>105.259</v>
      </c>
      <c r="H19" s="114">
        <f>'Balance Sheet'!G38+'Balance Sheet'!G30</f>
        <v>115.53</v>
      </c>
      <c r="I19" s="114">
        <f>'Balance Sheet'!H38+'Balance Sheet'!H30</f>
        <v>109.974</v>
      </c>
      <c r="J19" s="114">
        <f>'Balance Sheet'!I38+'Balance Sheet'!I30</f>
        <v>123.506</v>
      </c>
      <c r="K19" s="114">
        <f>'Balance Sheet'!J38+'Balance Sheet'!J30</f>
        <v>122.21900000000001</v>
      </c>
      <c r="R19" s="708"/>
    </row>
    <row r="20" spans="1:78" s="114" customFormat="1" ht="14.1" customHeight="1" x14ac:dyDescent="0.2">
      <c r="A20"/>
      <c r="B20"/>
      <c r="C20" s="739" t="s">
        <v>346</v>
      </c>
      <c r="G20" s="114">
        <f>G19*G27</f>
        <v>6.6472389764229565</v>
      </c>
      <c r="H20" s="114">
        <f>H19*H27</f>
        <v>5.3459790894199317</v>
      </c>
      <c r="I20" s="114">
        <f>I19*I27</f>
        <v>5.6086739999999997</v>
      </c>
      <c r="J20" s="114">
        <f>J19*J27</f>
        <v>6.4771108628957199</v>
      </c>
      <c r="K20" s="114">
        <f>K19*K27</f>
        <v>6.5998260000000011</v>
      </c>
      <c r="R20" s="708"/>
    </row>
    <row r="21" spans="1:78" s="114" customFormat="1" ht="14.1" customHeight="1" x14ac:dyDescent="0.2">
      <c r="A21"/>
      <c r="B21"/>
      <c r="C21" s="739" t="s">
        <v>347</v>
      </c>
      <c r="G21" s="114">
        <f>-G25</f>
        <v>-30.6</v>
      </c>
      <c r="H21" s="114">
        <f>-H25</f>
        <v>-31.6</v>
      </c>
      <c r="I21" s="114">
        <f>-I25</f>
        <v>-33.4</v>
      </c>
      <c r="J21" s="114">
        <f>-J25</f>
        <v>-37.200000000000003</v>
      </c>
      <c r="K21" s="114">
        <f>-K25</f>
        <v>0</v>
      </c>
      <c r="R21" s="708"/>
    </row>
    <row r="22" spans="1:78" s="114" customFormat="1" ht="14.1" customHeight="1" x14ac:dyDescent="0.2">
      <c r="A22"/>
      <c r="B22"/>
      <c r="C22" s="114" t="s">
        <v>560</v>
      </c>
      <c r="G22" s="114">
        <v>34.223761023577055</v>
      </c>
      <c r="H22" s="114">
        <v>20.69802091058007</v>
      </c>
      <c r="I22" s="114">
        <v>41.323326000000009</v>
      </c>
      <c r="J22" s="114">
        <v>29.435889137104283</v>
      </c>
      <c r="P22" s="115"/>
      <c r="Q22" s="115"/>
      <c r="R22" s="708"/>
    </row>
    <row r="23" spans="1:78" s="114" customFormat="1" ht="14.1" customHeight="1" x14ac:dyDescent="0.2">
      <c r="A23"/>
      <c r="B23"/>
      <c r="C23" s="945" t="s">
        <v>348</v>
      </c>
      <c r="D23" s="121"/>
      <c r="E23" s="121"/>
      <c r="F23" s="121"/>
      <c r="G23" s="121">
        <f>SUM(G19:G22)</f>
        <v>115.53</v>
      </c>
      <c r="H23" s="121">
        <f>SUM(H19:H22)</f>
        <v>109.974</v>
      </c>
      <c r="I23" s="121">
        <f>SUM(I19:I22)</f>
        <v>123.506</v>
      </c>
      <c r="J23" s="121">
        <f>SUM(J19:J22)</f>
        <v>122.21900000000001</v>
      </c>
      <c r="K23" s="121">
        <f>SUM(K19:K22)</f>
        <v>128.818826</v>
      </c>
      <c r="L23" s="121"/>
      <c r="M23" s="121"/>
      <c r="N23" s="121"/>
      <c r="O23" s="121"/>
      <c r="P23" s="706"/>
      <c r="Q23" s="706"/>
      <c r="R23" s="709"/>
      <c r="S23" s="706"/>
      <c r="T23" s="706"/>
      <c r="U23" s="706"/>
      <c r="V23" s="706"/>
      <c r="W23" s="706"/>
      <c r="X23" s="706"/>
      <c r="Y23" s="706"/>
      <c r="Z23" s="706"/>
      <c r="AA23" s="706"/>
      <c r="AB23" s="706"/>
      <c r="AC23" s="706"/>
      <c r="AD23" s="706"/>
      <c r="AE23" s="706"/>
      <c r="AF23" s="706"/>
      <c r="AG23" s="706"/>
      <c r="AH23" s="706"/>
      <c r="AI23" s="706"/>
      <c r="AJ23" s="706"/>
      <c r="AK23" s="706"/>
      <c r="AL23" s="706"/>
      <c r="AM23" s="706"/>
      <c r="AN23" s="706"/>
      <c r="AO23" s="706"/>
      <c r="AP23" s="706"/>
      <c r="AQ23" s="706"/>
      <c r="AR23" s="706"/>
      <c r="AS23" s="706"/>
      <c r="AT23" s="706"/>
      <c r="AU23" s="706"/>
      <c r="AV23" s="706"/>
      <c r="AW23" s="706"/>
      <c r="AX23" s="706"/>
      <c r="AY23" s="706"/>
      <c r="AZ23" s="706"/>
      <c r="BA23" s="706"/>
      <c r="BB23" s="706"/>
      <c r="BC23" s="706"/>
      <c r="BD23" s="706"/>
      <c r="BE23" s="706"/>
      <c r="BF23" s="706"/>
      <c r="BG23" s="706"/>
      <c r="BH23" s="706"/>
      <c r="BI23" s="706"/>
      <c r="BJ23" s="706"/>
      <c r="BK23" s="706"/>
      <c r="BL23" s="706"/>
      <c r="BM23" s="706"/>
      <c r="BN23" s="706"/>
      <c r="BO23" s="706"/>
      <c r="BP23" s="706"/>
      <c r="BQ23" s="706"/>
      <c r="BR23" s="706"/>
      <c r="BS23" s="706"/>
      <c r="BT23" s="706"/>
      <c r="BU23" s="706"/>
      <c r="BV23" s="706"/>
      <c r="BW23" s="706"/>
      <c r="BX23" s="706"/>
      <c r="BY23" s="706"/>
      <c r="BZ23" s="706"/>
    </row>
    <row r="24" spans="1:78" s="118" customFormat="1" ht="14.1" customHeight="1" x14ac:dyDescent="0.2">
      <c r="A24"/>
      <c r="B24"/>
      <c r="C24" s="711"/>
      <c r="F24" s="114">
        <f>'Balance Sheet'!F21</f>
        <v>103.89</v>
      </c>
      <c r="G24" s="114"/>
      <c r="H24" s="114"/>
      <c r="I24" s="114"/>
      <c r="J24" s="114"/>
      <c r="R24" s="709"/>
    </row>
    <row r="25" spans="1:78" s="114" customFormat="1" ht="14.1" customHeight="1" x14ac:dyDescent="0.2">
      <c r="A25"/>
      <c r="B25"/>
      <c r="C25" s="739" t="s">
        <v>340</v>
      </c>
      <c r="F25" s="114">
        <v>25.6</v>
      </c>
      <c r="G25" s="114">
        <v>30.6</v>
      </c>
      <c r="H25" s="114">
        <v>31.6</v>
      </c>
      <c r="I25" s="114">
        <v>33.4</v>
      </c>
      <c r="J25" s="114">
        <v>37.200000000000003</v>
      </c>
      <c r="R25" s="708"/>
    </row>
    <row r="26" spans="1:78" s="114" customFormat="1" ht="14.1" customHeight="1" x14ac:dyDescent="0.2">
      <c r="A26"/>
      <c r="B26"/>
      <c r="C26" s="707" t="s">
        <v>351</v>
      </c>
      <c r="D26" s="118"/>
      <c r="E26" s="118"/>
      <c r="F26" s="118">
        <f>NPV(F27,F29:F43)</f>
        <v>178.25552865565373</v>
      </c>
      <c r="G26" s="118">
        <f>NPV(G27,G29:G33)</f>
        <v>115.53005013882674</v>
      </c>
      <c r="H26" s="118">
        <f>NPV(H27,H29:H33)</f>
        <v>109.97476933811926</v>
      </c>
      <c r="I26" s="118">
        <f>NPV(I27,I29:I33)</f>
        <v>121.78355831217425</v>
      </c>
      <c r="J26" s="118">
        <f>NPV(J27,J29:J33)</f>
        <v>122.21899718607744</v>
      </c>
      <c r="Q26" s="743"/>
      <c r="R26" s="710"/>
    </row>
    <row r="27" spans="1:78" s="114" customFormat="1" ht="14.1" customHeight="1" x14ac:dyDescent="0.2">
      <c r="A27"/>
      <c r="B27"/>
      <c r="C27" s="114" t="s">
        <v>349</v>
      </c>
      <c r="F27" s="915">
        <v>6.2901060265277767E-2</v>
      </c>
      <c r="G27" s="915">
        <v>6.3151264750975752E-2</v>
      </c>
      <c r="H27" s="915">
        <v>4.6273514147147338E-2</v>
      </c>
      <c r="I27" s="915">
        <v>5.0999999999999997E-2</v>
      </c>
      <c r="J27" s="915">
        <v>5.2443693933053613E-2</v>
      </c>
      <c r="K27" s="915">
        <f>5.4%</f>
        <v>5.4000000000000006E-2</v>
      </c>
      <c r="L27" s="915"/>
      <c r="M27" s="915"/>
      <c r="N27" s="915"/>
      <c r="Q27" s="743"/>
      <c r="R27" s="708"/>
    </row>
    <row r="28" spans="1:78" s="114" customFormat="1" ht="14.1" customHeight="1" x14ac:dyDescent="0.2">
      <c r="A28"/>
      <c r="B28"/>
      <c r="C28" s="711" t="s">
        <v>357</v>
      </c>
      <c r="D28" s="118"/>
      <c r="E28" s="118"/>
      <c r="F28" s="118">
        <f>SUM(F29:F42)</f>
        <v>233.411</v>
      </c>
      <c r="G28" s="118">
        <f>SUM(G29:G42)</f>
        <v>256.28300000000002</v>
      </c>
      <c r="H28" s="118">
        <f>SUM(H29:H42)</f>
        <v>236.39</v>
      </c>
      <c r="I28" s="118">
        <f>SUM(I29:I42)</f>
        <v>264.71000000000004</v>
      </c>
      <c r="J28" s="118">
        <f>SUM(J29:J42)</f>
        <v>264.79700000000003</v>
      </c>
      <c r="K28" s="944"/>
      <c r="L28" s="944"/>
      <c r="M28" s="944"/>
      <c r="N28" s="944"/>
      <c r="O28" s="944"/>
      <c r="P28" s="944"/>
      <c r="Q28" s="743"/>
      <c r="R28" s="708"/>
    </row>
    <row r="29" spans="1:78" s="114" customFormat="1" ht="14.1" customHeight="1" x14ac:dyDescent="0.2">
      <c r="A29"/>
      <c r="B29"/>
      <c r="C29" s="708" t="s">
        <v>352</v>
      </c>
      <c r="F29" s="114">
        <v>23.431000000000001</v>
      </c>
      <c r="G29" s="114">
        <v>25.968</v>
      </c>
      <c r="H29" s="114">
        <v>26.042999999999999</v>
      </c>
      <c r="I29" s="114">
        <v>30.155000000000001</v>
      </c>
      <c r="J29" s="114">
        <v>31.218</v>
      </c>
      <c r="Q29" s="743"/>
      <c r="R29" s="708"/>
    </row>
    <row r="30" spans="1:78" s="114" customFormat="1" ht="14.1" customHeight="1" x14ac:dyDescent="0.2">
      <c r="A30"/>
      <c r="B30"/>
      <c r="C30" s="708" t="s">
        <v>353</v>
      </c>
      <c r="F30" s="114">
        <v>22.824000000000002</v>
      </c>
      <c r="G30" s="114">
        <v>25.263000000000002</v>
      </c>
      <c r="H30" s="114">
        <v>24.658000000000001</v>
      </c>
      <c r="I30" s="114">
        <v>29.713999999999999</v>
      </c>
      <c r="J30" s="114">
        <v>28.83</v>
      </c>
      <c r="Q30" s="746"/>
      <c r="R30" s="711"/>
      <c r="S30" s="118"/>
      <c r="T30" s="118"/>
      <c r="U30" s="118"/>
      <c r="V30" s="118"/>
      <c r="W30" s="118"/>
      <c r="X30" s="118"/>
      <c r="Y30" s="118"/>
      <c r="Z30" s="118"/>
      <c r="AA30" s="118"/>
      <c r="AB30" s="118"/>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row>
    <row r="31" spans="1:78" s="114" customFormat="1" ht="14.1" customHeight="1" x14ac:dyDescent="0.2">
      <c r="A31"/>
      <c r="B31"/>
      <c r="C31" s="708" t="s">
        <v>354</v>
      </c>
      <c r="F31" s="114">
        <v>19.727</v>
      </c>
      <c r="G31" s="114">
        <v>21.143000000000001</v>
      </c>
      <c r="H31" s="114">
        <v>20.84</v>
      </c>
      <c r="I31" s="114">
        <v>24.978999999999999</v>
      </c>
      <c r="J31" s="114">
        <v>21.977</v>
      </c>
      <c r="Q31" s="743"/>
      <c r="R31" s="707"/>
    </row>
    <row r="32" spans="1:78" s="114" customFormat="1" ht="14.1" customHeight="1" x14ac:dyDescent="0.2">
      <c r="A32"/>
      <c r="B32"/>
      <c r="C32" s="708" t="s">
        <v>355</v>
      </c>
      <c r="F32" s="114">
        <v>16.341000000000001</v>
      </c>
      <c r="G32" s="114">
        <v>17.529</v>
      </c>
      <c r="H32" s="114">
        <v>16.145</v>
      </c>
      <c r="I32" s="114">
        <v>18.321000000000002</v>
      </c>
      <c r="J32" s="114">
        <v>19.18</v>
      </c>
      <c r="R32" s="710"/>
    </row>
    <row r="33" spans="1:78" s="114" customFormat="1" ht="14.1" customHeight="1" x14ac:dyDescent="0.2">
      <c r="A33"/>
      <c r="B33"/>
      <c r="C33" s="708" t="s">
        <v>356</v>
      </c>
      <c r="E33" s="114">
        <f>F28*F27</f>
        <v>14.681799377578749</v>
      </c>
      <c r="F33" s="114">
        <f>13.215+32.614</f>
        <v>45.828999999999994</v>
      </c>
      <c r="G33" s="114">
        <f>13.329+37.521</f>
        <v>50.85</v>
      </c>
      <c r="H33" s="114">
        <f>12.624+26.106</f>
        <v>38.730000000000004</v>
      </c>
      <c r="I33" s="114">
        <f>22.513+15.522</f>
        <v>38.035000000000004</v>
      </c>
      <c r="J33" s="114">
        <f>25.1+16.273</f>
        <v>41.373000000000005</v>
      </c>
      <c r="R33" s="708"/>
    </row>
    <row r="34" spans="1:78" s="114" customFormat="1" ht="14.1" customHeight="1" x14ac:dyDescent="0.2">
      <c r="A34"/>
      <c r="B34"/>
      <c r="C34" s="708"/>
      <c r="R34" s="708"/>
    </row>
    <row r="35" spans="1:78" s="114" customFormat="1" ht="14.1" customHeight="1" x14ac:dyDescent="0.2">
      <c r="A35"/>
      <c r="B35"/>
      <c r="C35" s="708"/>
      <c r="R35" s="708"/>
    </row>
    <row r="36" spans="1:78" s="114" customFormat="1" ht="14.1" customHeight="1" x14ac:dyDescent="0.2">
      <c r="A36"/>
      <c r="B36"/>
      <c r="C36" s="708"/>
      <c r="F36" s="114">
        <f>'Balance Sheet'!F38+'Balance Sheet'!F30</f>
        <v>105.259</v>
      </c>
      <c r="G36" s="114">
        <f>'Balance Sheet'!G38+'Balance Sheet'!G30</f>
        <v>115.53</v>
      </c>
      <c r="H36" s="114">
        <f>'Balance Sheet'!H38+'Balance Sheet'!H30</f>
        <v>109.974</v>
      </c>
      <c r="I36" s="114">
        <f>'Balance Sheet'!I38+'Balance Sheet'!I30</f>
        <v>123.506</v>
      </c>
      <c r="J36" s="114">
        <f>'Balance Sheet'!J38+'Balance Sheet'!J30</f>
        <v>122.21900000000001</v>
      </c>
      <c r="K36" s="114">
        <f>'Balance Sheet'!K38+'Balance Sheet'!K30</f>
        <v>116.82140554382917</v>
      </c>
      <c r="R36" s="708"/>
    </row>
    <row r="37" spans="1:78" s="114" customFormat="1" ht="14.1" customHeight="1" x14ac:dyDescent="0.2">
      <c r="A37"/>
      <c r="B37"/>
      <c r="C37" s="708"/>
      <c r="K37" s="118"/>
      <c r="L37" s="118"/>
      <c r="M37" s="118"/>
      <c r="N37" s="118"/>
      <c r="O37" s="118"/>
      <c r="P37" s="118"/>
      <c r="Q37" s="118"/>
      <c r="R37" s="709"/>
      <c r="S37" s="118"/>
      <c r="T37" s="118"/>
      <c r="U37" s="118"/>
      <c r="V37" s="118"/>
      <c r="W37" s="118"/>
      <c r="X37" s="118"/>
      <c r="Y37" s="118"/>
      <c r="Z37" s="118"/>
      <c r="AA37" s="118"/>
      <c r="AB37" s="118"/>
      <c r="AC37" s="118"/>
      <c r="AD37" s="118"/>
      <c r="AE37" s="118"/>
      <c r="AF37" s="118"/>
      <c r="AG37" s="118"/>
      <c r="AH37" s="118"/>
      <c r="AI37" s="118"/>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c r="BY37" s="118"/>
      <c r="BZ37" s="118"/>
    </row>
    <row r="38" spans="1:78" s="114" customFormat="1" ht="14.1" customHeight="1" x14ac:dyDescent="0.2">
      <c r="A38"/>
      <c r="B38"/>
      <c r="C38" s="708"/>
      <c r="R38" s="708"/>
    </row>
    <row r="39" spans="1:78" s="114" customFormat="1" ht="14.1" customHeight="1" x14ac:dyDescent="0.2">
      <c r="A39"/>
      <c r="B39"/>
      <c r="C39" s="708"/>
      <c r="K39" s="118"/>
      <c r="L39" s="118"/>
      <c r="M39" s="118"/>
      <c r="N39" s="118"/>
      <c r="O39" s="118"/>
      <c r="P39" s="118"/>
      <c r="Q39" s="118"/>
      <c r="R39" s="711"/>
      <c r="S39" s="118"/>
      <c r="T39" s="118"/>
      <c r="U39" s="118"/>
      <c r="V39" s="118"/>
      <c r="W39" s="118"/>
      <c r="X39" s="118"/>
      <c r="Y39" s="118"/>
      <c r="Z39" s="118"/>
      <c r="AA39" s="118"/>
      <c r="AB39" s="118"/>
      <c r="AC39" s="118"/>
      <c r="AD39" s="118"/>
      <c r="AE39" s="118"/>
      <c r="AF39" s="118"/>
      <c r="AG39" s="118"/>
      <c r="AH39" s="118"/>
      <c r="AI39" s="118"/>
      <c r="AJ39" s="118"/>
      <c r="AK39" s="118"/>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c r="BY39" s="118"/>
      <c r="BZ39" s="118"/>
    </row>
    <row r="40" spans="1:78" s="114" customFormat="1" ht="14.1" customHeight="1" x14ac:dyDescent="0.2">
      <c r="A40"/>
      <c r="B40"/>
      <c r="C40" s="708"/>
    </row>
    <row r="41" spans="1:78" s="114" customFormat="1" ht="14.1" customHeight="1" x14ac:dyDescent="0.2">
      <c r="A41"/>
      <c r="B41"/>
      <c r="C41" s="708"/>
      <c r="D41" s="747"/>
      <c r="E41" s="747"/>
      <c r="F41" s="747"/>
      <c r="G41" s="747"/>
      <c r="H41" s="747"/>
      <c r="I41" s="747"/>
      <c r="J41" s="747"/>
      <c r="K41" s="712"/>
      <c r="L41" s="712"/>
      <c r="M41" s="712"/>
      <c r="N41" s="712"/>
      <c r="O41" s="712"/>
      <c r="R41" s="118"/>
      <c r="S41" s="712"/>
      <c r="T41" s="712"/>
      <c r="U41" s="712"/>
      <c r="V41" s="712"/>
      <c r="W41" s="712"/>
      <c r="X41" s="712"/>
      <c r="Y41" s="712"/>
      <c r="Z41" s="712"/>
      <c r="AA41" s="712"/>
      <c r="AB41" s="712"/>
      <c r="AC41" s="712"/>
      <c r="AD41" s="712"/>
      <c r="AE41" s="712"/>
      <c r="AF41" s="712"/>
      <c r="AG41" s="712"/>
      <c r="AH41" s="712"/>
      <c r="AI41" s="712"/>
      <c r="AJ41" s="712"/>
      <c r="AK41" s="712"/>
      <c r="AL41" s="712"/>
      <c r="AM41" s="712"/>
      <c r="AN41" s="712"/>
      <c r="AO41" s="712"/>
      <c r="AP41" s="712"/>
      <c r="AQ41" s="712"/>
      <c r="AR41" s="712"/>
      <c r="AS41" s="712"/>
      <c r="AT41" s="712"/>
      <c r="AU41" s="712"/>
      <c r="AV41" s="712"/>
      <c r="AW41" s="712"/>
      <c r="AX41" s="712"/>
      <c r="AY41" s="712"/>
      <c r="AZ41" s="712"/>
      <c r="BA41" s="712"/>
      <c r="BB41" s="712"/>
      <c r="BC41" s="712"/>
      <c r="BD41" s="712"/>
      <c r="BE41" s="712"/>
      <c r="BF41" s="712"/>
      <c r="BG41" s="712"/>
      <c r="BH41" s="712"/>
      <c r="BI41" s="712"/>
      <c r="BJ41" s="712"/>
      <c r="BK41" s="712"/>
      <c r="BL41" s="712"/>
      <c r="BM41" s="712"/>
      <c r="BN41" s="712"/>
      <c r="BO41" s="712"/>
      <c r="BP41" s="712"/>
      <c r="BQ41" s="712"/>
      <c r="BR41" s="712"/>
      <c r="BS41" s="712"/>
      <c r="BT41" s="712"/>
      <c r="BU41" s="712"/>
      <c r="BV41" s="712"/>
      <c r="BW41" s="712"/>
      <c r="BX41" s="712"/>
      <c r="BY41" s="712"/>
      <c r="BZ41" s="712"/>
    </row>
    <row r="42" spans="1:78" s="114" customFormat="1" ht="14.1" customHeight="1" x14ac:dyDescent="0.2">
      <c r="A42"/>
      <c r="B42"/>
      <c r="C42" s="708"/>
      <c r="D42" s="747"/>
      <c r="E42" s="747"/>
      <c r="F42" s="747"/>
      <c r="G42" s="747"/>
      <c r="H42" s="747"/>
      <c r="I42" s="747"/>
      <c r="J42" s="747"/>
      <c r="K42" s="712"/>
      <c r="L42" s="712"/>
      <c r="M42" s="712"/>
      <c r="N42" s="712"/>
      <c r="O42" s="712"/>
      <c r="R42" s="118"/>
      <c r="S42" s="712"/>
      <c r="T42" s="712"/>
      <c r="U42" s="712"/>
      <c r="V42" s="712"/>
      <c r="W42" s="712"/>
      <c r="X42" s="712"/>
      <c r="Y42" s="712"/>
      <c r="Z42" s="712"/>
      <c r="AA42" s="712"/>
      <c r="AB42" s="712"/>
      <c r="AC42" s="712"/>
      <c r="AD42" s="712"/>
      <c r="AE42" s="712"/>
      <c r="AF42" s="712"/>
      <c r="AG42" s="712"/>
      <c r="AH42" s="712"/>
      <c r="AI42" s="712"/>
      <c r="AJ42" s="712"/>
      <c r="AK42" s="712"/>
      <c r="AL42" s="712"/>
      <c r="AM42" s="712"/>
      <c r="AN42" s="712"/>
      <c r="AO42" s="712"/>
      <c r="AP42" s="712"/>
      <c r="AQ42" s="712"/>
      <c r="AR42" s="712"/>
      <c r="AS42" s="712"/>
      <c r="AT42" s="712"/>
      <c r="AU42" s="712"/>
      <c r="AV42" s="712"/>
      <c r="AW42" s="712"/>
      <c r="AX42" s="712"/>
      <c r="AY42" s="712"/>
      <c r="AZ42" s="712"/>
      <c r="BA42" s="712"/>
      <c r="BB42" s="712"/>
      <c r="BC42" s="712"/>
      <c r="BD42" s="712"/>
      <c r="BE42" s="712"/>
      <c r="BF42" s="712"/>
      <c r="BG42" s="712"/>
      <c r="BH42" s="712"/>
      <c r="BI42" s="712"/>
      <c r="BJ42" s="712"/>
      <c r="BK42" s="712"/>
      <c r="BL42" s="712"/>
      <c r="BM42" s="712"/>
      <c r="BN42" s="712"/>
      <c r="BO42" s="712"/>
      <c r="BP42" s="712"/>
      <c r="BQ42" s="712"/>
      <c r="BR42" s="712"/>
      <c r="BS42" s="712"/>
      <c r="BT42" s="712"/>
      <c r="BU42" s="712"/>
      <c r="BV42" s="712"/>
      <c r="BW42" s="712"/>
      <c r="BX42" s="712"/>
      <c r="BY42" s="712"/>
      <c r="BZ42" s="712"/>
    </row>
    <row r="43" spans="1:78" s="114" customFormat="1" ht="14.1" customHeight="1" x14ac:dyDescent="0.2">
      <c r="A43"/>
      <c r="B43"/>
      <c r="C43" s="708"/>
      <c r="D43" s="748"/>
      <c r="E43" s="748"/>
      <c r="F43" s="748"/>
      <c r="G43" s="748"/>
      <c r="H43" s="748"/>
      <c r="I43" s="748"/>
      <c r="J43" s="748"/>
      <c r="K43" s="713"/>
      <c r="L43" s="713"/>
      <c r="M43" s="713"/>
      <c r="N43" s="713"/>
      <c r="O43" s="713"/>
      <c r="R43" s="118"/>
      <c r="S43" s="706"/>
      <c r="T43" s="706"/>
      <c r="U43" s="706"/>
      <c r="V43" s="706"/>
      <c r="W43" s="706"/>
      <c r="X43" s="706"/>
      <c r="Y43" s="706"/>
      <c r="Z43" s="706"/>
      <c r="AA43" s="706"/>
      <c r="AB43" s="706"/>
      <c r="AC43" s="706"/>
      <c r="AD43" s="706"/>
      <c r="AE43" s="706"/>
      <c r="AF43" s="706"/>
      <c r="AG43" s="706"/>
      <c r="AH43" s="706"/>
      <c r="AI43" s="706"/>
      <c r="AJ43" s="706"/>
      <c r="AK43" s="706"/>
      <c r="AL43" s="706"/>
      <c r="AM43" s="706"/>
      <c r="AN43" s="706"/>
      <c r="AO43" s="706"/>
      <c r="AP43" s="706"/>
      <c r="AQ43" s="706"/>
      <c r="AR43" s="706"/>
      <c r="AS43" s="706"/>
      <c r="AT43" s="706"/>
      <c r="AU43" s="706"/>
      <c r="AV43" s="706"/>
      <c r="AW43" s="706"/>
      <c r="AX43" s="706"/>
      <c r="AY43" s="706"/>
      <c r="AZ43" s="706"/>
      <c r="BA43" s="706"/>
      <c r="BB43" s="706"/>
      <c r="BC43" s="706"/>
      <c r="BD43" s="706"/>
      <c r="BE43" s="706"/>
      <c r="BF43" s="706"/>
      <c r="BG43" s="706"/>
      <c r="BH43" s="706"/>
      <c r="BI43" s="706"/>
      <c r="BJ43" s="706"/>
      <c r="BK43" s="706"/>
      <c r="BL43" s="706"/>
      <c r="BM43" s="706"/>
      <c r="BN43" s="706"/>
      <c r="BO43" s="706"/>
      <c r="BP43" s="706"/>
      <c r="BQ43" s="706"/>
      <c r="BR43" s="706"/>
      <c r="BS43" s="706"/>
      <c r="BT43" s="706"/>
      <c r="BU43" s="706"/>
      <c r="BV43" s="706"/>
      <c r="BW43" s="706"/>
      <c r="BX43" s="706"/>
      <c r="BY43" s="706"/>
      <c r="BZ43" s="706"/>
    </row>
    <row r="44" spans="1:78" s="161" customFormat="1" ht="14.1" customHeight="1" x14ac:dyDescent="0.2">
      <c r="A44"/>
      <c r="B44"/>
      <c r="C44" s="118"/>
      <c r="D44" s="706"/>
      <c r="E44" s="706"/>
      <c r="F44" s="706"/>
      <c r="G44" s="706"/>
      <c r="H44" s="706"/>
      <c r="I44" s="706"/>
      <c r="J44" s="706"/>
      <c r="K44" s="706"/>
      <c r="L44" s="706"/>
      <c r="M44" s="706"/>
      <c r="N44" s="706"/>
      <c r="O44" s="706"/>
      <c r="R44" s="118"/>
      <c r="S44" s="706"/>
      <c r="T44" s="706"/>
      <c r="U44" s="706"/>
      <c r="V44" s="706"/>
      <c r="W44" s="706"/>
      <c r="X44" s="706"/>
      <c r="Y44" s="706"/>
      <c r="Z44" s="706"/>
      <c r="AA44" s="706"/>
      <c r="AB44" s="706"/>
      <c r="AC44" s="706"/>
      <c r="AD44" s="706"/>
      <c r="AE44" s="706"/>
      <c r="AF44" s="706"/>
      <c r="AG44" s="706"/>
      <c r="AH44" s="706"/>
      <c r="AI44" s="706"/>
      <c r="AJ44" s="706"/>
      <c r="AK44" s="706"/>
      <c r="AL44" s="706"/>
      <c r="AM44" s="706"/>
      <c r="AN44" s="706"/>
      <c r="AO44" s="706"/>
      <c r="AP44" s="706"/>
      <c r="AQ44" s="706"/>
      <c r="AR44" s="706"/>
      <c r="AS44" s="706"/>
      <c r="AT44" s="706"/>
      <c r="AU44" s="706"/>
      <c r="AV44" s="706"/>
      <c r="AW44" s="706"/>
      <c r="AX44" s="706"/>
      <c r="AY44" s="706"/>
      <c r="AZ44" s="706"/>
      <c r="BA44" s="706"/>
      <c r="BB44" s="706"/>
      <c r="BC44" s="706"/>
      <c r="BD44" s="706"/>
      <c r="BE44" s="706"/>
      <c r="BF44" s="706"/>
      <c r="BG44" s="706"/>
      <c r="BH44" s="706"/>
      <c r="BI44" s="706"/>
      <c r="BJ44" s="706"/>
      <c r="BK44" s="706"/>
      <c r="BL44" s="706"/>
      <c r="BM44" s="706"/>
      <c r="BN44" s="706"/>
      <c r="BO44" s="706"/>
      <c r="BP44" s="706"/>
      <c r="BQ44" s="706"/>
      <c r="BR44" s="706"/>
      <c r="BS44" s="706"/>
      <c r="BT44" s="706"/>
      <c r="BU44" s="706"/>
      <c r="BV44" s="706"/>
      <c r="BW44" s="706"/>
      <c r="BX44" s="706"/>
      <c r="BY44" s="706"/>
      <c r="BZ44" s="706"/>
    </row>
    <row r="45" spans="1:78" s="114" customFormat="1" ht="14.1" customHeight="1" x14ac:dyDescent="0.2">
      <c r="A45"/>
      <c r="B45"/>
    </row>
    <row r="46" spans="1:78" s="114" customFormat="1" ht="14.1" customHeight="1" x14ac:dyDescent="0.2">
      <c r="A46"/>
      <c r="B46"/>
      <c r="C46" s="118"/>
      <c r="R46" s="118"/>
    </row>
    <row r="47" spans="1:78" s="114" customFormat="1" ht="14.1" customHeight="1" x14ac:dyDescent="0.2">
      <c r="A47"/>
      <c r="B47"/>
    </row>
    <row r="48" spans="1:78" s="114" customFormat="1" ht="14.1" customHeight="1" x14ac:dyDescent="0.2">
      <c r="A48"/>
      <c r="B48"/>
    </row>
    <row r="49" spans="1:78" s="114" customFormat="1" ht="14.1" customHeight="1" x14ac:dyDescent="0.2">
      <c r="A49"/>
      <c r="B49"/>
    </row>
    <row r="50" spans="1:78" s="114" customFormat="1" ht="5.0999999999999996" customHeight="1" x14ac:dyDescent="0.2">
      <c r="A50"/>
      <c r="B50"/>
    </row>
    <row r="51" spans="1:78" ht="18" customHeight="1" x14ac:dyDescent="0.25">
      <c r="C51" s="136" t="str">
        <f>C3</f>
        <v>SAIA, Inc.</v>
      </c>
      <c r="D51" s="133"/>
      <c r="E51" s="133"/>
      <c r="F51" s="133"/>
      <c r="G51" s="133"/>
      <c r="H51" s="133"/>
      <c r="I51" s="133"/>
      <c r="J51" s="133"/>
      <c r="K51" s="133"/>
      <c r="L51" s="133"/>
      <c r="M51" s="133"/>
      <c r="N51" s="67"/>
      <c r="O51" s="144"/>
      <c r="R51" s="1374" t="str">
        <f>R3</f>
        <v>SAIA, Inc.</v>
      </c>
      <c r="S51" s="1374"/>
      <c r="T51" s="1374"/>
      <c r="U51" s="1374"/>
      <c r="V51" s="1374"/>
      <c r="W51" s="1374"/>
      <c r="X51" s="1374"/>
      <c r="Y51" s="1374"/>
      <c r="Z51" s="1374"/>
      <c r="AA51" s="1374"/>
      <c r="AB51" s="1374"/>
      <c r="AC51" s="1374"/>
      <c r="AD51" s="1374"/>
      <c r="AE51" s="1374"/>
      <c r="AF51" s="1374"/>
      <c r="AG51" s="1374"/>
      <c r="AH51" s="1374"/>
      <c r="AI51" s="1374"/>
      <c r="AJ51" s="1374"/>
      <c r="AK51" s="1374"/>
      <c r="AL51" s="1374"/>
      <c r="AM51" s="1374"/>
      <c r="AN51" s="1374"/>
      <c r="AO51" s="1374"/>
      <c r="AP51" s="1374"/>
      <c r="AQ51" s="1374"/>
      <c r="AR51" s="1374"/>
      <c r="AS51" s="1374"/>
      <c r="AT51" s="1374"/>
      <c r="AU51" s="1374"/>
      <c r="AV51" s="1374"/>
      <c r="AW51" s="1374"/>
      <c r="AX51" s="1374"/>
      <c r="AY51" s="1374"/>
      <c r="AZ51" s="1374"/>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row>
    <row r="52" spans="1:78" ht="14.1" customHeight="1" x14ac:dyDescent="0.2">
      <c r="C52" s="133"/>
      <c r="D52" s="133"/>
      <c r="E52" s="133"/>
      <c r="F52" s="133"/>
      <c r="G52" s="133"/>
      <c r="H52" s="133"/>
      <c r="I52" s="133"/>
      <c r="J52" s="133"/>
      <c r="K52" s="133"/>
      <c r="L52" s="133"/>
      <c r="M52" s="133"/>
      <c r="N52" s="67" t="str">
        <f>N4</f>
        <v>DCF Share Value as of 12/31/2024:</v>
      </c>
      <c r="O52" s="144">
        <f>O4</f>
        <v>0</v>
      </c>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8"/>
      <c r="BZ52" s="48"/>
    </row>
    <row r="53" spans="1:78" ht="14.1" customHeight="1" x14ac:dyDescent="0.2">
      <c r="C53" s="151"/>
      <c r="D53" s="133"/>
      <c r="E53" s="133"/>
      <c r="F53" s="133"/>
      <c r="G53" s="133"/>
      <c r="H53" s="133"/>
      <c r="I53" s="133"/>
      <c r="J53" s="133"/>
      <c r="K53" s="133"/>
      <c r="L53" s="133"/>
      <c r="M53" s="133"/>
      <c r="N53" s="67" t="str">
        <f>N5</f>
        <v>Market Share Price as of 12/31/2024:</v>
      </c>
      <c r="O53" s="65">
        <f>O5</f>
        <v>455.73</v>
      </c>
      <c r="R53" s="144"/>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c r="AS53" s="95"/>
      <c r="AT53" s="95"/>
      <c r="AU53" s="95"/>
      <c r="AV53" s="95"/>
      <c r="AW53" s="95"/>
      <c r="AX53" s="95"/>
      <c r="AY53" s="95"/>
      <c r="AZ53" s="95"/>
      <c r="BA53" s="95"/>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row>
    <row r="54" spans="1:78" ht="14.1" customHeight="1" x14ac:dyDescent="0.2">
      <c r="C54" s="96"/>
      <c r="D54" s="97">
        <f>D7</f>
        <v>43100</v>
      </c>
      <c r="E54" s="98">
        <f t="shared" ref="E54:O54" si="2">E7</f>
        <v>43465</v>
      </c>
      <c r="F54" s="98">
        <f t="shared" si="2"/>
        <v>43830</v>
      </c>
      <c r="G54" s="98">
        <f t="shared" si="2"/>
        <v>44196</v>
      </c>
      <c r="H54" s="98">
        <f t="shared" si="2"/>
        <v>44561</v>
      </c>
      <c r="I54" s="98">
        <f t="shared" si="2"/>
        <v>44926</v>
      </c>
      <c r="J54" s="98">
        <f t="shared" si="2"/>
        <v>45291</v>
      </c>
      <c r="K54" s="137">
        <f t="shared" si="2"/>
        <v>45657</v>
      </c>
      <c r="L54" s="138">
        <f t="shared" si="2"/>
        <v>46022</v>
      </c>
      <c r="M54" s="138">
        <f t="shared" si="2"/>
        <v>46387</v>
      </c>
      <c r="N54" s="138">
        <f t="shared" si="2"/>
        <v>46752</v>
      </c>
      <c r="O54" s="139">
        <f t="shared" si="2"/>
        <v>47118</v>
      </c>
      <c r="R54" s="96"/>
      <c r="S54" s="1395">
        <f>S5</f>
        <v>43100</v>
      </c>
      <c r="T54" s="1396"/>
      <c r="U54" s="1396"/>
      <c r="V54" s="1396"/>
      <c r="W54" s="1397"/>
      <c r="X54" s="1395">
        <f>X5</f>
        <v>43465</v>
      </c>
      <c r="Y54" s="1396"/>
      <c r="Z54" s="1396"/>
      <c r="AA54" s="1396"/>
      <c r="AB54" s="1397"/>
      <c r="AC54" s="1395">
        <f>AC5</f>
        <v>43830</v>
      </c>
      <c r="AD54" s="1396"/>
      <c r="AE54" s="1396"/>
      <c r="AF54" s="1396"/>
      <c r="AG54" s="1397"/>
      <c r="AH54" s="1395">
        <f>AH5</f>
        <v>44196</v>
      </c>
      <c r="AI54" s="1396"/>
      <c r="AJ54" s="1396"/>
      <c r="AK54" s="1396"/>
      <c r="AL54" s="1397"/>
      <c r="AM54" s="1395">
        <f>AM5</f>
        <v>44561</v>
      </c>
      <c r="AN54" s="1396"/>
      <c r="AO54" s="1396"/>
      <c r="AP54" s="1396"/>
      <c r="AQ54" s="1397"/>
      <c r="AR54" s="1395">
        <f>AR5</f>
        <v>44926</v>
      </c>
      <c r="AS54" s="1396"/>
      <c r="AT54" s="1396"/>
      <c r="AU54" s="1396"/>
      <c r="AV54" s="1397"/>
      <c r="AW54" s="1395">
        <f>AW5</f>
        <v>45291</v>
      </c>
      <c r="AX54" s="1396"/>
      <c r="AY54" s="1396"/>
      <c r="AZ54" s="1396"/>
      <c r="BA54" s="1397"/>
      <c r="BB54" s="1389">
        <f>BB5</f>
        <v>45657</v>
      </c>
      <c r="BC54" s="1390"/>
      <c r="BD54" s="1390"/>
      <c r="BE54" s="1390"/>
      <c r="BF54" s="1391"/>
      <c r="BG54" s="1392">
        <f>BG5</f>
        <v>46022</v>
      </c>
      <c r="BH54" s="1393"/>
      <c r="BI54" s="1393"/>
      <c r="BJ54" s="1393"/>
      <c r="BK54" s="1394"/>
      <c r="BL54" s="1392">
        <f>BL5</f>
        <v>46387</v>
      </c>
      <c r="BM54" s="1393"/>
      <c r="BN54" s="1393"/>
      <c r="BO54" s="1393"/>
      <c r="BP54" s="1394"/>
      <c r="BQ54" s="1392">
        <f>BQ5</f>
        <v>46752</v>
      </c>
      <c r="BR54" s="1393"/>
      <c r="BS54" s="1393"/>
      <c r="BT54" s="1393"/>
      <c r="BU54" s="1394"/>
      <c r="BV54" s="1392">
        <f>BV5</f>
        <v>47118</v>
      </c>
      <c r="BW54" s="1393"/>
      <c r="BX54" s="1393"/>
      <c r="BY54" s="1393"/>
      <c r="BZ54" s="1393"/>
    </row>
    <row r="55" spans="1:78" s="143" customFormat="1" ht="14.1" customHeight="1" x14ac:dyDescent="0.2">
      <c r="A55"/>
      <c r="P55" s="60"/>
      <c r="Q55" s="60"/>
      <c r="R55" s="42"/>
      <c r="S55" s="96" t="str">
        <f t="shared" ref="S55:BZ55" si="3">S7</f>
        <v>2017 Q1</v>
      </c>
      <c r="T55" s="140" t="str">
        <f t="shared" si="3"/>
        <v>2017 Q2</v>
      </c>
      <c r="U55" s="140" t="str">
        <f t="shared" si="3"/>
        <v>2017 Q3</v>
      </c>
      <c r="V55" s="140" t="str">
        <f t="shared" si="3"/>
        <v>2017 Q4</v>
      </c>
      <c r="W55" s="140" t="str">
        <f t="shared" si="3"/>
        <v>2017 FY</v>
      </c>
      <c r="X55" s="140" t="str">
        <f t="shared" si="3"/>
        <v>2018 Q1</v>
      </c>
      <c r="Y55" s="140" t="str">
        <f t="shared" si="3"/>
        <v>2018 Q2</v>
      </c>
      <c r="Z55" s="140" t="str">
        <f t="shared" si="3"/>
        <v>2018 Q3</v>
      </c>
      <c r="AA55" s="140" t="str">
        <f t="shared" si="3"/>
        <v>2018 Q4</v>
      </c>
      <c r="AB55" s="140" t="str">
        <f t="shared" si="3"/>
        <v>2018 FY</v>
      </c>
      <c r="AC55" s="140" t="str">
        <f t="shared" si="3"/>
        <v>2019 Q1</v>
      </c>
      <c r="AD55" s="140" t="str">
        <f t="shared" si="3"/>
        <v>2019 Q2</v>
      </c>
      <c r="AE55" s="140" t="str">
        <f t="shared" si="3"/>
        <v>2019 Q3</v>
      </c>
      <c r="AF55" s="140" t="str">
        <f t="shared" si="3"/>
        <v>2019 Q4</v>
      </c>
      <c r="AG55" s="140" t="str">
        <f t="shared" si="3"/>
        <v>2019 FY</v>
      </c>
      <c r="AH55" s="140" t="str">
        <f t="shared" si="3"/>
        <v>2020 Q1</v>
      </c>
      <c r="AI55" s="140" t="str">
        <f t="shared" si="3"/>
        <v>2020 Q2</v>
      </c>
      <c r="AJ55" s="140" t="str">
        <f t="shared" si="3"/>
        <v>2020 Q3</v>
      </c>
      <c r="AK55" s="140" t="str">
        <f t="shared" si="3"/>
        <v>2020 Q4</v>
      </c>
      <c r="AL55" s="140" t="str">
        <f t="shared" si="3"/>
        <v>2020 FY</v>
      </c>
      <c r="AM55" s="140" t="str">
        <f t="shared" si="3"/>
        <v>2021 Q1</v>
      </c>
      <c r="AN55" s="140" t="str">
        <f t="shared" si="3"/>
        <v>2021 Q2</v>
      </c>
      <c r="AO55" s="140" t="str">
        <f t="shared" si="3"/>
        <v>2021 Q3</v>
      </c>
      <c r="AP55" s="140" t="str">
        <f t="shared" si="3"/>
        <v>2021 Q4</v>
      </c>
      <c r="AQ55" s="140" t="str">
        <f t="shared" si="3"/>
        <v>2021 FY</v>
      </c>
      <c r="AR55" s="140" t="str">
        <f t="shared" si="3"/>
        <v>2022 Q1</v>
      </c>
      <c r="AS55" s="140" t="str">
        <f t="shared" si="3"/>
        <v>2022 Q2</v>
      </c>
      <c r="AT55" s="140" t="str">
        <f t="shared" si="3"/>
        <v>2022 Q3</v>
      </c>
      <c r="AU55" s="140" t="str">
        <f t="shared" si="3"/>
        <v>2022 Q4</v>
      </c>
      <c r="AV55" s="140" t="str">
        <f t="shared" si="3"/>
        <v>2022 FY</v>
      </c>
      <c r="AW55" s="140" t="str">
        <f t="shared" si="3"/>
        <v>2023 Q1</v>
      </c>
      <c r="AX55" s="140" t="str">
        <f t="shared" si="3"/>
        <v>2023 Q2</v>
      </c>
      <c r="AY55" s="140" t="str">
        <f t="shared" si="3"/>
        <v>2023 Q3</v>
      </c>
      <c r="AZ55" s="140" t="str">
        <f t="shared" si="3"/>
        <v>2023 Q4</v>
      </c>
      <c r="BA55" s="140" t="str">
        <f t="shared" si="3"/>
        <v>2023 FY</v>
      </c>
      <c r="BB55" s="140" t="str">
        <f t="shared" si="3"/>
        <v>2024 Q1</v>
      </c>
      <c r="BC55" s="140" t="str">
        <f t="shared" si="3"/>
        <v>2024 Q2</v>
      </c>
      <c r="BD55" s="140" t="str">
        <f t="shared" si="3"/>
        <v>2024 Q3</v>
      </c>
      <c r="BE55" s="141" t="str">
        <f t="shared" si="3"/>
        <v>2024 Q4</v>
      </c>
      <c r="BF55" s="141" t="str">
        <f t="shared" si="3"/>
        <v>2024 FY</v>
      </c>
      <c r="BG55" s="141" t="str">
        <f t="shared" si="3"/>
        <v>2025 Q1</v>
      </c>
      <c r="BH55" s="141" t="str">
        <f t="shared" si="3"/>
        <v>2025 Q2</v>
      </c>
      <c r="BI55" s="141" t="str">
        <f t="shared" si="3"/>
        <v>2025 Q3</v>
      </c>
      <c r="BJ55" s="141" t="str">
        <f t="shared" si="3"/>
        <v>2025 Q4</v>
      </c>
      <c r="BK55" s="141" t="str">
        <f t="shared" si="3"/>
        <v>2025 FY</v>
      </c>
      <c r="BL55" s="141" t="str">
        <f t="shared" si="3"/>
        <v>2026 Q1</v>
      </c>
      <c r="BM55" s="141" t="str">
        <f t="shared" si="3"/>
        <v>2026 Q2</v>
      </c>
      <c r="BN55" s="141" t="str">
        <f t="shared" si="3"/>
        <v>2026 Q3</v>
      </c>
      <c r="BO55" s="141" t="str">
        <f t="shared" si="3"/>
        <v>2026 Q4</v>
      </c>
      <c r="BP55" s="141" t="str">
        <f t="shared" si="3"/>
        <v>2026 FY</v>
      </c>
      <c r="BQ55" s="141" t="str">
        <f t="shared" si="3"/>
        <v>2027 Q1</v>
      </c>
      <c r="BR55" s="141" t="str">
        <f t="shared" si="3"/>
        <v>2027 Q2</v>
      </c>
      <c r="BS55" s="141" t="str">
        <f t="shared" si="3"/>
        <v>2027 Q3</v>
      </c>
      <c r="BT55" s="141" t="str">
        <f t="shared" si="3"/>
        <v>2027 Q4</v>
      </c>
      <c r="BU55" s="141" t="str">
        <f t="shared" si="3"/>
        <v>2027 FY</v>
      </c>
      <c r="BV55" s="141" t="str">
        <f t="shared" si="3"/>
        <v>2028 Q1</v>
      </c>
      <c r="BW55" s="141" t="str">
        <f t="shared" si="3"/>
        <v>2028 Q2</v>
      </c>
      <c r="BX55" s="141" t="str">
        <f t="shared" si="3"/>
        <v>2028 Q3</v>
      </c>
      <c r="BY55" s="141" t="str">
        <f t="shared" si="3"/>
        <v>2028 Q4</v>
      </c>
      <c r="BZ55" s="142" t="str">
        <f t="shared" si="3"/>
        <v>2028 FY</v>
      </c>
    </row>
    <row r="56" spans="1:78" s="114" customFormat="1" ht="14.1" customHeight="1" x14ac:dyDescent="0.2">
      <c r="A56" s="150"/>
      <c r="B56"/>
      <c r="C56" s="605"/>
      <c r="D56" s="714"/>
      <c r="E56" s="714"/>
      <c r="F56" s="714"/>
      <c r="G56" s="714"/>
      <c r="H56" s="714"/>
      <c r="I56" s="714"/>
      <c r="J56" s="714"/>
      <c r="K56" s="714"/>
      <c r="L56" s="714"/>
      <c r="M56" s="714"/>
      <c r="N56" s="714"/>
      <c r="O56" s="714"/>
      <c r="R56" s="605"/>
      <c r="T56" s="714"/>
      <c r="U56" s="714"/>
      <c r="V56" s="714"/>
      <c r="X56" s="714"/>
      <c r="Y56" s="714"/>
      <c r="Z56" s="714"/>
      <c r="AA56" s="714"/>
      <c r="AB56" s="714"/>
      <c r="AC56" s="714"/>
      <c r="AD56" s="714"/>
      <c r="AE56" s="714"/>
      <c r="AF56" s="714"/>
      <c r="AG56" s="714"/>
      <c r="AH56" s="714"/>
      <c r="AI56" s="714"/>
      <c r="AJ56" s="714"/>
      <c r="AK56" s="714"/>
      <c r="AL56" s="714"/>
      <c r="AM56" s="714"/>
      <c r="AN56" s="714"/>
      <c r="AO56" s="714"/>
      <c r="AP56" s="714"/>
      <c r="AQ56" s="714"/>
      <c r="AR56" s="714"/>
      <c r="AS56" s="714"/>
      <c r="AT56" s="714"/>
      <c r="AU56" s="714"/>
      <c r="AV56" s="714"/>
      <c r="AW56" s="714"/>
      <c r="AX56" s="714"/>
      <c r="AY56" s="714"/>
      <c r="AZ56" s="714"/>
      <c r="BA56" s="714"/>
      <c r="BB56" s="714"/>
      <c r="BC56" s="714"/>
      <c r="BD56" s="714"/>
      <c r="BE56" s="714"/>
      <c r="BF56" s="714"/>
      <c r="BG56" s="714"/>
      <c r="BH56" s="714"/>
      <c r="BI56" s="714"/>
      <c r="BJ56" s="714"/>
      <c r="BK56" s="714"/>
      <c r="BL56" s="714"/>
      <c r="BM56" s="714"/>
      <c r="BN56" s="714"/>
      <c r="BO56" s="714"/>
      <c r="BP56" s="714"/>
      <c r="BQ56" s="714"/>
      <c r="BR56" s="714"/>
      <c r="BS56" s="714"/>
      <c r="BT56" s="714"/>
      <c r="BU56" s="714"/>
      <c r="BV56" s="714"/>
      <c r="BW56" s="714"/>
      <c r="BX56" s="714"/>
      <c r="BY56" s="714"/>
      <c r="BZ56" s="714"/>
    </row>
    <row r="57" spans="1:78" s="114" customFormat="1" ht="14.1" customHeight="1" x14ac:dyDescent="0.2">
      <c r="A57"/>
      <c r="B57" s="150"/>
      <c r="C57" s="171"/>
      <c r="D57" s="116"/>
      <c r="E57" s="714"/>
      <c r="F57" s="714"/>
      <c r="G57" s="714"/>
      <c r="H57" s="714"/>
      <c r="I57" s="714"/>
      <c r="J57" s="714"/>
      <c r="K57" s="714"/>
      <c r="L57" s="714"/>
      <c r="M57" s="714"/>
      <c r="N57" s="714"/>
      <c r="O57" s="714"/>
      <c r="R57" s="171"/>
      <c r="T57" s="714"/>
      <c r="U57" s="714"/>
      <c r="V57" s="714"/>
      <c r="X57" s="714"/>
      <c r="Y57" s="714"/>
      <c r="Z57" s="714"/>
      <c r="AA57" s="714"/>
      <c r="AB57" s="714"/>
      <c r="AC57" s="714"/>
      <c r="AD57" s="714"/>
      <c r="AE57" s="714"/>
      <c r="AF57" s="714"/>
      <c r="AG57" s="714"/>
      <c r="AH57" s="714"/>
      <c r="AI57" s="714"/>
      <c r="AJ57" s="714"/>
      <c r="AK57" s="714"/>
      <c r="AL57" s="714"/>
      <c r="AM57" s="714"/>
      <c r="AN57" s="714"/>
      <c r="AO57" s="714"/>
      <c r="AP57" s="714"/>
      <c r="AQ57" s="714"/>
      <c r="AR57" s="714"/>
      <c r="AS57" s="714"/>
      <c r="AT57" s="714"/>
      <c r="AU57" s="714"/>
      <c r="AV57" s="714"/>
      <c r="AW57" s="714"/>
      <c r="AX57" s="714"/>
      <c r="AY57" s="714"/>
      <c r="AZ57" s="714"/>
      <c r="BA57" s="714"/>
      <c r="BB57" s="714"/>
      <c r="BC57" s="714"/>
      <c r="BD57" s="714"/>
      <c r="BE57" s="714"/>
      <c r="BF57" s="714"/>
      <c r="BG57" s="714"/>
      <c r="BH57" s="714"/>
      <c r="BI57" s="714"/>
      <c r="BJ57" s="714"/>
      <c r="BK57" s="714"/>
      <c r="BL57" s="714"/>
      <c r="BM57" s="714"/>
      <c r="BN57" s="714"/>
      <c r="BO57" s="714"/>
      <c r="BP57" s="714"/>
      <c r="BQ57" s="714"/>
      <c r="BR57" s="714"/>
      <c r="BS57" s="714"/>
      <c r="BT57" s="714"/>
      <c r="BU57" s="714"/>
      <c r="BV57" s="714"/>
      <c r="BW57" s="714"/>
      <c r="BX57" s="714"/>
      <c r="BY57" s="714"/>
      <c r="BZ57" s="714"/>
    </row>
    <row r="58" spans="1:78" s="114" customFormat="1" ht="14.1" customHeight="1" x14ac:dyDescent="0.2">
      <c r="A58"/>
      <c r="B58"/>
      <c r="C58" s="173"/>
      <c r="D58" s="116"/>
      <c r="E58" s="116"/>
      <c r="F58" s="116"/>
      <c r="G58" s="116"/>
      <c r="H58" s="116"/>
      <c r="I58" s="116"/>
      <c r="J58" s="116"/>
      <c r="K58" s="116"/>
      <c r="L58" s="116"/>
      <c r="M58" s="116"/>
      <c r="N58" s="116"/>
      <c r="O58" s="116"/>
      <c r="R58" s="173"/>
      <c r="T58" s="116"/>
      <c r="U58" s="116"/>
      <c r="V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row>
    <row r="59" spans="1:78" s="114" customFormat="1" ht="14.1" customHeight="1" x14ac:dyDescent="0.2">
      <c r="A59"/>
      <c r="B59"/>
      <c r="C59" s="173"/>
      <c r="D59" s="116"/>
      <c r="E59" s="116"/>
      <c r="F59" s="116"/>
      <c r="G59" s="116"/>
      <c r="H59" s="116"/>
      <c r="I59" s="116"/>
      <c r="J59" s="116"/>
      <c r="K59" s="116"/>
      <c r="L59" s="116"/>
      <c r="M59" s="116"/>
      <c r="N59" s="116"/>
      <c r="O59" s="116"/>
      <c r="R59" s="173"/>
      <c r="T59" s="116"/>
      <c r="U59" s="116"/>
      <c r="V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row>
    <row r="60" spans="1:78" s="114" customFormat="1" ht="14.1" customHeight="1" x14ac:dyDescent="0.2">
      <c r="A60"/>
      <c r="B60"/>
      <c r="C60" s="173"/>
      <c r="D60" s="116"/>
      <c r="E60" s="116"/>
      <c r="F60" s="116"/>
      <c r="G60" s="116"/>
      <c r="H60" s="116"/>
      <c r="I60" s="116"/>
      <c r="J60" s="116"/>
      <c r="K60" s="116"/>
      <c r="L60" s="116"/>
      <c r="M60" s="116"/>
      <c r="N60" s="116"/>
      <c r="O60" s="116"/>
      <c r="R60" s="173"/>
      <c r="T60" s="116"/>
      <c r="U60" s="116"/>
      <c r="V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row>
    <row r="61" spans="1:78" s="114" customFormat="1" ht="14.1" customHeight="1" x14ac:dyDescent="0.2">
      <c r="A61"/>
      <c r="B61"/>
      <c r="C61" s="173"/>
      <c r="D61" s="116"/>
      <c r="E61" s="116"/>
      <c r="F61" s="116"/>
      <c r="G61" s="116"/>
      <c r="H61" s="116"/>
      <c r="I61" s="116"/>
      <c r="J61" s="116"/>
      <c r="K61" s="116"/>
      <c r="L61" s="116"/>
      <c r="M61" s="116"/>
      <c r="N61" s="116"/>
      <c r="O61" s="116"/>
      <c r="R61" s="173"/>
      <c r="T61" s="116"/>
      <c r="U61" s="116"/>
      <c r="V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row>
    <row r="62" spans="1:78" s="114" customFormat="1" ht="14.1" customHeight="1" x14ac:dyDescent="0.2">
      <c r="A62"/>
      <c r="B62"/>
      <c r="C62" s="173"/>
      <c r="D62" s="116"/>
      <c r="E62" s="116"/>
      <c r="F62" s="116"/>
      <c r="G62" s="116"/>
      <c r="H62" s="116"/>
      <c r="I62" s="116"/>
      <c r="J62" s="116"/>
      <c r="K62" s="116"/>
      <c r="L62" s="116"/>
      <c r="M62" s="116"/>
      <c r="N62" s="116"/>
      <c r="O62" s="116"/>
      <c r="P62" s="116"/>
      <c r="R62" s="173"/>
      <c r="T62" s="116"/>
      <c r="U62" s="116"/>
      <c r="V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row>
    <row r="63" spans="1:78" s="114" customFormat="1" ht="14.1" customHeight="1" x14ac:dyDescent="0.2">
      <c r="A63"/>
      <c r="B63"/>
      <c r="C63" s="171"/>
      <c r="D63" s="116"/>
      <c r="E63" s="714"/>
      <c r="F63" s="714"/>
      <c r="G63" s="714"/>
      <c r="H63" s="714"/>
      <c r="I63" s="714"/>
      <c r="J63" s="714"/>
      <c r="K63" s="714"/>
      <c r="L63" s="714"/>
      <c r="M63" s="714"/>
      <c r="N63" s="714"/>
      <c r="O63" s="714"/>
      <c r="P63" s="115"/>
      <c r="Q63" s="115"/>
      <c r="R63" s="171"/>
      <c r="S63" s="115"/>
      <c r="T63" s="714"/>
      <c r="U63" s="714"/>
      <c r="V63" s="714"/>
      <c r="W63" s="115"/>
      <c r="X63" s="714"/>
      <c r="Y63" s="714"/>
      <c r="Z63" s="714"/>
      <c r="AA63" s="714"/>
      <c r="AB63" s="714"/>
      <c r="AC63" s="714"/>
      <c r="AD63" s="714"/>
      <c r="AE63" s="714"/>
      <c r="AF63" s="714"/>
      <c r="AG63" s="714"/>
      <c r="AH63" s="714"/>
      <c r="AI63" s="714"/>
      <c r="AJ63" s="714"/>
      <c r="AK63" s="714"/>
      <c r="AL63" s="714"/>
      <c r="AM63" s="714"/>
      <c r="AN63" s="714"/>
      <c r="AO63" s="714"/>
      <c r="AP63" s="714"/>
      <c r="AQ63" s="714"/>
      <c r="AR63" s="714"/>
      <c r="AS63" s="714"/>
      <c r="AT63" s="714"/>
      <c r="AU63" s="714"/>
      <c r="AV63" s="714"/>
      <c r="AW63" s="714"/>
      <c r="AX63" s="714"/>
      <c r="AY63" s="714"/>
      <c r="AZ63" s="714"/>
      <c r="BA63" s="714"/>
      <c r="BB63" s="714"/>
      <c r="BC63" s="714"/>
      <c r="BD63" s="714"/>
      <c r="BE63" s="714"/>
      <c r="BF63" s="714"/>
      <c r="BG63" s="714"/>
      <c r="BH63" s="714"/>
      <c r="BI63" s="714"/>
      <c r="BJ63" s="714"/>
      <c r="BK63" s="714"/>
      <c r="BL63" s="714"/>
      <c r="BM63" s="714"/>
      <c r="BN63" s="714"/>
      <c r="BO63" s="714"/>
      <c r="BP63" s="714"/>
      <c r="BQ63" s="714"/>
      <c r="BR63" s="714"/>
      <c r="BS63" s="714"/>
      <c r="BT63" s="714"/>
      <c r="BU63" s="714"/>
      <c r="BV63" s="714"/>
      <c r="BW63" s="714"/>
      <c r="BX63" s="714"/>
      <c r="BY63" s="714"/>
      <c r="BZ63" s="714"/>
    </row>
    <row r="64" spans="1:78" s="114" customFormat="1" ht="14.1" customHeight="1" x14ac:dyDescent="0.2">
      <c r="A64"/>
      <c r="B64"/>
      <c r="C64" s="173"/>
      <c r="D64" s="115"/>
      <c r="E64" s="115"/>
      <c r="F64" s="115"/>
      <c r="G64" s="115"/>
      <c r="H64" s="115"/>
      <c r="I64" s="115"/>
      <c r="J64" s="115"/>
      <c r="K64" s="115"/>
      <c r="L64" s="115"/>
      <c r="M64" s="115"/>
      <c r="N64" s="115"/>
      <c r="O64" s="115"/>
      <c r="P64" s="115"/>
      <c r="Q64" s="115"/>
      <c r="R64" s="173"/>
      <c r="S64" s="115"/>
      <c r="T64" s="115"/>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row>
    <row r="65" spans="1:78" s="114" customFormat="1" ht="14.1" customHeight="1" x14ac:dyDescent="0.2">
      <c r="A65"/>
      <c r="B65"/>
      <c r="C65" s="173"/>
      <c r="D65" s="115"/>
      <c r="E65" s="115"/>
      <c r="F65" s="115"/>
      <c r="G65" s="115"/>
      <c r="H65" s="115"/>
      <c r="I65" s="115"/>
      <c r="J65" s="115"/>
      <c r="K65" s="115"/>
      <c r="L65" s="115"/>
      <c r="M65" s="115"/>
      <c r="N65" s="115"/>
      <c r="O65" s="115"/>
      <c r="R65" s="173"/>
      <c r="T65" s="115"/>
      <c r="U65" s="115"/>
      <c r="V65" s="115"/>
      <c r="X65" s="115"/>
      <c r="Y65" s="115"/>
      <c r="Z65" s="115"/>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row>
    <row r="66" spans="1:78" s="114" customFormat="1" ht="14.1" customHeight="1" x14ac:dyDescent="0.2">
      <c r="A66"/>
      <c r="B66"/>
      <c r="C66" s="173"/>
      <c r="D66" s="116"/>
      <c r="E66" s="115"/>
      <c r="F66" s="115"/>
      <c r="G66" s="115"/>
      <c r="H66" s="115"/>
      <c r="I66" s="115"/>
      <c r="J66" s="115"/>
      <c r="K66" s="115"/>
      <c r="L66" s="115"/>
      <c r="M66" s="115"/>
      <c r="N66" s="115"/>
      <c r="O66" s="115"/>
      <c r="R66" s="173"/>
      <c r="T66" s="115"/>
      <c r="U66" s="115"/>
      <c r="V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row>
    <row r="67" spans="1:78" s="114" customFormat="1" ht="14.1" customHeight="1" x14ac:dyDescent="0.2">
      <c r="A67"/>
      <c r="B67"/>
      <c r="C67" s="173"/>
      <c r="D67" s="116"/>
      <c r="E67" s="115"/>
      <c r="F67" s="115"/>
      <c r="G67" s="115"/>
      <c r="H67" s="115"/>
      <c r="I67" s="115"/>
      <c r="J67" s="115"/>
      <c r="K67" s="115"/>
      <c r="L67" s="115"/>
      <c r="M67" s="115"/>
      <c r="N67" s="115"/>
      <c r="O67" s="115"/>
      <c r="R67" s="173"/>
      <c r="T67" s="115"/>
      <c r="U67" s="115"/>
      <c r="V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row>
    <row r="68" spans="1:78" s="114" customFormat="1" ht="14.1" customHeight="1" x14ac:dyDescent="0.2">
      <c r="A68"/>
      <c r="B68"/>
      <c r="C68" s="171"/>
      <c r="D68" s="116"/>
      <c r="E68" s="714"/>
      <c r="F68" s="714"/>
      <c r="G68" s="714"/>
      <c r="H68" s="714"/>
      <c r="I68" s="714"/>
      <c r="J68" s="714"/>
      <c r="K68" s="714"/>
      <c r="L68" s="714"/>
      <c r="M68" s="714"/>
      <c r="N68" s="714"/>
      <c r="O68" s="714"/>
      <c r="R68" s="171"/>
      <c r="T68" s="714"/>
      <c r="U68" s="714"/>
      <c r="V68" s="714"/>
      <c r="X68" s="714"/>
      <c r="Y68" s="714"/>
      <c r="Z68" s="714"/>
      <c r="AA68" s="714"/>
      <c r="AB68" s="714"/>
      <c r="AC68" s="714"/>
      <c r="AD68" s="714"/>
      <c r="AE68" s="714"/>
      <c r="AF68" s="714"/>
      <c r="AG68" s="714"/>
      <c r="AH68" s="714"/>
      <c r="AI68" s="714"/>
      <c r="AJ68" s="714"/>
      <c r="AK68" s="714"/>
      <c r="AL68" s="714"/>
      <c r="AM68" s="714"/>
      <c r="AN68" s="714"/>
      <c r="AO68" s="714"/>
      <c r="AP68" s="714"/>
      <c r="AQ68" s="714"/>
      <c r="AR68" s="714"/>
      <c r="AS68" s="714"/>
      <c r="AT68" s="714"/>
      <c r="AU68" s="714"/>
      <c r="AV68" s="714"/>
      <c r="AW68" s="714"/>
      <c r="AX68" s="714"/>
      <c r="AY68" s="714"/>
      <c r="AZ68" s="714"/>
      <c r="BA68" s="714"/>
      <c r="BB68" s="714"/>
      <c r="BC68" s="714"/>
      <c r="BD68" s="714"/>
      <c r="BE68" s="714"/>
      <c r="BF68" s="714"/>
      <c r="BG68" s="714"/>
      <c r="BH68" s="714"/>
      <c r="BI68" s="714"/>
      <c r="BJ68" s="714"/>
      <c r="BK68" s="714"/>
      <c r="BL68" s="714"/>
      <c r="BM68" s="714"/>
      <c r="BN68" s="714"/>
      <c r="BO68" s="714"/>
      <c r="BP68" s="714"/>
      <c r="BQ68" s="714"/>
      <c r="BR68" s="714"/>
      <c r="BS68" s="714"/>
      <c r="BT68" s="714"/>
      <c r="BU68" s="714"/>
      <c r="BV68" s="714"/>
      <c r="BW68" s="714"/>
      <c r="BX68" s="714"/>
      <c r="BY68" s="714"/>
      <c r="BZ68" s="714"/>
    </row>
    <row r="69" spans="1:78" s="114" customFormat="1" ht="14.1" customHeight="1" x14ac:dyDescent="0.2">
      <c r="A69"/>
      <c r="B69"/>
      <c r="C69" s="173"/>
      <c r="D69" s="116"/>
      <c r="E69" s="116"/>
      <c r="F69" s="116"/>
      <c r="G69" s="116"/>
      <c r="H69" s="116"/>
      <c r="I69" s="116"/>
      <c r="J69" s="116"/>
      <c r="K69" s="116"/>
      <c r="L69" s="116"/>
      <c r="M69" s="116"/>
      <c r="N69" s="116"/>
      <c r="O69" s="116"/>
      <c r="R69" s="173"/>
      <c r="T69" s="116"/>
      <c r="U69" s="116"/>
      <c r="V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row>
    <row r="70" spans="1:78" s="114" customFormat="1" ht="14.1" customHeight="1" x14ac:dyDescent="0.2">
      <c r="A70"/>
      <c r="B70"/>
      <c r="C70" s="173"/>
      <c r="D70" s="116"/>
      <c r="E70" s="116"/>
      <c r="F70" s="116"/>
      <c r="G70" s="116"/>
      <c r="H70" s="116"/>
      <c r="I70" s="116"/>
      <c r="J70" s="116"/>
      <c r="K70" s="116"/>
      <c r="L70" s="116"/>
      <c r="M70" s="116"/>
      <c r="N70" s="116"/>
      <c r="O70" s="116"/>
      <c r="R70" s="173"/>
      <c r="T70" s="116"/>
      <c r="U70" s="116"/>
      <c r="V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row>
    <row r="71" spans="1:78" s="114" customFormat="1" ht="14.1" customHeight="1" x14ac:dyDescent="0.2">
      <c r="A71"/>
      <c r="B71"/>
      <c r="C71" s="173"/>
      <c r="D71" s="116"/>
      <c r="E71" s="116"/>
      <c r="F71" s="116"/>
      <c r="G71" s="116"/>
      <c r="H71" s="116"/>
      <c r="I71" s="116"/>
      <c r="J71" s="116"/>
      <c r="K71" s="116"/>
      <c r="L71" s="116"/>
      <c r="M71" s="116"/>
      <c r="N71" s="116"/>
      <c r="O71" s="116"/>
      <c r="R71" s="173"/>
      <c r="T71" s="116"/>
      <c r="U71" s="116"/>
      <c r="V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row>
    <row r="72" spans="1:78" s="114" customFormat="1" ht="14.1" customHeight="1" x14ac:dyDescent="0.2">
      <c r="A72"/>
      <c r="B72"/>
      <c r="C72" s="171"/>
      <c r="D72" s="116"/>
      <c r="E72" s="714"/>
      <c r="F72" s="714"/>
      <c r="G72" s="714"/>
      <c r="H72" s="714"/>
      <c r="I72" s="714"/>
      <c r="J72" s="714"/>
      <c r="K72" s="714"/>
      <c r="L72" s="714"/>
      <c r="M72" s="714"/>
      <c r="N72" s="714"/>
      <c r="O72" s="714"/>
      <c r="R72" s="171"/>
      <c r="T72" s="714"/>
      <c r="U72" s="714"/>
      <c r="V72" s="714"/>
      <c r="X72" s="714"/>
      <c r="Y72" s="714"/>
      <c r="Z72" s="714"/>
      <c r="AA72" s="714"/>
      <c r="AB72" s="714"/>
      <c r="AC72" s="714"/>
      <c r="AD72" s="714"/>
      <c r="AE72" s="714"/>
      <c r="AF72" s="714"/>
      <c r="AG72" s="714"/>
      <c r="AH72" s="714"/>
      <c r="AI72" s="714"/>
      <c r="AJ72" s="714"/>
      <c r="AK72" s="714"/>
      <c r="AL72" s="714"/>
      <c r="AM72" s="714"/>
      <c r="AN72" s="714"/>
      <c r="AO72" s="714"/>
      <c r="AP72" s="714"/>
      <c r="AQ72" s="714"/>
      <c r="AR72" s="714"/>
      <c r="AS72" s="714"/>
      <c r="AT72" s="714"/>
      <c r="AU72" s="714"/>
      <c r="AV72" s="714"/>
      <c r="AW72" s="714"/>
      <c r="AX72" s="714"/>
      <c r="AY72" s="714"/>
      <c r="AZ72" s="714"/>
      <c r="BA72" s="714"/>
      <c r="BB72" s="714"/>
      <c r="BC72" s="714"/>
      <c r="BD72" s="714"/>
      <c r="BE72" s="714"/>
      <c r="BF72" s="714"/>
      <c r="BG72" s="714"/>
      <c r="BH72" s="714"/>
      <c r="BI72" s="714"/>
      <c r="BJ72" s="714"/>
      <c r="BK72" s="714"/>
      <c r="BL72" s="714"/>
      <c r="BM72" s="714"/>
      <c r="BN72" s="714"/>
      <c r="BO72" s="714"/>
      <c r="BP72" s="714"/>
      <c r="BQ72" s="714"/>
      <c r="BR72" s="714"/>
      <c r="BS72" s="714"/>
      <c r="BT72" s="714"/>
      <c r="BU72" s="714"/>
      <c r="BV72" s="714"/>
      <c r="BW72" s="714"/>
      <c r="BX72" s="714"/>
      <c r="BY72" s="714"/>
      <c r="BZ72" s="714"/>
    </row>
    <row r="73" spans="1:78" s="114" customFormat="1" ht="14.1" customHeight="1" x14ac:dyDescent="0.2">
      <c r="A73"/>
      <c r="B73"/>
      <c r="C73" s="173"/>
      <c r="D73" s="116"/>
      <c r="E73" s="116"/>
      <c r="F73" s="116"/>
      <c r="G73" s="116"/>
      <c r="H73" s="116"/>
      <c r="I73" s="116"/>
      <c r="J73" s="116"/>
      <c r="K73" s="116"/>
      <c r="L73" s="116"/>
      <c r="M73" s="116"/>
      <c r="N73" s="116"/>
      <c r="O73" s="116"/>
      <c r="R73" s="173"/>
      <c r="T73" s="116"/>
      <c r="U73" s="116"/>
      <c r="V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row>
    <row r="74" spans="1:78" s="114" customFormat="1" ht="14.1" customHeight="1" x14ac:dyDescent="0.2">
      <c r="A74"/>
      <c r="B74"/>
      <c r="C74" s="173"/>
      <c r="D74" s="116"/>
      <c r="E74" s="116"/>
      <c r="F74" s="116"/>
      <c r="G74" s="116"/>
      <c r="H74" s="116"/>
      <c r="I74" s="116"/>
      <c r="J74" s="116"/>
      <c r="K74" s="116"/>
      <c r="L74" s="116"/>
      <c r="M74" s="116"/>
      <c r="N74" s="116"/>
      <c r="O74" s="116"/>
      <c r="R74" s="173"/>
      <c r="T74" s="116"/>
      <c r="U74" s="116"/>
      <c r="V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row>
    <row r="75" spans="1:78" s="114" customFormat="1" ht="14.1" customHeight="1" x14ac:dyDescent="0.2">
      <c r="A75"/>
      <c r="B75"/>
      <c r="C75" s="173"/>
      <c r="D75" s="116"/>
      <c r="E75" s="116"/>
      <c r="F75" s="116"/>
      <c r="G75" s="116"/>
      <c r="H75" s="116"/>
      <c r="I75" s="116"/>
      <c r="J75" s="116"/>
      <c r="K75" s="116"/>
      <c r="L75" s="116"/>
      <c r="M75" s="116"/>
      <c r="N75" s="116"/>
      <c r="O75" s="116"/>
      <c r="R75" s="173"/>
      <c r="T75" s="116"/>
      <c r="U75" s="116"/>
      <c r="V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row>
    <row r="76" spans="1:78" s="114" customFormat="1" ht="14.1" customHeight="1" x14ac:dyDescent="0.2">
      <c r="A76"/>
      <c r="B76"/>
      <c r="C76" s="173"/>
      <c r="D76" s="116"/>
      <c r="E76" s="116"/>
      <c r="F76" s="116"/>
      <c r="G76" s="116"/>
      <c r="H76" s="116"/>
      <c r="I76" s="116"/>
      <c r="J76" s="116"/>
      <c r="K76" s="116"/>
      <c r="L76" s="116"/>
      <c r="M76" s="116"/>
      <c r="N76" s="116"/>
      <c r="O76" s="116"/>
      <c r="R76" s="173"/>
      <c r="T76" s="116"/>
      <c r="U76" s="116"/>
      <c r="V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row>
    <row r="77" spans="1:78" s="114" customFormat="1" ht="14.1" customHeight="1" x14ac:dyDescent="0.2">
      <c r="A77"/>
      <c r="B77"/>
      <c r="C77" s="605"/>
      <c r="D77" s="714"/>
      <c r="E77" s="714"/>
      <c r="F77" s="714"/>
      <c r="G77" s="714"/>
      <c r="H77" s="714"/>
      <c r="I77" s="714"/>
      <c r="J77" s="714"/>
      <c r="K77" s="714"/>
      <c r="L77" s="714"/>
      <c r="M77" s="714"/>
      <c r="N77" s="714"/>
      <c r="O77" s="714"/>
      <c r="R77" s="605"/>
      <c r="T77" s="714"/>
      <c r="U77" s="714"/>
      <c r="V77" s="714"/>
      <c r="X77" s="714"/>
      <c r="Y77" s="714"/>
      <c r="Z77" s="714"/>
      <c r="AA77" s="714"/>
      <c r="AB77" s="714"/>
      <c r="AC77" s="714"/>
      <c r="AD77" s="714"/>
      <c r="AE77" s="714"/>
      <c r="AF77" s="714"/>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I77" s="714"/>
      <c r="BJ77" s="714"/>
      <c r="BK77" s="714"/>
      <c r="BL77" s="714"/>
      <c r="BM77" s="714"/>
      <c r="BN77" s="714"/>
      <c r="BO77" s="714"/>
      <c r="BP77" s="714"/>
      <c r="BQ77" s="714"/>
      <c r="BR77" s="714"/>
      <c r="BS77" s="714"/>
      <c r="BT77" s="714"/>
      <c r="BU77" s="714"/>
      <c r="BV77" s="714"/>
      <c r="BW77" s="714"/>
      <c r="BX77" s="714"/>
      <c r="BY77" s="714"/>
      <c r="BZ77" s="714"/>
    </row>
    <row r="78" spans="1:78" s="114" customFormat="1" ht="14.1" customHeight="1" x14ac:dyDescent="0.2">
      <c r="A78"/>
      <c r="B78"/>
      <c r="D78" s="116"/>
      <c r="E78" s="116"/>
      <c r="F78" s="116"/>
      <c r="G78" s="116"/>
      <c r="H78" s="116"/>
      <c r="I78" s="116"/>
      <c r="J78" s="116"/>
      <c r="K78" s="116"/>
      <c r="L78" s="116"/>
      <c r="M78" s="116"/>
      <c r="N78" s="116"/>
      <c r="O78" s="116"/>
    </row>
    <row r="79" spans="1:78" s="114" customFormat="1" ht="14.1" customHeight="1" x14ac:dyDescent="0.2">
      <c r="A79"/>
      <c r="B79"/>
      <c r="D79" s="116"/>
      <c r="E79" s="116"/>
      <c r="F79" s="116"/>
      <c r="G79" s="116"/>
      <c r="H79" s="116"/>
      <c r="I79" s="116"/>
      <c r="J79" s="116"/>
      <c r="K79" s="116"/>
      <c r="L79" s="116"/>
      <c r="M79" s="116"/>
      <c r="N79" s="116"/>
      <c r="O79" s="116"/>
    </row>
    <row r="80" spans="1:78" s="114" customFormat="1" ht="14.1" customHeight="1" x14ac:dyDescent="0.2">
      <c r="A80"/>
      <c r="B80"/>
      <c r="D80" s="116"/>
      <c r="E80" s="116"/>
      <c r="F80" s="116"/>
      <c r="G80" s="116"/>
      <c r="H80" s="116"/>
      <c r="I80" s="116"/>
      <c r="J80" s="116"/>
      <c r="K80" s="116"/>
      <c r="L80" s="116"/>
      <c r="M80" s="116"/>
      <c r="N80" s="116"/>
      <c r="O80" s="116"/>
    </row>
    <row r="81" spans="1:78" s="114" customFormat="1" ht="14.1" customHeight="1" x14ac:dyDescent="0.2">
      <c r="A81"/>
      <c r="B81"/>
      <c r="D81" s="116"/>
      <c r="E81" s="116"/>
      <c r="F81" s="116"/>
      <c r="G81" s="116"/>
      <c r="H81" s="116"/>
      <c r="I81" s="116"/>
      <c r="J81" s="116"/>
      <c r="K81" s="116"/>
      <c r="L81" s="116"/>
      <c r="M81" s="116"/>
      <c r="N81" s="116"/>
      <c r="O81" s="116"/>
    </row>
    <row r="82" spans="1:78" s="114" customFormat="1" ht="14.1" customHeight="1" x14ac:dyDescent="0.2">
      <c r="A82"/>
      <c r="B82"/>
      <c r="D82" s="116"/>
      <c r="E82" s="116"/>
      <c r="F82" s="116"/>
      <c r="G82" s="116"/>
      <c r="H82" s="116"/>
      <c r="I82" s="116"/>
      <c r="J82" s="116"/>
      <c r="K82" s="116"/>
      <c r="L82" s="116"/>
      <c r="M82" s="116"/>
      <c r="N82" s="116"/>
      <c r="O82" s="116"/>
    </row>
    <row r="83" spans="1:78" s="114" customFormat="1" ht="14.1" customHeight="1" x14ac:dyDescent="0.2">
      <c r="A83"/>
      <c r="B83"/>
      <c r="D83" s="183"/>
      <c r="E83" s="183"/>
      <c r="F83" s="183"/>
      <c r="G83" s="183"/>
      <c r="H83" s="183"/>
      <c r="I83" s="183"/>
      <c r="J83" s="183"/>
      <c r="K83" s="183"/>
      <c r="L83" s="183"/>
      <c r="M83" s="183"/>
      <c r="N83" s="183"/>
      <c r="O83" s="183"/>
    </row>
    <row r="84" spans="1:78" s="114" customFormat="1" ht="14.1" customHeight="1" x14ac:dyDescent="0.2">
      <c r="A84"/>
      <c r="B84"/>
      <c r="D84" s="183"/>
      <c r="E84" s="183"/>
      <c r="F84" s="183"/>
      <c r="G84" s="183"/>
      <c r="H84" s="183"/>
      <c r="I84" s="183"/>
      <c r="J84" s="183"/>
      <c r="K84" s="183"/>
      <c r="L84" s="183"/>
      <c r="M84" s="183"/>
      <c r="N84" s="183"/>
      <c r="O84" s="183"/>
    </row>
    <row r="85" spans="1:78" s="161" customFormat="1" ht="14.1" customHeight="1" x14ac:dyDescent="0.2">
      <c r="A85"/>
      <c r="B85"/>
      <c r="C85" s="114"/>
      <c r="D85" s="184"/>
      <c r="E85" s="184"/>
      <c r="F85" s="184"/>
      <c r="G85" s="184"/>
      <c r="H85" s="184"/>
      <c r="I85" s="184"/>
      <c r="J85" s="184"/>
      <c r="K85" s="184"/>
      <c r="L85" s="184"/>
      <c r="M85" s="184"/>
      <c r="N85" s="184"/>
      <c r="O85" s="184"/>
    </row>
    <row r="86" spans="1:78" s="114" customFormat="1" ht="14.1" customHeight="1" x14ac:dyDescent="0.2">
      <c r="A86"/>
      <c r="B86"/>
      <c r="D86" s="183"/>
      <c r="E86" s="183"/>
      <c r="F86" s="183"/>
      <c r="G86" s="183"/>
      <c r="H86" s="183"/>
      <c r="I86" s="183"/>
      <c r="J86" s="183"/>
      <c r="K86" s="183"/>
      <c r="L86" s="183"/>
      <c r="M86" s="183"/>
      <c r="N86" s="183"/>
      <c r="O86" s="183"/>
    </row>
    <row r="87" spans="1:78" s="114" customFormat="1" ht="14.1" customHeight="1" x14ac:dyDescent="0.2">
      <c r="A87"/>
      <c r="B87"/>
      <c r="D87" s="183"/>
      <c r="E87" s="183"/>
      <c r="F87" s="183"/>
      <c r="G87" s="183"/>
      <c r="H87" s="183"/>
      <c r="I87" s="183"/>
      <c r="J87" s="183"/>
      <c r="K87" s="183"/>
      <c r="L87" s="183"/>
      <c r="M87" s="183"/>
      <c r="N87" s="183"/>
      <c r="O87" s="183"/>
    </row>
    <row r="88" spans="1:78" s="114" customFormat="1" ht="14.1" customHeight="1" x14ac:dyDescent="0.2">
      <c r="A88"/>
      <c r="B88"/>
      <c r="D88" s="183"/>
      <c r="E88" s="183"/>
      <c r="F88" s="183"/>
      <c r="G88" s="183"/>
      <c r="H88" s="183"/>
      <c r="I88" s="183"/>
      <c r="J88" s="183"/>
      <c r="K88" s="183"/>
      <c r="L88" s="183"/>
      <c r="M88" s="183"/>
      <c r="N88" s="183"/>
      <c r="O88" s="183"/>
    </row>
    <row r="89" spans="1:78" s="114" customFormat="1" ht="14.1" customHeight="1" x14ac:dyDescent="0.2">
      <c r="A89"/>
      <c r="B89"/>
      <c r="D89" s="183"/>
      <c r="E89" s="183"/>
      <c r="F89" s="183"/>
      <c r="G89" s="183"/>
      <c r="H89" s="183"/>
      <c r="I89" s="183"/>
      <c r="J89" s="183"/>
      <c r="K89" s="183"/>
      <c r="L89" s="183"/>
      <c r="M89" s="183"/>
      <c r="N89" s="183"/>
      <c r="O89" s="183"/>
    </row>
    <row r="90" spans="1:78" s="114" customFormat="1" ht="14.1" customHeight="1" x14ac:dyDescent="0.2">
      <c r="A90"/>
      <c r="B90"/>
      <c r="D90" s="183"/>
      <c r="E90" s="183"/>
      <c r="F90" s="183"/>
      <c r="G90" s="183"/>
      <c r="H90" s="183"/>
      <c r="I90" s="183"/>
      <c r="J90" s="183"/>
      <c r="K90" s="183"/>
      <c r="L90" s="183"/>
      <c r="M90" s="183"/>
      <c r="N90" s="183"/>
      <c r="O90" s="183"/>
    </row>
    <row r="91" spans="1:78" s="114" customFormat="1" ht="14.1" customHeight="1" x14ac:dyDescent="0.2">
      <c r="A91"/>
      <c r="B91"/>
      <c r="D91" s="183"/>
      <c r="E91" s="183"/>
      <c r="F91" s="183"/>
      <c r="G91" s="183"/>
      <c r="H91" s="183"/>
      <c r="I91" s="183"/>
      <c r="J91" s="183"/>
      <c r="K91" s="183"/>
      <c r="L91" s="183"/>
      <c r="M91" s="183"/>
      <c r="N91" s="183"/>
      <c r="O91" s="183"/>
    </row>
    <row r="92" spans="1:78" s="114" customFormat="1" ht="6" customHeight="1" x14ac:dyDescent="0.2">
      <c r="A92"/>
      <c r="B92"/>
      <c r="D92" s="183"/>
      <c r="E92" s="183"/>
      <c r="F92" s="183"/>
      <c r="G92" s="183"/>
      <c r="H92" s="183"/>
      <c r="I92" s="183"/>
      <c r="J92" s="183"/>
      <c r="K92" s="183"/>
      <c r="L92" s="183"/>
      <c r="M92" s="183"/>
      <c r="N92" s="183"/>
      <c r="O92" s="183"/>
    </row>
    <row r="93" spans="1:78" ht="18.75" x14ac:dyDescent="0.25">
      <c r="C93" s="136" t="str">
        <f>C3</f>
        <v>SAIA, Inc.</v>
      </c>
      <c r="D93" s="148"/>
      <c r="E93" s="148"/>
      <c r="F93" s="148"/>
      <c r="G93" s="148"/>
      <c r="H93" s="148"/>
      <c r="I93" s="148"/>
      <c r="J93" s="148"/>
      <c r="K93" s="148"/>
      <c r="L93" s="148"/>
      <c r="M93" s="148"/>
      <c r="N93" s="148"/>
      <c r="O93" s="148"/>
      <c r="R93" s="1376" t="str">
        <f>C93</f>
        <v>SAIA, Inc.</v>
      </c>
      <c r="S93" s="1374"/>
      <c r="T93" s="1374"/>
      <c r="U93" s="1374"/>
      <c r="V93" s="1374"/>
      <c r="W93" s="1374"/>
      <c r="X93" s="1374"/>
      <c r="Y93" s="1374"/>
      <c r="Z93" s="1374"/>
      <c r="AA93" s="1374"/>
      <c r="AB93" s="1374"/>
      <c r="AC93" s="1374"/>
      <c r="AD93" s="1374"/>
      <c r="AE93" s="1374"/>
      <c r="AF93" s="1374"/>
      <c r="AG93" s="1374"/>
      <c r="AH93" s="1374"/>
      <c r="AI93" s="1374"/>
      <c r="AJ93" s="1374"/>
      <c r="AK93" s="1374"/>
      <c r="AL93" s="1374"/>
      <c r="AM93" s="1374"/>
      <c r="AN93" s="1374"/>
      <c r="AO93" s="1374"/>
      <c r="AP93" s="1374"/>
      <c r="AQ93" s="1374"/>
      <c r="AR93" s="1374"/>
      <c r="AS93" s="1374"/>
      <c r="AT93" s="1374"/>
      <c r="AU93" s="1374"/>
      <c r="AV93" s="1374"/>
      <c r="AW93" s="1374"/>
      <c r="AX93" s="1374"/>
      <c r="AY93" s="1374"/>
      <c r="AZ93" s="1374"/>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row>
    <row r="94" spans="1:78" ht="14.1" customHeight="1" x14ac:dyDescent="0.2">
      <c r="C94" s="133"/>
      <c r="D94" s="148"/>
      <c r="E94" s="148"/>
      <c r="F94" s="148"/>
      <c r="G94" s="148"/>
      <c r="H94" s="148"/>
      <c r="I94" s="148"/>
      <c r="J94" s="148"/>
      <c r="K94" s="148"/>
      <c r="L94" s="148"/>
      <c r="M94" s="148"/>
      <c r="N94" s="134" t="str">
        <f>N4</f>
        <v>DCF Share Value as of 12/31/2024:</v>
      </c>
      <c r="O94" s="135">
        <f>O4</f>
        <v>0</v>
      </c>
      <c r="R94" s="1387"/>
      <c r="S94" s="1375"/>
      <c r="T94" s="1375"/>
      <c r="U94" s="1375"/>
      <c r="V94" s="1375"/>
      <c r="W94" s="1375"/>
      <c r="X94" s="1375"/>
      <c r="Y94" s="1375"/>
      <c r="Z94" s="1375"/>
      <c r="AA94" s="1375"/>
      <c r="AB94" s="1375"/>
      <c r="AC94" s="1375"/>
      <c r="AD94" s="1375"/>
      <c r="AE94" s="1375"/>
      <c r="AF94" s="1375"/>
      <c r="AG94" s="1375"/>
      <c r="AH94" s="1375"/>
      <c r="AI94" s="1375"/>
      <c r="AJ94" s="1375"/>
      <c r="AK94" s="1375"/>
      <c r="AL94" s="1375"/>
      <c r="AM94" s="1375"/>
      <c r="AN94" s="1375"/>
      <c r="AO94" s="1375"/>
      <c r="AP94" s="1375"/>
      <c r="AQ94" s="1375"/>
      <c r="AR94" s="1375"/>
      <c r="AS94" s="1375"/>
      <c r="AT94" s="1375"/>
      <c r="AU94" s="1375"/>
      <c r="AV94" s="1375"/>
      <c r="AW94" s="1375"/>
      <c r="AX94" s="1375"/>
      <c r="AY94" s="1375"/>
      <c r="AZ94" s="1375"/>
      <c r="BA94" s="1375"/>
      <c r="BB94" s="48"/>
      <c r="BC94" s="48"/>
      <c r="BD94" s="48"/>
      <c r="BE94" s="48"/>
      <c r="BF94" s="48"/>
      <c r="BG94" s="48"/>
      <c r="BH94" s="48"/>
      <c r="BI94" s="48"/>
      <c r="BJ94" s="48"/>
      <c r="BK94" s="48"/>
      <c r="BL94" s="48"/>
      <c r="BM94" s="48"/>
      <c r="BN94" s="48"/>
      <c r="BO94" s="48"/>
      <c r="BP94" s="48"/>
      <c r="BQ94" s="48"/>
      <c r="BR94" s="48"/>
      <c r="BS94" s="48"/>
      <c r="BT94" s="48"/>
      <c r="BU94" s="48"/>
      <c r="BV94" s="48"/>
      <c r="BW94" s="48"/>
      <c r="BX94" s="48"/>
      <c r="BY94" s="48"/>
      <c r="BZ94" s="48"/>
    </row>
    <row r="95" spans="1:78" ht="14.1" customHeight="1" x14ac:dyDescent="0.2">
      <c r="C95" s="147" t="str">
        <f>C5</f>
        <v>($ in millions, fiscal year ending December,31)</v>
      </c>
      <c r="D95" s="148"/>
      <c r="E95" s="148"/>
      <c r="F95" s="148"/>
      <c r="G95" s="148"/>
      <c r="H95" s="148"/>
      <c r="I95" s="148"/>
      <c r="J95" s="148"/>
      <c r="K95" s="148"/>
      <c r="L95" s="148"/>
      <c r="M95" s="148"/>
      <c r="N95" s="134" t="str">
        <f>N5</f>
        <v>Market Share Price as of 12/31/2024:</v>
      </c>
      <c r="O95" s="135">
        <f>O5</f>
        <v>455.73</v>
      </c>
      <c r="R95" s="154"/>
      <c r="S95" s="152"/>
      <c r="T95" s="152"/>
      <c r="U95" s="152"/>
      <c r="V95" s="152"/>
      <c r="W95" s="152"/>
      <c r="X95" s="152"/>
      <c r="Y95" s="152"/>
      <c r="Z95" s="152"/>
      <c r="AA95" s="152"/>
      <c r="AB95" s="152"/>
      <c r="AC95" s="152"/>
      <c r="AD95" s="152"/>
      <c r="AE95" s="152"/>
      <c r="AF95" s="152"/>
      <c r="AG95" s="152"/>
      <c r="AH95" s="152"/>
      <c r="AI95" s="152"/>
      <c r="AJ95" s="152"/>
      <c r="AK95" s="152"/>
      <c r="AL95" s="152"/>
      <c r="AM95" s="152"/>
      <c r="AN95" s="152"/>
      <c r="AO95" s="152"/>
      <c r="AP95" s="152"/>
      <c r="AQ95" s="152"/>
      <c r="AR95" s="152"/>
      <c r="AS95" s="152"/>
      <c r="AT95" s="152"/>
      <c r="AU95" s="152"/>
      <c r="AV95" s="152"/>
      <c r="AW95" s="152"/>
      <c r="AX95" s="152"/>
      <c r="AY95" s="152"/>
      <c r="AZ95" s="152"/>
      <c r="BA95" s="152"/>
      <c r="BB95" s="153"/>
      <c r="BC95" s="153"/>
      <c r="BD95" s="153"/>
      <c r="BE95" s="153"/>
      <c r="BF95" s="153"/>
      <c r="BG95" s="153"/>
      <c r="BH95" s="153"/>
      <c r="BI95" s="153"/>
      <c r="BJ95" s="153"/>
      <c r="BK95" s="153"/>
      <c r="BL95" s="153"/>
      <c r="BM95" s="153"/>
      <c r="BN95" s="153"/>
      <c r="BO95" s="153"/>
      <c r="BP95" s="153"/>
      <c r="BQ95" s="153"/>
      <c r="BR95" s="153"/>
      <c r="BS95" s="153"/>
      <c r="BT95" s="153"/>
      <c r="BU95" s="153"/>
      <c r="BV95" s="153"/>
      <c r="BW95" s="153"/>
      <c r="BX95" s="153"/>
      <c r="BY95" s="153"/>
      <c r="BZ95" s="153"/>
    </row>
    <row r="96" spans="1:78" ht="14.1" customHeight="1" x14ac:dyDescent="0.2">
      <c r="C96" s="155"/>
      <c r="D96" s="97">
        <f t="shared" ref="D96:O96" si="4">D7</f>
        <v>43100</v>
      </c>
      <c r="E96" s="98">
        <f t="shared" si="4"/>
        <v>43465</v>
      </c>
      <c r="F96" s="98">
        <f t="shared" si="4"/>
        <v>43830</v>
      </c>
      <c r="G96" s="98">
        <f t="shared" si="4"/>
        <v>44196</v>
      </c>
      <c r="H96" s="98">
        <f t="shared" si="4"/>
        <v>44561</v>
      </c>
      <c r="I96" s="98">
        <f t="shared" si="4"/>
        <v>44926</v>
      </c>
      <c r="J96" s="98">
        <f t="shared" si="4"/>
        <v>45291</v>
      </c>
      <c r="K96" s="137">
        <f t="shared" si="4"/>
        <v>45657</v>
      </c>
      <c r="L96" s="138">
        <f t="shared" si="4"/>
        <v>46022</v>
      </c>
      <c r="M96" s="138">
        <f t="shared" si="4"/>
        <v>46387</v>
      </c>
      <c r="N96" s="138">
        <f t="shared" si="4"/>
        <v>46752</v>
      </c>
      <c r="O96" s="139">
        <f t="shared" si="4"/>
        <v>47118</v>
      </c>
      <c r="R96" s="155"/>
      <c r="S96" s="1367">
        <f>S5</f>
        <v>43100</v>
      </c>
      <c r="T96" s="1368"/>
      <c r="U96" s="1368"/>
      <c r="V96" s="1368"/>
      <c r="W96" s="1368"/>
      <c r="X96" s="1395">
        <f>X5</f>
        <v>43465</v>
      </c>
      <c r="Y96" s="1396"/>
      <c r="Z96" s="1396"/>
      <c r="AA96" s="1396"/>
      <c r="AB96" s="1397"/>
      <c r="AC96" s="1395">
        <f>AC5</f>
        <v>43830</v>
      </c>
      <c r="AD96" s="1396"/>
      <c r="AE96" s="1396"/>
      <c r="AF96" s="1396"/>
      <c r="AG96" s="1397"/>
      <c r="AH96" s="1395">
        <f>AH5</f>
        <v>44196</v>
      </c>
      <c r="AI96" s="1396"/>
      <c r="AJ96" s="1396"/>
      <c r="AK96" s="1396"/>
      <c r="AL96" s="1397"/>
      <c r="AM96" s="1395">
        <f>AM5</f>
        <v>44561</v>
      </c>
      <c r="AN96" s="1396"/>
      <c r="AO96" s="1396"/>
      <c r="AP96" s="1396"/>
      <c r="AQ96" s="1397"/>
      <c r="AR96" s="1395">
        <f>AR5</f>
        <v>44926</v>
      </c>
      <c r="AS96" s="1396"/>
      <c r="AT96" s="1396"/>
      <c r="AU96" s="1396"/>
      <c r="AV96" s="1397"/>
      <c r="AW96" s="1395">
        <f>AW5</f>
        <v>45291</v>
      </c>
      <c r="AX96" s="1396"/>
      <c r="AY96" s="1396"/>
      <c r="AZ96" s="1396"/>
      <c r="BA96" s="1397"/>
      <c r="BB96" s="1369">
        <f>BB5</f>
        <v>45657</v>
      </c>
      <c r="BC96" s="1369"/>
      <c r="BD96" s="1369"/>
      <c r="BE96" s="1369"/>
      <c r="BF96" s="1369"/>
      <c r="BG96" s="1365">
        <f>BG5</f>
        <v>46022</v>
      </c>
      <c r="BH96" s="1365"/>
      <c r="BI96" s="1365"/>
      <c r="BJ96" s="1365"/>
      <c r="BK96" s="1365"/>
      <c r="BL96" s="1365">
        <f>BL5</f>
        <v>46387</v>
      </c>
      <c r="BM96" s="1365"/>
      <c r="BN96" s="1365"/>
      <c r="BO96" s="1365"/>
      <c r="BP96" s="1365"/>
      <c r="BQ96" s="1365">
        <f>BQ5</f>
        <v>46752</v>
      </c>
      <c r="BR96" s="1365"/>
      <c r="BS96" s="1365"/>
      <c r="BT96" s="1365"/>
      <c r="BU96" s="1365"/>
      <c r="BV96" s="1365">
        <f>BV5</f>
        <v>47118</v>
      </c>
      <c r="BW96" s="1365"/>
      <c r="BX96" s="1365"/>
      <c r="BY96" s="1365"/>
      <c r="BZ96" s="1366"/>
    </row>
    <row r="97" spans="1:78" ht="14.1" customHeight="1" x14ac:dyDescent="0.2">
      <c r="R97" s="236"/>
      <c r="S97" s="96" t="str">
        <f t="shared" ref="S97:BZ97" si="5">S55</f>
        <v>2017 Q1</v>
      </c>
      <c r="T97" s="140" t="str">
        <f t="shared" si="5"/>
        <v>2017 Q2</v>
      </c>
      <c r="U97" s="140" t="str">
        <f t="shared" si="5"/>
        <v>2017 Q3</v>
      </c>
      <c r="V97" s="140" t="str">
        <f t="shared" si="5"/>
        <v>2017 Q4</v>
      </c>
      <c r="W97" s="140" t="str">
        <f t="shared" si="5"/>
        <v>2017 FY</v>
      </c>
      <c r="X97" s="140" t="str">
        <f t="shared" si="5"/>
        <v>2018 Q1</v>
      </c>
      <c r="Y97" s="140" t="str">
        <f t="shared" si="5"/>
        <v>2018 Q2</v>
      </c>
      <c r="Z97" s="140" t="str">
        <f t="shared" si="5"/>
        <v>2018 Q3</v>
      </c>
      <c r="AA97" s="140" t="str">
        <f t="shared" si="5"/>
        <v>2018 Q4</v>
      </c>
      <c r="AB97" s="140" t="str">
        <f t="shared" si="5"/>
        <v>2018 FY</v>
      </c>
      <c r="AC97" s="140" t="str">
        <f t="shared" si="5"/>
        <v>2019 Q1</v>
      </c>
      <c r="AD97" s="140" t="str">
        <f t="shared" si="5"/>
        <v>2019 Q2</v>
      </c>
      <c r="AE97" s="140" t="str">
        <f t="shared" si="5"/>
        <v>2019 Q3</v>
      </c>
      <c r="AF97" s="140" t="str">
        <f t="shared" si="5"/>
        <v>2019 Q4</v>
      </c>
      <c r="AG97" s="140" t="str">
        <f t="shared" si="5"/>
        <v>2019 FY</v>
      </c>
      <c r="AH97" s="140" t="str">
        <f t="shared" si="5"/>
        <v>2020 Q1</v>
      </c>
      <c r="AI97" s="140" t="str">
        <f t="shared" si="5"/>
        <v>2020 Q2</v>
      </c>
      <c r="AJ97" s="140" t="str">
        <f t="shared" si="5"/>
        <v>2020 Q3</v>
      </c>
      <c r="AK97" s="140" t="str">
        <f t="shared" si="5"/>
        <v>2020 Q4</v>
      </c>
      <c r="AL97" s="140" t="str">
        <f t="shared" si="5"/>
        <v>2020 FY</v>
      </c>
      <c r="AM97" s="140" t="str">
        <f t="shared" si="5"/>
        <v>2021 Q1</v>
      </c>
      <c r="AN97" s="140" t="str">
        <f t="shared" si="5"/>
        <v>2021 Q2</v>
      </c>
      <c r="AO97" s="140" t="str">
        <f t="shared" si="5"/>
        <v>2021 Q3</v>
      </c>
      <c r="AP97" s="140" t="str">
        <f t="shared" si="5"/>
        <v>2021 Q4</v>
      </c>
      <c r="AQ97" s="140" t="str">
        <f t="shared" si="5"/>
        <v>2021 FY</v>
      </c>
      <c r="AR97" s="140" t="str">
        <f t="shared" si="5"/>
        <v>2022 Q1</v>
      </c>
      <c r="AS97" s="140" t="str">
        <f t="shared" si="5"/>
        <v>2022 Q2</v>
      </c>
      <c r="AT97" s="140" t="str">
        <f t="shared" si="5"/>
        <v>2022 Q3</v>
      </c>
      <c r="AU97" s="140" t="str">
        <f t="shared" si="5"/>
        <v>2022 Q4</v>
      </c>
      <c r="AV97" s="140" t="str">
        <f t="shared" si="5"/>
        <v>2022 FY</v>
      </c>
      <c r="AW97" s="140" t="str">
        <f t="shared" si="5"/>
        <v>2023 Q1</v>
      </c>
      <c r="AX97" s="140" t="str">
        <f t="shared" si="5"/>
        <v>2023 Q2</v>
      </c>
      <c r="AY97" s="140" t="str">
        <f t="shared" si="5"/>
        <v>2023 Q3</v>
      </c>
      <c r="AZ97" s="140" t="str">
        <f t="shared" si="5"/>
        <v>2023 Q4</v>
      </c>
      <c r="BA97" s="140" t="str">
        <f t="shared" si="5"/>
        <v>2023 FY</v>
      </c>
      <c r="BB97" s="140" t="str">
        <f t="shared" si="5"/>
        <v>2024 Q1</v>
      </c>
      <c r="BC97" s="140" t="str">
        <f t="shared" si="5"/>
        <v>2024 Q2</v>
      </c>
      <c r="BD97" s="140" t="str">
        <f t="shared" si="5"/>
        <v>2024 Q3</v>
      </c>
      <c r="BE97" s="141" t="str">
        <f t="shared" si="5"/>
        <v>2024 Q4</v>
      </c>
      <c r="BF97" s="141" t="str">
        <f t="shared" si="5"/>
        <v>2024 FY</v>
      </c>
      <c r="BG97" s="141" t="str">
        <f t="shared" si="5"/>
        <v>2025 Q1</v>
      </c>
      <c r="BH97" s="141" t="str">
        <f t="shared" si="5"/>
        <v>2025 Q2</v>
      </c>
      <c r="BI97" s="141" t="str">
        <f t="shared" si="5"/>
        <v>2025 Q3</v>
      </c>
      <c r="BJ97" s="141" t="str">
        <f t="shared" si="5"/>
        <v>2025 Q4</v>
      </c>
      <c r="BK97" s="141" t="str">
        <f t="shared" si="5"/>
        <v>2025 FY</v>
      </c>
      <c r="BL97" s="141" t="str">
        <f t="shared" si="5"/>
        <v>2026 Q1</v>
      </c>
      <c r="BM97" s="141" t="str">
        <f t="shared" si="5"/>
        <v>2026 Q2</v>
      </c>
      <c r="BN97" s="141" t="str">
        <f t="shared" si="5"/>
        <v>2026 Q3</v>
      </c>
      <c r="BO97" s="141" t="str">
        <f t="shared" si="5"/>
        <v>2026 Q4</v>
      </c>
      <c r="BP97" s="141" t="str">
        <f t="shared" si="5"/>
        <v>2026 FY</v>
      </c>
      <c r="BQ97" s="141" t="str">
        <f t="shared" si="5"/>
        <v>2027 Q1</v>
      </c>
      <c r="BR97" s="141" t="str">
        <f t="shared" si="5"/>
        <v>2027 Q2</v>
      </c>
      <c r="BS97" s="141" t="str">
        <f t="shared" si="5"/>
        <v>2027 Q3</v>
      </c>
      <c r="BT97" s="141" t="str">
        <f t="shared" si="5"/>
        <v>2027 Q4</v>
      </c>
      <c r="BU97" s="141" t="str">
        <f t="shared" si="5"/>
        <v>2027 FY</v>
      </c>
      <c r="BV97" s="141" t="str">
        <f t="shared" si="5"/>
        <v>2028 Q1</v>
      </c>
      <c r="BW97" s="141" t="str">
        <f t="shared" si="5"/>
        <v>2028 Q2</v>
      </c>
      <c r="BX97" s="141" t="str">
        <f t="shared" si="5"/>
        <v>2028 Q3</v>
      </c>
      <c r="BY97" s="141" t="str">
        <f t="shared" si="5"/>
        <v>2028 Q4</v>
      </c>
      <c r="BZ97" s="142" t="str">
        <f t="shared" si="5"/>
        <v>2028 FY</v>
      </c>
    </row>
    <row r="98" spans="1:78" s="716" customFormat="1" ht="14.1" customHeight="1" x14ac:dyDescent="0.2">
      <c r="A98"/>
      <c r="B98"/>
      <c r="C98" s="715"/>
      <c r="R98" s="715"/>
    </row>
    <row r="99" spans="1:78" s="716" customFormat="1" ht="14.1" customHeight="1" x14ac:dyDescent="0.2">
      <c r="A99"/>
      <c r="B99"/>
      <c r="E99" s="717"/>
      <c r="F99" s="717"/>
      <c r="G99" s="717"/>
      <c r="H99" s="717"/>
      <c r="I99" s="717"/>
      <c r="J99" s="717"/>
      <c r="K99" s="717"/>
      <c r="L99" s="717"/>
      <c r="M99" s="717"/>
      <c r="N99" s="717"/>
      <c r="O99" s="717"/>
      <c r="X99" s="717"/>
      <c r="Y99" s="717"/>
      <c r="Z99" s="717"/>
      <c r="AA99" s="717"/>
      <c r="AB99" s="717"/>
      <c r="AC99" s="717"/>
      <c r="AD99" s="717"/>
      <c r="AE99" s="717"/>
      <c r="AF99" s="717"/>
      <c r="AG99" s="717"/>
      <c r="AH99" s="717"/>
      <c r="AI99" s="717"/>
      <c r="AJ99" s="717"/>
      <c r="AK99" s="717"/>
      <c r="AL99" s="717"/>
      <c r="AM99" s="717"/>
      <c r="AN99" s="717"/>
      <c r="AO99" s="717"/>
      <c r="AP99" s="717"/>
      <c r="AQ99" s="717"/>
      <c r="AR99" s="717"/>
      <c r="AS99" s="717"/>
      <c r="AT99" s="717"/>
      <c r="AU99" s="717"/>
      <c r="AV99" s="717"/>
      <c r="AW99" s="717"/>
      <c r="AX99" s="717"/>
      <c r="AY99" s="717"/>
      <c r="AZ99" s="717"/>
      <c r="BA99" s="717"/>
      <c r="BB99" s="717"/>
      <c r="BC99" s="717"/>
      <c r="BD99" s="717"/>
      <c r="BE99" s="717"/>
      <c r="BF99" s="717"/>
      <c r="BG99" s="717"/>
      <c r="BH99" s="717"/>
      <c r="BI99" s="717"/>
      <c r="BJ99" s="717"/>
      <c r="BK99" s="717"/>
      <c r="BL99" s="717"/>
      <c r="BM99" s="717"/>
      <c r="BN99" s="717"/>
      <c r="BO99" s="717"/>
      <c r="BP99" s="717"/>
      <c r="BQ99" s="717"/>
      <c r="BR99" s="717"/>
      <c r="BS99" s="717"/>
      <c r="BT99" s="717"/>
      <c r="BU99" s="717"/>
      <c r="BV99" s="717"/>
      <c r="BW99" s="717"/>
      <c r="BX99" s="717"/>
      <c r="BY99" s="717"/>
      <c r="BZ99" s="717"/>
    </row>
    <row r="100" spans="1:78" s="716" customFormat="1" ht="14.1" customHeight="1" x14ac:dyDescent="0.2">
      <c r="A100"/>
      <c r="B100"/>
      <c r="E100" s="717"/>
      <c r="F100" s="718"/>
      <c r="G100" s="718"/>
      <c r="H100" s="718"/>
      <c r="I100" s="718"/>
      <c r="J100" s="718"/>
      <c r="K100" s="718"/>
      <c r="L100" s="718"/>
      <c r="M100" s="718"/>
      <c r="N100" s="718"/>
      <c r="O100" s="718"/>
      <c r="X100" s="717"/>
      <c r="Y100" s="717"/>
      <c r="Z100" s="717"/>
      <c r="AA100" s="717"/>
      <c r="AB100" s="717"/>
      <c r="AC100" s="718"/>
      <c r="AD100" s="718"/>
      <c r="AE100" s="718"/>
      <c r="AF100" s="718"/>
      <c r="AG100" s="718"/>
      <c r="AH100" s="718"/>
      <c r="AI100" s="718"/>
      <c r="AJ100" s="718"/>
      <c r="AK100" s="718"/>
      <c r="AL100" s="718"/>
      <c r="AM100" s="718"/>
      <c r="AN100" s="718"/>
      <c r="AO100" s="718"/>
      <c r="AP100" s="718"/>
      <c r="AQ100" s="718"/>
      <c r="AR100" s="718"/>
      <c r="AS100" s="718"/>
      <c r="AT100" s="718"/>
      <c r="AU100" s="718"/>
      <c r="AV100" s="718"/>
      <c r="AW100" s="718"/>
      <c r="AX100" s="718"/>
      <c r="AY100" s="718"/>
      <c r="AZ100" s="718"/>
      <c r="BA100" s="718"/>
      <c r="BB100" s="718"/>
      <c r="BC100" s="718"/>
      <c r="BD100" s="718"/>
      <c r="BE100" s="718"/>
      <c r="BF100" s="718"/>
      <c r="BG100" s="718"/>
      <c r="BH100" s="718"/>
      <c r="BI100" s="718"/>
      <c r="BJ100" s="718"/>
      <c r="BK100" s="718"/>
      <c r="BL100" s="718"/>
      <c r="BM100" s="718"/>
      <c r="BN100" s="718"/>
      <c r="BO100" s="718"/>
      <c r="BP100" s="718"/>
      <c r="BQ100" s="718"/>
      <c r="BR100" s="718"/>
      <c r="BS100" s="718"/>
      <c r="BT100" s="718"/>
      <c r="BU100" s="718"/>
      <c r="BV100" s="718"/>
      <c r="BW100" s="718"/>
      <c r="BX100" s="718"/>
      <c r="BY100" s="718"/>
      <c r="BZ100" s="718"/>
    </row>
    <row r="101" spans="1:78" s="716" customFormat="1" ht="14.1" customHeight="1" x14ac:dyDescent="0.2">
      <c r="A101"/>
      <c r="B101"/>
      <c r="E101" s="718"/>
      <c r="F101" s="718"/>
      <c r="G101" s="718"/>
      <c r="H101" s="718"/>
      <c r="I101" s="718"/>
      <c r="J101" s="718"/>
      <c r="K101" s="718"/>
      <c r="L101" s="718"/>
      <c r="M101" s="718"/>
      <c r="N101" s="718"/>
      <c r="O101" s="718"/>
      <c r="X101" s="717"/>
      <c r="Y101" s="717"/>
      <c r="Z101" s="717"/>
      <c r="AA101" s="717"/>
      <c r="AB101" s="717"/>
      <c r="AC101" s="718"/>
      <c r="AD101" s="718"/>
      <c r="AE101" s="718"/>
      <c r="AF101" s="718"/>
      <c r="AG101" s="718"/>
      <c r="AH101" s="718"/>
      <c r="AI101" s="718"/>
      <c r="AJ101" s="718"/>
      <c r="AK101" s="718"/>
      <c r="AL101" s="718"/>
      <c r="AM101" s="718"/>
      <c r="AN101" s="718"/>
      <c r="AO101" s="718"/>
      <c r="AP101" s="718"/>
      <c r="AQ101" s="718"/>
      <c r="AR101" s="718"/>
      <c r="AS101" s="718"/>
      <c r="AT101" s="718"/>
      <c r="AU101" s="718"/>
      <c r="AV101" s="718"/>
      <c r="AW101" s="718"/>
      <c r="AX101" s="718"/>
      <c r="AY101" s="718"/>
      <c r="AZ101" s="718"/>
      <c r="BA101" s="718"/>
      <c r="BB101" s="718"/>
      <c r="BC101" s="718"/>
      <c r="BD101" s="718"/>
      <c r="BE101" s="718"/>
      <c r="BF101" s="718"/>
      <c r="BG101" s="718"/>
      <c r="BH101" s="718"/>
      <c r="BI101" s="718"/>
      <c r="BJ101" s="718"/>
      <c r="BK101" s="718"/>
      <c r="BL101" s="718"/>
      <c r="BM101" s="718"/>
      <c r="BN101" s="718"/>
      <c r="BO101" s="718"/>
      <c r="BP101" s="718"/>
      <c r="BQ101" s="718"/>
      <c r="BR101" s="718"/>
      <c r="BS101" s="718"/>
      <c r="BT101" s="718"/>
      <c r="BU101" s="718"/>
      <c r="BV101" s="718"/>
      <c r="BW101" s="718"/>
      <c r="BX101" s="718"/>
      <c r="BY101" s="718"/>
      <c r="BZ101" s="718"/>
    </row>
    <row r="102" spans="1:78" s="716" customFormat="1" ht="14.1" customHeight="1" x14ac:dyDescent="0.2">
      <c r="A102"/>
      <c r="B102"/>
      <c r="E102" s="718"/>
      <c r="F102" s="718"/>
      <c r="G102" s="718"/>
      <c r="H102" s="718"/>
      <c r="I102" s="718"/>
      <c r="J102" s="718"/>
      <c r="K102" s="718"/>
      <c r="L102" s="718"/>
      <c r="M102" s="718"/>
      <c r="N102" s="718"/>
      <c r="O102" s="718"/>
      <c r="X102" s="717"/>
      <c r="Y102" s="717"/>
      <c r="Z102" s="717"/>
      <c r="AA102" s="717"/>
      <c r="AB102" s="717"/>
      <c r="AC102" s="718"/>
      <c r="AD102" s="718"/>
      <c r="AE102" s="718"/>
      <c r="AF102" s="718"/>
      <c r="AG102" s="718"/>
      <c r="AH102" s="718"/>
      <c r="AI102" s="718"/>
      <c r="AJ102" s="718"/>
      <c r="AK102" s="718"/>
      <c r="AL102" s="718"/>
      <c r="AM102" s="718"/>
      <c r="AN102" s="718"/>
      <c r="AO102" s="718"/>
      <c r="AP102" s="718"/>
      <c r="AQ102" s="718"/>
      <c r="AR102" s="718"/>
      <c r="AS102" s="718"/>
      <c r="AT102" s="718"/>
      <c r="AU102" s="718"/>
      <c r="AV102" s="718"/>
      <c r="AW102" s="718"/>
      <c r="AX102" s="718"/>
      <c r="AY102" s="718"/>
      <c r="AZ102" s="718"/>
      <c r="BA102" s="718"/>
      <c r="BB102" s="718"/>
      <c r="BC102" s="718"/>
      <c r="BD102" s="718"/>
      <c r="BE102" s="718"/>
      <c r="BF102" s="718"/>
      <c r="BG102" s="718"/>
      <c r="BH102" s="718"/>
      <c r="BI102" s="718"/>
      <c r="BJ102" s="718"/>
      <c r="BK102" s="718"/>
      <c r="BL102" s="718"/>
      <c r="BM102" s="718"/>
      <c r="BN102" s="718"/>
      <c r="BO102" s="718"/>
      <c r="BP102" s="718"/>
      <c r="BQ102" s="718"/>
      <c r="BR102" s="718"/>
      <c r="BS102" s="718"/>
      <c r="BT102" s="718"/>
      <c r="BU102" s="718"/>
      <c r="BV102" s="718"/>
      <c r="BW102" s="718"/>
      <c r="BX102" s="718"/>
      <c r="BY102" s="718"/>
      <c r="BZ102" s="718"/>
    </row>
    <row r="103" spans="1:78" s="716" customFormat="1" ht="14.1" customHeight="1" x14ac:dyDescent="0.2">
      <c r="A103"/>
      <c r="B103"/>
      <c r="E103" s="718"/>
      <c r="F103" s="718"/>
      <c r="G103" s="718"/>
      <c r="H103" s="718"/>
      <c r="I103" s="718"/>
      <c r="J103" s="718"/>
      <c r="K103" s="718"/>
      <c r="L103" s="718"/>
      <c r="M103" s="718"/>
      <c r="N103" s="718"/>
      <c r="O103" s="718"/>
      <c r="X103" s="717"/>
      <c r="Y103" s="717"/>
      <c r="Z103" s="717"/>
      <c r="AA103" s="717"/>
      <c r="AB103" s="717"/>
      <c r="AC103" s="718"/>
      <c r="AD103" s="718"/>
      <c r="AE103" s="718"/>
      <c r="AF103" s="718"/>
      <c r="AG103" s="718"/>
      <c r="AH103" s="718"/>
      <c r="AI103" s="718"/>
      <c r="AJ103" s="718"/>
      <c r="AK103" s="718"/>
      <c r="AL103" s="718"/>
      <c r="AM103" s="718"/>
      <c r="AN103" s="718"/>
      <c r="AO103" s="718"/>
      <c r="AP103" s="718"/>
      <c r="AQ103" s="718"/>
      <c r="AR103" s="718"/>
      <c r="AS103" s="718"/>
      <c r="AT103" s="718"/>
      <c r="AU103" s="718"/>
      <c r="AV103" s="718"/>
      <c r="AW103" s="718"/>
      <c r="AX103" s="718"/>
      <c r="AY103" s="718"/>
      <c r="AZ103" s="718"/>
      <c r="BA103" s="718"/>
      <c r="BB103" s="718"/>
      <c r="BC103" s="718"/>
      <c r="BD103" s="718"/>
      <c r="BE103" s="718"/>
      <c r="BF103" s="718"/>
      <c r="BG103" s="718"/>
      <c r="BH103" s="718"/>
      <c r="BI103" s="718"/>
      <c r="BJ103" s="718"/>
      <c r="BK103" s="718"/>
      <c r="BL103" s="718"/>
      <c r="BM103" s="718"/>
      <c r="BN103" s="718"/>
      <c r="BO103" s="718"/>
      <c r="BP103" s="718"/>
      <c r="BQ103" s="718"/>
      <c r="BR103" s="718"/>
      <c r="BS103" s="718"/>
      <c r="BT103" s="718"/>
      <c r="BU103" s="718"/>
      <c r="BV103" s="718"/>
      <c r="BW103" s="718"/>
      <c r="BX103" s="718"/>
      <c r="BY103" s="718"/>
      <c r="BZ103" s="718"/>
    </row>
    <row r="104" spans="1:78" s="716" customFormat="1" ht="14.1" customHeight="1" x14ac:dyDescent="0.2">
      <c r="A104"/>
      <c r="B104"/>
      <c r="E104" s="718"/>
      <c r="F104" s="718"/>
      <c r="G104" s="718"/>
      <c r="H104" s="718"/>
      <c r="I104" s="718"/>
      <c r="J104" s="718"/>
      <c r="K104" s="718"/>
      <c r="L104" s="718"/>
      <c r="M104" s="718"/>
      <c r="N104" s="718"/>
      <c r="O104" s="718"/>
      <c r="X104" s="717"/>
      <c r="Y104" s="717"/>
      <c r="Z104" s="717"/>
      <c r="AA104" s="717"/>
      <c r="AB104" s="717"/>
      <c r="AC104" s="718"/>
      <c r="AD104" s="718"/>
      <c r="AE104" s="718"/>
      <c r="AF104" s="718"/>
      <c r="AG104" s="718"/>
      <c r="AH104" s="718"/>
      <c r="AI104" s="718"/>
      <c r="AJ104" s="718"/>
      <c r="AK104" s="718"/>
      <c r="AL104" s="718"/>
      <c r="AM104" s="718"/>
      <c r="AN104" s="718"/>
      <c r="AO104" s="718"/>
      <c r="AP104" s="718"/>
      <c r="AQ104" s="718"/>
      <c r="AR104" s="718"/>
      <c r="AS104" s="718"/>
      <c r="AT104" s="718"/>
      <c r="AU104" s="718"/>
      <c r="AV104" s="718"/>
      <c r="AW104" s="718"/>
      <c r="AX104" s="718"/>
      <c r="AY104" s="718"/>
      <c r="AZ104" s="718"/>
      <c r="BA104" s="718"/>
      <c r="BB104" s="718"/>
      <c r="BC104" s="718"/>
      <c r="BD104" s="718"/>
      <c r="BE104" s="718"/>
      <c r="BF104" s="718"/>
      <c r="BG104" s="718"/>
      <c r="BH104" s="718"/>
      <c r="BI104" s="718"/>
      <c r="BJ104" s="718"/>
      <c r="BK104" s="718"/>
      <c r="BL104" s="718"/>
      <c r="BM104" s="718"/>
      <c r="BN104" s="718"/>
      <c r="BO104" s="718"/>
      <c r="BP104" s="718"/>
      <c r="BQ104" s="718"/>
      <c r="BR104" s="718"/>
      <c r="BS104" s="718"/>
      <c r="BT104" s="718"/>
      <c r="BU104" s="718"/>
      <c r="BV104" s="718"/>
      <c r="BW104" s="718"/>
      <c r="BX104" s="718"/>
      <c r="BY104" s="718"/>
      <c r="BZ104" s="718"/>
    </row>
    <row r="105" spans="1:78" s="716" customFormat="1" ht="14.1" customHeight="1" x14ac:dyDescent="0.2">
      <c r="A105"/>
      <c r="B105"/>
      <c r="C105" s="719"/>
      <c r="D105" s="718"/>
      <c r="E105" s="718"/>
      <c r="F105" s="718"/>
      <c r="G105" s="718"/>
      <c r="H105" s="718"/>
      <c r="I105" s="718"/>
      <c r="J105" s="718"/>
      <c r="K105" s="718"/>
      <c r="L105" s="718"/>
      <c r="M105" s="718"/>
      <c r="N105" s="718"/>
      <c r="O105" s="718"/>
      <c r="P105" s="718"/>
      <c r="Q105" s="718"/>
      <c r="R105" s="720"/>
      <c r="S105" s="718"/>
      <c r="T105" s="718"/>
      <c r="U105" s="718"/>
      <c r="V105" s="718"/>
      <c r="W105" s="718"/>
      <c r="X105" s="718"/>
      <c r="Y105" s="718"/>
      <c r="Z105" s="718"/>
      <c r="AA105" s="718"/>
      <c r="AB105" s="718"/>
      <c r="AC105" s="718"/>
      <c r="AD105" s="718"/>
      <c r="AE105" s="718"/>
      <c r="AF105" s="718"/>
      <c r="AG105" s="718"/>
      <c r="AH105" s="718"/>
      <c r="AI105" s="718"/>
      <c r="AJ105" s="718"/>
      <c r="AK105" s="718"/>
      <c r="AL105" s="718"/>
      <c r="AM105" s="718"/>
      <c r="AN105" s="718"/>
      <c r="AO105" s="718"/>
      <c r="AP105" s="718"/>
      <c r="AQ105" s="718"/>
      <c r="AR105" s="718"/>
      <c r="AS105" s="718"/>
      <c r="AT105" s="718"/>
      <c r="AU105" s="718"/>
      <c r="AV105" s="718"/>
      <c r="AW105" s="718"/>
      <c r="AX105" s="718"/>
      <c r="AY105" s="718"/>
      <c r="AZ105" s="718"/>
      <c r="BA105" s="718"/>
      <c r="BB105" s="718"/>
      <c r="BC105" s="718"/>
      <c r="BD105" s="718"/>
      <c r="BE105" s="718"/>
      <c r="BF105" s="718"/>
      <c r="BG105" s="718"/>
      <c r="BH105" s="718"/>
      <c r="BI105" s="718"/>
      <c r="BJ105" s="718"/>
      <c r="BK105" s="718"/>
      <c r="BL105" s="718"/>
      <c r="BM105" s="718"/>
      <c r="BN105" s="718"/>
      <c r="BO105" s="718"/>
      <c r="BP105" s="718"/>
      <c r="BQ105" s="718"/>
      <c r="BR105" s="718"/>
      <c r="BS105" s="718"/>
      <c r="BT105" s="718"/>
      <c r="BU105" s="718"/>
      <c r="BV105" s="718"/>
      <c r="BW105" s="718"/>
      <c r="BX105" s="718"/>
      <c r="BY105" s="718"/>
      <c r="BZ105" s="718"/>
    </row>
    <row r="106" spans="1:78" s="716" customFormat="1" ht="14.1" customHeight="1" x14ac:dyDescent="0.2">
      <c r="A106"/>
      <c r="B106"/>
      <c r="C106" s="719"/>
      <c r="D106" s="718"/>
      <c r="E106" s="718"/>
      <c r="F106" s="718"/>
      <c r="G106" s="718"/>
      <c r="H106" s="718"/>
      <c r="I106" s="718"/>
      <c r="J106" s="718"/>
      <c r="K106" s="718"/>
      <c r="L106" s="718"/>
      <c r="M106" s="718"/>
      <c r="N106" s="718"/>
      <c r="O106" s="718"/>
      <c r="P106" s="718"/>
      <c r="Q106" s="718"/>
      <c r="R106" s="720"/>
      <c r="S106" s="718"/>
      <c r="T106" s="718"/>
      <c r="U106" s="718"/>
      <c r="V106" s="718"/>
      <c r="W106" s="718"/>
      <c r="X106" s="718"/>
      <c r="Y106" s="718"/>
      <c r="Z106" s="718"/>
      <c r="AA106" s="718"/>
      <c r="AB106" s="718"/>
      <c r="AC106" s="718"/>
      <c r="AD106" s="718"/>
      <c r="AE106" s="718"/>
      <c r="AF106" s="718"/>
      <c r="AG106" s="721"/>
      <c r="AH106" s="718"/>
      <c r="AI106" s="718"/>
      <c r="AJ106" s="718"/>
      <c r="AK106" s="718"/>
      <c r="AL106" s="721"/>
      <c r="AM106" s="718"/>
      <c r="AN106" s="718"/>
      <c r="AO106" s="718"/>
      <c r="AP106" s="718"/>
      <c r="AQ106" s="721"/>
      <c r="AR106" s="718"/>
      <c r="AS106" s="718"/>
      <c r="AT106" s="718"/>
      <c r="AU106" s="718"/>
      <c r="AV106" s="721"/>
      <c r="AW106" s="718"/>
      <c r="AX106" s="718"/>
      <c r="AY106" s="718"/>
      <c r="AZ106" s="718"/>
      <c r="BA106" s="721"/>
      <c r="BB106" s="718"/>
      <c r="BC106" s="718"/>
      <c r="BD106" s="718"/>
      <c r="BE106" s="718"/>
      <c r="BF106" s="721"/>
      <c r="BG106" s="718"/>
      <c r="BH106" s="718"/>
      <c r="BI106" s="718"/>
      <c r="BJ106" s="718"/>
      <c r="BK106" s="721"/>
      <c r="BL106" s="718"/>
      <c r="BM106" s="718"/>
      <c r="BN106" s="718"/>
      <c r="BO106" s="718"/>
      <c r="BP106" s="721"/>
      <c r="BQ106" s="718"/>
      <c r="BR106" s="718"/>
      <c r="BS106" s="718"/>
      <c r="BT106" s="718"/>
      <c r="BU106" s="721"/>
      <c r="BV106" s="718"/>
      <c r="BW106" s="718"/>
      <c r="BX106" s="718"/>
      <c r="BY106" s="718"/>
      <c r="BZ106" s="721"/>
    </row>
    <row r="107" spans="1:78" s="716" customFormat="1" ht="14.1" customHeight="1" x14ac:dyDescent="0.2">
      <c r="A107"/>
      <c r="B107"/>
      <c r="C107" s="715"/>
      <c r="R107" s="715"/>
    </row>
    <row r="108" spans="1:78" s="716" customFormat="1" ht="14.1" customHeight="1" x14ac:dyDescent="0.2">
      <c r="A108"/>
      <c r="B108"/>
      <c r="C108" s="722"/>
      <c r="E108" s="718"/>
      <c r="F108" s="718"/>
      <c r="G108" s="718"/>
      <c r="H108" s="718"/>
      <c r="I108" s="718"/>
      <c r="J108" s="718"/>
      <c r="K108" s="718"/>
      <c r="L108" s="718"/>
      <c r="M108" s="718"/>
      <c r="N108" s="718"/>
      <c r="O108" s="718"/>
      <c r="R108" s="722"/>
      <c r="X108" s="718"/>
      <c r="Y108" s="718"/>
      <c r="Z108" s="718"/>
      <c r="AA108" s="718"/>
      <c r="AB108" s="718"/>
      <c r="AC108" s="718"/>
      <c r="AD108" s="718"/>
      <c r="AE108" s="718"/>
      <c r="AF108" s="718"/>
      <c r="AG108" s="718"/>
      <c r="AH108" s="718"/>
      <c r="AI108" s="718"/>
      <c r="AJ108" s="718"/>
      <c r="AK108" s="718"/>
      <c r="AL108" s="718"/>
      <c r="AM108" s="718"/>
      <c r="AN108" s="718"/>
      <c r="AO108" s="718"/>
      <c r="AP108" s="718"/>
      <c r="AQ108" s="718"/>
      <c r="AR108" s="718"/>
      <c r="AS108" s="718"/>
      <c r="AT108" s="718"/>
      <c r="AU108" s="718"/>
      <c r="AV108" s="718"/>
      <c r="AW108" s="718"/>
      <c r="AX108" s="718"/>
      <c r="AY108" s="718"/>
      <c r="AZ108" s="718"/>
      <c r="BA108" s="718"/>
      <c r="BB108" s="718"/>
      <c r="BC108" s="718"/>
      <c r="BD108" s="718"/>
      <c r="BE108" s="718"/>
      <c r="BF108" s="718"/>
      <c r="BG108" s="718"/>
      <c r="BH108" s="718"/>
      <c r="BI108" s="718"/>
      <c r="BJ108" s="718"/>
      <c r="BK108" s="718"/>
      <c r="BL108" s="718"/>
      <c r="BM108" s="718"/>
      <c r="BN108" s="718"/>
      <c r="BO108" s="718"/>
      <c r="BP108" s="718"/>
      <c r="BQ108" s="718"/>
      <c r="BR108" s="718"/>
      <c r="BS108" s="718"/>
      <c r="BT108" s="718"/>
      <c r="BU108" s="718"/>
      <c r="BV108" s="718"/>
      <c r="BW108" s="718"/>
      <c r="BX108" s="718"/>
      <c r="BY108" s="718"/>
      <c r="BZ108" s="718"/>
    </row>
    <row r="109" spans="1:78" s="716" customFormat="1" ht="14.1" customHeight="1" x14ac:dyDescent="0.2">
      <c r="A109"/>
      <c r="B109"/>
      <c r="C109" s="722"/>
      <c r="E109" s="718"/>
      <c r="F109" s="718"/>
      <c r="G109" s="718"/>
      <c r="H109" s="718"/>
      <c r="I109" s="718"/>
      <c r="J109" s="718"/>
      <c r="K109" s="718"/>
      <c r="L109" s="718"/>
      <c r="M109" s="718"/>
      <c r="N109" s="718"/>
      <c r="O109" s="718"/>
      <c r="R109" s="722"/>
      <c r="X109" s="718"/>
      <c r="Y109" s="718"/>
      <c r="Z109" s="718"/>
      <c r="AA109" s="718"/>
      <c r="AB109" s="718"/>
      <c r="AC109" s="718"/>
      <c r="AD109" s="718"/>
      <c r="AE109" s="718"/>
      <c r="AF109" s="718"/>
      <c r="AG109" s="718"/>
      <c r="AH109" s="718"/>
      <c r="AI109" s="718"/>
      <c r="AJ109" s="718"/>
      <c r="AK109" s="718"/>
      <c r="AL109" s="718"/>
      <c r="AM109" s="718"/>
      <c r="AN109" s="718"/>
      <c r="AO109" s="718"/>
      <c r="AP109" s="718"/>
      <c r="AQ109" s="718"/>
      <c r="AR109" s="718"/>
      <c r="AS109" s="718"/>
      <c r="AT109" s="718"/>
      <c r="AU109" s="718"/>
      <c r="AV109" s="718"/>
      <c r="AW109" s="718"/>
      <c r="AX109" s="718"/>
      <c r="AY109" s="718"/>
      <c r="AZ109" s="718"/>
      <c r="BA109" s="718"/>
      <c r="BB109" s="718"/>
      <c r="BC109" s="718"/>
      <c r="BD109" s="718"/>
      <c r="BE109" s="718"/>
      <c r="BF109" s="718"/>
      <c r="BG109" s="718"/>
      <c r="BH109" s="718"/>
      <c r="BI109" s="718"/>
      <c r="BJ109" s="718"/>
      <c r="BK109" s="718"/>
      <c r="BL109" s="718"/>
      <c r="BM109" s="718"/>
      <c r="BN109" s="718"/>
      <c r="BO109" s="718"/>
      <c r="BP109" s="718"/>
      <c r="BQ109" s="718"/>
      <c r="BR109" s="718"/>
      <c r="BS109" s="718"/>
      <c r="BT109" s="718"/>
      <c r="BU109" s="718"/>
      <c r="BV109" s="718"/>
      <c r="BW109" s="718"/>
      <c r="BX109" s="718"/>
      <c r="BY109" s="718"/>
      <c r="BZ109" s="718"/>
    </row>
    <row r="110" spans="1:78" s="716" customFormat="1" ht="14.1" customHeight="1" x14ac:dyDescent="0.2">
      <c r="A110"/>
      <c r="B110"/>
      <c r="C110" s="722"/>
      <c r="E110" s="718"/>
      <c r="F110" s="718"/>
      <c r="G110" s="718"/>
      <c r="H110" s="718"/>
      <c r="I110" s="718"/>
      <c r="J110" s="718"/>
      <c r="K110" s="718"/>
      <c r="L110" s="718"/>
      <c r="M110" s="718"/>
      <c r="N110" s="718"/>
      <c r="O110" s="718"/>
      <c r="R110" s="722"/>
      <c r="X110" s="718"/>
      <c r="Y110" s="718"/>
      <c r="Z110" s="718"/>
      <c r="AA110" s="718"/>
      <c r="AB110" s="718"/>
      <c r="AC110" s="718"/>
      <c r="AD110" s="718"/>
      <c r="AE110" s="718"/>
      <c r="AF110" s="718"/>
      <c r="AG110" s="718"/>
      <c r="AH110" s="718"/>
      <c r="AI110" s="718"/>
      <c r="AJ110" s="718"/>
      <c r="AK110" s="718"/>
      <c r="AL110" s="718"/>
      <c r="AM110" s="718"/>
      <c r="AN110" s="718"/>
      <c r="AO110" s="718"/>
      <c r="AP110" s="718"/>
      <c r="AQ110" s="718"/>
      <c r="AR110" s="718"/>
      <c r="AS110" s="718"/>
      <c r="AT110" s="718"/>
      <c r="AU110" s="718"/>
      <c r="AV110" s="718"/>
      <c r="AW110" s="718"/>
      <c r="AX110" s="718"/>
      <c r="AY110" s="718"/>
      <c r="AZ110" s="718"/>
      <c r="BA110" s="718"/>
      <c r="BB110" s="718"/>
      <c r="BC110" s="718"/>
      <c r="BD110" s="718"/>
      <c r="BE110" s="718"/>
      <c r="BF110" s="718"/>
      <c r="BG110" s="718"/>
      <c r="BH110" s="718"/>
      <c r="BI110" s="718"/>
      <c r="BJ110" s="718"/>
      <c r="BK110" s="718"/>
      <c r="BL110" s="718"/>
      <c r="BM110" s="718"/>
      <c r="BN110" s="718"/>
      <c r="BO110" s="718"/>
      <c r="BP110" s="718"/>
      <c r="BQ110" s="718"/>
      <c r="BR110" s="718"/>
      <c r="BS110" s="718"/>
      <c r="BT110" s="718"/>
      <c r="BU110" s="718"/>
      <c r="BV110" s="718"/>
      <c r="BW110" s="718"/>
      <c r="BX110" s="718"/>
      <c r="BY110" s="718"/>
      <c r="BZ110" s="718"/>
    </row>
    <row r="111" spans="1:78" s="716" customFormat="1" ht="14.1" customHeight="1" x14ac:dyDescent="0.2">
      <c r="A111"/>
      <c r="B111"/>
      <c r="C111" s="722"/>
      <c r="E111" s="718"/>
      <c r="F111" s="718"/>
      <c r="G111" s="718"/>
      <c r="H111" s="718"/>
      <c r="I111" s="718"/>
      <c r="J111" s="718"/>
      <c r="K111" s="718"/>
      <c r="L111" s="718"/>
      <c r="M111" s="718"/>
      <c r="N111" s="718"/>
      <c r="O111" s="718"/>
      <c r="R111" s="722"/>
      <c r="X111" s="718"/>
      <c r="Y111" s="718"/>
      <c r="Z111" s="718"/>
      <c r="AA111" s="718"/>
      <c r="AB111" s="718"/>
      <c r="AC111" s="718"/>
      <c r="AD111" s="718"/>
      <c r="AE111" s="718"/>
      <c r="AF111" s="718"/>
      <c r="AG111" s="718"/>
      <c r="AH111" s="718"/>
      <c r="AI111" s="718"/>
      <c r="AJ111" s="718"/>
      <c r="AK111" s="718"/>
      <c r="AL111" s="718"/>
      <c r="AM111" s="718"/>
      <c r="AN111" s="718"/>
      <c r="AO111" s="718"/>
      <c r="AP111" s="718"/>
      <c r="AQ111" s="718"/>
      <c r="AR111" s="718"/>
      <c r="AS111" s="718"/>
      <c r="AT111" s="718"/>
      <c r="AU111" s="718"/>
      <c r="AV111" s="718"/>
      <c r="AW111" s="718"/>
      <c r="AX111" s="718"/>
      <c r="AY111" s="718"/>
      <c r="AZ111" s="718"/>
      <c r="BA111" s="718"/>
      <c r="BB111" s="718"/>
      <c r="BC111" s="718"/>
      <c r="BD111" s="718"/>
      <c r="BE111" s="718"/>
      <c r="BF111" s="718"/>
      <c r="BG111" s="718"/>
      <c r="BH111" s="718"/>
      <c r="BI111" s="718"/>
      <c r="BJ111" s="718"/>
      <c r="BK111" s="718"/>
      <c r="BL111" s="718"/>
      <c r="BM111" s="718"/>
      <c r="BN111" s="718"/>
      <c r="BO111" s="718"/>
      <c r="BP111" s="718"/>
      <c r="BQ111" s="718"/>
      <c r="BR111" s="718"/>
      <c r="BS111" s="718"/>
      <c r="BT111" s="718"/>
      <c r="BU111" s="718"/>
      <c r="BV111" s="718"/>
      <c r="BW111" s="718"/>
      <c r="BX111" s="718"/>
      <c r="BY111" s="718"/>
      <c r="BZ111" s="718"/>
    </row>
    <row r="112" spans="1:78" s="716" customFormat="1" ht="14.1" customHeight="1" x14ac:dyDescent="0.2">
      <c r="A112"/>
      <c r="B112"/>
      <c r="C112" s="723"/>
      <c r="E112" s="724"/>
      <c r="F112" s="724"/>
      <c r="G112" s="724"/>
      <c r="H112" s="724"/>
      <c r="I112" s="724"/>
      <c r="J112" s="724"/>
      <c r="K112" s="724"/>
      <c r="L112" s="724"/>
      <c r="M112" s="724"/>
      <c r="N112" s="724"/>
      <c r="O112" s="724"/>
      <c r="R112" s="723"/>
      <c r="X112" s="724"/>
      <c r="Y112" s="724"/>
      <c r="Z112" s="724"/>
      <c r="AA112" s="724"/>
      <c r="AB112" s="724"/>
      <c r="AC112" s="724"/>
      <c r="AD112" s="724"/>
      <c r="AE112" s="724"/>
      <c r="AF112" s="724"/>
      <c r="AG112" s="724"/>
      <c r="AH112" s="724"/>
      <c r="AI112" s="724"/>
      <c r="AJ112" s="724"/>
      <c r="AK112" s="724"/>
      <c r="AL112" s="724"/>
      <c r="AM112" s="724"/>
      <c r="AN112" s="724"/>
      <c r="AO112" s="724"/>
      <c r="AP112" s="724"/>
      <c r="AQ112" s="724"/>
      <c r="AR112" s="724"/>
      <c r="AS112" s="724"/>
      <c r="AT112" s="724"/>
      <c r="AU112" s="724"/>
      <c r="AV112" s="724"/>
      <c r="AW112" s="724"/>
      <c r="AX112" s="724"/>
      <c r="AY112" s="724"/>
      <c r="AZ112" s="724"/>
      <c r="BA112" s="724"/>
      <c r="BB112" s="724"/>
      <c r="BC112" s="724"/>
      <c r="BD112" s="724"/>
      <c r="BE112" s="724"/>
      <c r="BF112" s="724"/>
      <c r="BG112" s="724"/>
      <c r="BH112" s="724"/>
      <c r="BI112" s="724"/>
      <c r="BJ112" s="724"/>
      <c r="BK112" s="724"/>
      <c r="BL112" s="724"/>
      <c r="BM112" s="724"/>
      <c r="BN112" s="724"/>
      <c r="BO112" s="724"/>
      <c r="BP112" s="724"/>
      <c r="BQ112" s="724"/>
      <c r="BR112" s="724"/>
      <c r="BS112" s="724"/>
      <c r="BT112" s="724"/>
      <c r="BU112" s="724"/>
      <c r="BV112" s="724"/>
      <c r="BW112" s="724"/>
      <c r="BX112" s="724"/>
      <c r="BY112" s="724"/>
      <c r="BZ112" s="724"/>
    </row>
    <row r="113" spans="1:3" s="716" customFormat="1" ht="14.1" customHeight="1" x14ac:dyDescent="0.2">
      <c r="A113"/>
      <c r="B113"/>
    </row>
    <row r="114" spans="1:3" s="716" customFormat="1" ht="14.1" customHeight="1" x14ac:dyDescent="0.2">
      <c r="A114"/>
      <c r="B114"/>
    </row>
    <row r="115" spans="1:3" s="716" customFormat="1" ht="14.1" customHeight="1" x14ac:dyDescent="0.2">
      <c r="A115"/>
      <c r="B115"/>
    </row>
    <row r="116" spans="1:3" s="716" customFormat="1" ht="14.1" customHeight="1" x14ac:dyDescent="0.2">
      <c r="A116"/>
      <c r="B116"/>
    </row>
    <row r="117" spans="1:3" s="716" customFormat="1" ht="14.1" customHeight="1" x14ac:dyDescent="0.2">
      <c r="A117"/>
      <c r="B117"/>
    </row>
    <row r="118" spans="1:3" s="716" customFormat="1" ht="14.1" customHeight="1" x14ac:dyDescent="0.2">
      <c r="A118"/>
      <c r="B118"/>
    </row>
    <row r="119" spans="1:3" s="114" customFormat="1" ht="14.1" customHeight="1" x14ac:dyDescent="0.2">
      <c r="A119"/>
      <c r="B119"/>
    </row>
    <row r="120" spans="1:3" s="114" customFormat="1" ht="14.1" customHeight="1" x14ac:dyDescent="0.2">
      <c r="A120"/>
      <c r="B120"/>
    </row>
    <row r="121" spans="1:3" s="114" customFormat="1" ht="14.1" customHeight="1" x14ac:dyDescent="0.2">
      <c r="A121"/>
      <c r="B121"/>
    </row>
    <row r="122" spans="1:3" s="114" customFormat="1" ht="14.1" customHeight="1" x14ac:dyDescent="0.2">
      <c r="A122"/>
      <c r="B122"/>
    </row>
    <row r="123" spans="1:3" s="114" customFormat="1" ht="14.1" customHeight="1" x14ac:dyDescent="0.2">
      <c r="A123"/>
      <c r="B123"/>
    </row>
    <row r="124" spans="1:3" s="114" customFormat="1" ht="14.1" customHeight="1" x14ac:dyDescent="0.2">
      <c r="A124"/>
      <c r="B124"/>
    </row>
    <row r="125" spans="1:3" s="114" customFormat="1" ht="14.1" customHeight="1" x14ac:dyDescent="0.2">
      <c r="A125"/>
      <c r="B125"/>
    </row>
    <row r="126" spans="1:3" s="114" customFormat="1" ht="14.1" customHeight="1" x14ac:dyDescent="0.2">
      <c r="A126"/>
      <c r="B126"/>
    </row>
    <row r="127" spans="1:3" s="161" customFormat="1" ht="14.1" customHeight="1" x14ac:dyDescent="0.2">
      <c r="A127"/>
      <c r="B127"/>
      <c r="C127" s="114"/>
    </row>
    <row r="128" spans="1:3" s="114" customFormat="1" ht="14.1" customHeight="1" x14ac:dyDescent="0.2">
      <c r="A128"/>
      <c r="B128"/>
    </row>
    <row r="129" spans="1:2" s="114" customFormat="1" ht="14.1" customHeight="1" x14ac:dyDescent="0.2">
      <c r="A129"/>
      <c r="B129"/>
    </row>
    <row r="130" spans="1:2" s="114" customFormat="1" ht="14.1" customHeight="1" x14ac:dyDescent="0.2">
      <c r="A130"/>
      <c r="B130"/>
    </row>
    <row r="131" spans="1:2" s="114" customFormat="1" ht="14.1" customHeight="1" x14ac:dyDescent="0.2">
      <c r="A131"/>
      <c r="B131"/>
    </row>
    <row r="132" spans="1:2" s="114" customFormat="1" ht="14.1" customHeight="1" x14ac:dyDescent="0.2">
      <c r="A132"/>
      <c r="B132"/>
    </row>
    <row r="133" spans="1:2" s="114" customFormat="1" ht="14.1" customHeight="1" x14ac:dyDescent="0.2">
      <c r="A133"/>
      <c r="B133"/>
    </row>
    <row r="134" spans="1:2" s="114" customFormat="1" ht="14.1" customHeight="1" x14ac:dyDescent="0.2">
      <c r="A134"/>
      <c r="B134"/>
    </row>
    <row r="135" spans="1:2" s="114" customFormat="1" ht="14.1" customHeight="1" x14ac:dyDescent="0.2">
      <c r="A135"/>
      <c r="B135"/>
    </row>
    <row r="136" spans="1:2" s="114" customFormat="1" ht="14.1" customHeight="1" x14ac:dyDescent="0.2">
      <c r="A136"/>
      <c r="B136"/>
    </row>
  </sheetData>
  <mergeCells count="43">
    <mergeCell ref="CA5:CE5"/>
    <mergeCell ref="R3:AZ3"/>
    <mergeCell ref="R4:BA4"/>
    <mergeCell ref="S5:W5"/>
    <mergeCell ref="X5:AB5"/>
    <mergeCell ref="AC5:AG5"/>
    <mergeCell ref="AH5:AL5"/>
    <mergeCell ref="AM5:AQ5"/>
    <mergeCell ref="AR5:AV5"/>
    <mergeCell ref="AW5:BA5"/>
    <mergeCell ref="BB5:BF5"/>
    <mergeCell ref="BG5:BK5"/>
    <mergeCell ref="BL5:BP5"/>
    <mergeCell ref="BQ5:BU5"/>
    <mergeCell ref="BV5:BZ5"/>
    <mergeCell ref="R93:AZ93"/>
    <mergeCell ref="R51:AZ51"/>
    <mergeCell ref="R52:BA52"/>
    <mergeCell ref="S54:W54"/>
    <mergeCell ref="X54:AB54"/>
    <mergeCell ref="AC54:AG54"/>
    <mergeCell ref="AH54:AL54"/>
    <mergeCell ref="AM54:AQ54"/>
    <mergeCell ref="AR54:AV54"/>
    <mergeCell ref="AW54:BA54"/>
    <mergeCell ref="BB54:BF54"/>
    <mergeCell ref="BG54:BK54"/>
    <mergeCell ref="BL54:BP54"/>
    <mergeCell ref="BQ54:BU54"/>
    <mergeCell ref="BV54:BZ54"/>
    <mergeCell ref="R94:BA94"/>
    <mergeCell ref="S96:W96"/>
    <mergeCell ref="X96:AB96"/>
    <mergeCell ref="AC96:AG96"/>
    <mergeCell ref="AH96:AL96"/>
    <mergeCell ref="AM96:AQ96"/>
    <mergeCell ref="AR96:AV96"/>
    <mergeCell ref="AW96:BA96"/>
    <mergeCell ref="BB96:BF96"/>
    <mergeCell ref="BG96:BK96"/>
    <mergeCell ref="BL96:BP96"/>
    <mergeCell ref="BQ96:BU96"/>
    <mergeCell ref="BV96:BZ96"/>
  </mergeCells>
  <phoneticPr fontId="40"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64CE5-7C07-47DE-922B-EAB08CC1B501}">
  <dimension ref="A2:AP2305"/>
  <sheetViews>
    <sheetView showGridLines="0" topLeftCell="A2" workbookViewId="0">
      <selection activeCell="H9" sqref="H9"/>
    </sheetView>
  </sheetViews>
  <sheetFormatPr defaultRowHeight="15" x14ac:dyDescent="0.2"/>
  <cols>
    <col min="1" max="1" width="6.9921875" bestFit="1" customWidth="1"/>
    <col min="2" max="2" width="11.43359375" bestFit="1" customWidth="1"/>
    <col min="8" max="8" width="9.55078125" customWidth="1"/>
    <col min="9" max="9" width="23.80859375" bestFit="1" customWidth="1"/>
    <col min="13" max="13" width="10.35546875" customWidth="1"/>
    <col min="14" max="14" width="7.80078125" bestFit="1" customWidth="1"/>
    <col min="17" max="17" width="11.43359375" bestFit="1" customWidth="1"/>
    <col min="18" max="18" width="43.71875" customWidth="1"/>
    <col min="19" max="19" width="42.5078125" customWidth="1"/>
    <col min="22" max="22" width="9.953125" bestFit="1" customWidth="1"/>
    <col min="26" max="26" width="9.953125" bestFit="1" customWidth="1"/>
    <col min="32" max="32" width="10.22265625" bestFit="1" customWidth="1"/>
  </cols>
  <sheetData>
    <row r="2" spans="2:15" x14ac:dyDescent="0.2">
      <c r="B2" s="1458" t="s">
        <v>47</v>
      </c>
      <c r="C2" s="1459"/>
      <c r="D2" s="1459"/>
      <c r="E2" s="1459"/>
      <c r="F2" s="1459"/>
      <c r="G2" s="1459"/>
      <c r="H2" s="1459"/>
      <c r="I2" s="1459"/>
      <c r="J2" s="1459"/>
      <c r="K2" s="1459"/>
      <c r="L2" s="1459"/>
      <c r="M2" s="1459"/>
      <c r="N2" s="1459"/>
      <c r="O2" s="1460"/>
    </row>
    <row r="3" spans="2:15" x14ac:dyDescent="0.2">
      <c r="B3" s="1461"/>
      <c r="C3" s="1462"/>
      <c r="D3" s="1462"/>
      <c r="E3" s="1462"/>
      <c r="F3" s="1462"/>
      <c r="G3" s="1462"/>
      <c r="H3" s="1462"/>
      <c r="I3" s="1462"/>
      <c r="J3" s="1462"/>
      <c r="K3" s="1462"/>
      <c r="L3" s="1462"/>
      <c r="M3" s="1462"/>
      <c r="N3" s="1462"/>
      <c r="O3" s="1463"/>
    </row>
    <row r="4" spans="2:15" x14ac:dyDescent="0.2">
      <c r="B4" s="1461"/>
      <c r="C4" s="1462"/>
      <c r="D4" s="1462"/>
      <c r="E4" s="1462"/>
      <c r="F4" s="1462"/>
      <c r="G4" s="1462"/>
      <c r="H4" s="1462"/>
      <c r="I4" s="1462"/>
      <c r="J4" s="1462"/>
      <c r="K4" s="1462"/>
      <c r="L4" s="1462"/>
      <c r="M4" s="1462"/>
      <c r="N4" s="1462"/>
      <c r="O4" s="1463"/>
    </row>
    <row r="5" spans="2:15" x14ac:dyDescent="0.2">
      <c r="B5" s="1461"/>
      <c r="C5" s="1462"/>
      <c r="D5" s="1462"/>
      <c r="E5" s="1462"/>
      <c r="F5" s="1462"/>
      <c r="G5" s="1462"/>
      <c r="H5" s="1462"/>
      <c r="I5" s="1462"/>
      <c r="J5" s="1462"/>
      <c r="K5" s="1462"/>
      <c r="L5" s="1462"/>
      <c r="M5" s="1462"/>
      <c r="N5" s="1462"/>
      <c r="O5" s="1463"/>
    </row>
    <row r="6" spans="2:15" x14ac:dyDescent="0.2">
      <c r="B6" s="1464"/>
      <c r="C6" s="1465"/>
      <c r="D6" s="1465"/>
      <c r="E6" s="1465"/>
      <c r="F6" s="1465"/>
      <c r="G6" s="1465"/>
      <c r="H6" s="1465"/>
      <c r="I6" s="1465"/>
      <c r="J6" s="1465"/>
      <c r="K6" s="1465"/>
      <c r="L6" s="1465"/>
      <c r="M6" s="1465"/>
      <c r="N6" s="1465"/>
      <c r="O6" s="1466"/>
    </row>
    <row r="31" spans="41:41" x14ac:dyDescent="0.2">
      <c r="AO31" t="s">
        <v>552</v>
      </c>
    </row>
    <row r="32" spans="41:41" x14ac:dyDescent="0.2">
      <c r="AO32" t="s">
        <v>551</v>
      </c>
    </row>
    <row r="33" spans="1:42" x14ac:dyDescent="0.2">
      <c r="AG33" t="s">
        <v>476</v>
      </c>
      <c r="AN33" s="225">
        <v>42736</v>
      </c>
      <c r="AO33" s="923" t="s">
        <v>271</v>
      </c>
      <c r="AP33" s="924">
        <v>5.1000000000000004E-3</v>
      </c>
    </row>
    <row r="34" spans="1:42" x14ac:dyDescent="0.2">
      <c r="Z34">
        <f>COUNT(Z37:Z147)</f>
        <v>111</v>
      </c>
      <c r="AF34" s="844" t="s">
        <v>438</v>
      </c>
      <c r="AG34" s="844" t="s">
        <v>439</v>
      </c>
      <c r="AH34" s="844" t="s">
        <v>440</v>
      </c>
      <c r="AI34" s="844" t="s">
        <v>441</v>
      </c>
      <c r="AJ34" s="844" t="s">
        <v>442</v>
      </c>
      <c r="AK34" s="844" t="s">
        <v>443</v>
      </c>
      <c r="AL34" s="844" t="s">
        <v>444</v>
      </c>
      <c r="AM34" s="844" t="s">
        <v>445</v>
      </c>
      <c r="AN34" s="225">
        <v>42767</v>
      </c>
      <c r="AO34" s="923" t="s">
        <v>487</v>
      </c>
      <c r="AP34" s="924">
        <v>5.1999999999999998E-3</v>
      </c>
    </row>
    <row r="35" spans="1:42" x14ac:dyDescent="0.2">
      <c r="A35" s="4" t="s">
        <v>7</v>
      </c>
      <c r="B35" s="2" t="s">
        <v>6</v>
      </c>
      <c r="Q35" s="6" t="s">
        <v>45</v>
      </c>
      <c r="R35" s="2" t="s">
        <v>46</v>
      </c>
      <c r="AA35" s="2" t="s">
        <v>436</v>
      </c>
      <c r="AF35" s="225">
        <v>43555</v>
      </c>
      <c r="AG35" s="308">
        <v>4.7E-2</v>
      </c>
      <c r="AH35" t="s">
        <v>446</v>
      </c>
      <c r="AI35">
        <v>2019</v>
      </c>
      <c r="AJ35" t="s">
        <v>262</v>
      </c>
      <c r="AK35" t="s">
        <v>447</v>
      </c>
      <c r="AL35" t="s">
        <v>448</v>
      </c>
      <c r="AM35" t="s">
        <v>449</v>
      </c>
      <c r="AN35" s="225">
        <v>42795</v>
      </c>
      <c r="AO35" s="923" t="s">
        <v>488</v>
      </c>
      <c r="AP35" s="924">
        <v>7.4000000000000003E-3</v>
      </c>
    </row>
    <row r="36" spans="1:42" x14ac:dyDescent="0.2">
      <c r="A36" s="3"/>
      <c r="B36" s="2"/>
      <c r="Q36" s="4" t="str">
        <f>"Average over "&amp;ROUND(YEARFRAC(Q2287,Q38),1)&amp;" Years:"</f>
        <v>Average over 9 Years:</v>
      </c>
      <c r="R36" s="5">
        <f>AVERAGE(R38:R2287)</f>
        <v>2.5176666666666719E-2</v>
      </c>
      <c r="S36" s="5">
        <f>AVERAGE(S38:S2287)</f>
        <v>2.2784133333333345E-2</v>
      </c>
      <c r="V36" s="3" t="s">
        <v>431</v>
      </c>
      <c r="W36" t="s">
        <v>184</v>
      </c>
      <c r="Z36" t="s">
        <v>0</v>
      </c>
      <c r="AA36" t="s">
        <v>435</v>
      </c>
      <c r="AF36" s="225">
        <v>43646</v>
      </c>
      <c r="AG36" s="308">
        <v>4.7E-2</v>
      </c>
      <c r="AH36" t="s">
        <v>450</v>
      </c>
      <c r="AI36">
        <v>2019</v>
      </c>
      <c r="AJ36" t="s">
        <v>263</v>
      </c>
      <c r="AK36" t="s">
        <v>447</v>
      </c>
      <c r="AL36" t="s">
        <v>451</v>
      </c>
      <c r="AM36" t="s">
        <v>452</v>
      </c>
      <c r="AN36" s="225">
        <v>42826</v>
      </c>
      <c r="AO36" s="923" t="s">
        <v>272</v>
      </c>
      <c r="AP36" s="924">
        <v>8.0000000000000002E-3</v>
      </c>
    </row>
    <row r="37" spans="1:42" x14ac:dyDescent="0.2">
      <c r="I37" s="4" t="s">
        <v>48</v>
      </c>
      <c r="Q37" s="32" t="s">
        <v>42</v>
      </c>
      <c r="R37" s="33" t="s">
        <v>43</v>
      </c>
      <c r="S37" s="34" t="s">
        <v>44</v>
      </c>
      <c r="V37" t="s">
        <v>372</v>
      </c>
      <c r="W37">
        <v>8.3620000000000001</v>
      </c>
      <c r="Z37" s="843">
        <v>42309</v>
      </c>
      <c r="AA37" s="841"/>
      <c r="AF37" s="225">
        <v>43738</v>
      </c>
      <c r="AG37" s="308">
        <v>4.9000000000000002E-2</v>
      </c>
      <c r="AH37" t="s">
        <v>453</v>
      </c>
      <c r="AI37">
        <v>2019</v>
      </c>
      <c r="AJ37" t="s">
        <v>264</v>
      </c>
      <c r="AK37" t="s">
        <v>447</v>
      </c>
      <c r="AL37" t="s">
        <v>454</v>
      </c>
      <c r="AM37" t="s">
        <v>455</v>
      </c>
      <c r="AN37" s="225">
        <v>42856</v>
      </c>
      <c r="AO37" s="923" t="s">
        <v>489</v>
      </c>
      <c r="AP37" s="924">
        <v>8.8999999999999999E-3</v>
      </c>
    </row>
    <row r="38" spans="1:42" x14ac:dyDescent="0.2">
      <c r="A38" s="1"/>
      <c r="B38" s="10" t="s">
        <v>0</v>
      </c>
      <c r="C38" s="11" t="s">
        <v>1</v>
      </c>
      <c r="D38" s="11" t="s">
        <v>2</v>
      </c>
      <c r="E38" s="11" t="s">
        <v>3</v>
      </c>
      <c r="F38" s="11" t="s">
        <v>4</v>
      </c>
      <c r="G38" s="12" t="s">
        <v>5</v>
      </c>
      <c r="H38" s="70" t="s">
        <v>59</v>
      </c>
      <c r="J38" s="1457" t="s">
        <v>41</v>
      </c>
      <c r="K38" s="1457"/>
      <c r="Q38" s="35">
        <v>42373</v>
      </c>
      <c r="R38" s="36">
        <v>2.2400000000000003E-2</v>
      </c>
      <c r="S38" s="37">
        <v>1.7299999999999999E-2</v>
      </c>
      <c r="V38" t="s">
        <v>373</v>
      </c>
      <c r="W38">
        <v>0.56000000000000005</v>
      </c>
      <c r="Z38" s="843">
        <v>42339</v>
      </c>
      <c r="AA38" s="841"/>
      <c r="AF38" s="225">
        <v>43830</v>
      </c>
      <c r="AG38" s="308">
        <v>4.8000000000000001E-2</v>
      </c>
      <c r="AH38" t="s">
        <v>456</v>
      </c>
      <c r="AI38">
        <v>2019</v>
      </c>
      <c r="AJ38" t="s">
        <v>457</v>
      </c>
      <c r="AK38" t="s">
        <v>458</v>
      </c>
      <c r="AL38" t="s">
        <v>459</v>
      </c>
      <c r="AN38" s="225">
        <v>42887</v>
      </c>
      <c r="AO38" s="923" t="s">
        <v>490</v>
      </c>
      <c r="AP38" s="924">
        <v>9.7999999999999997E-3</v>
      </c>
    </row>
    <row r="39" spans="1:42" x14ac:dyDescent="0.2">
      <c r="A39" s="1"/>
      <c r="B39" s="13">
        <v>45660</v>
      </c>
      <c r="C39" s="14">
        <v>465.28</v>
      </c>
      <c r="D39" s="15">
        <v>316614</v>
      </c>
      <c r="E39" s="14">
        <v>448.68</v>
      </c>
      <c r="F39" s="14">
        <v>468.13350000000003</v>
      </c>
      <c r="G39" s="16">
        <v>445.79</v>
      </c>
      <c r="H39" s="69">
        <f>C39/C40-1</f>
        <v>4.4798239507780613E-2</v>
      </c>
      <c r="I39" s="9"/>
      <c r="J39" s="7" t="s">
        <v>39</v>
      </c>
      <c r="K39" s="8" t="s">
        <v>40</v>
      </c>
      <c r="Q39" s="35">
        <v>42374</v>
      </c>
      <c r="R39" s="36">
        <v>2.2499999999999999E-2</v>
      </c>
      <c r="S39" s="37">
        <v>1.7299999999999999E-2</v>
      </c>
      <c r="V39" t="s">
        <v>374</v>
      </c>
      <c r="W39">
        <v>1.575</v>
      </c>
      <c r="Z39" s="843">
        <v>42370</v>
      </c>
      <c r="AA39" s="841">
        <v>5.16E-2</v>
      </c>
      <c r="AF39" s="225">
        <v>43830</v>
      </c>
      <c r="AG39" s="308">
        <v>4.8000000000000001E-2</v>
      </c>
      <c r="AH39" t="s">
        <v>460</v>
      </c>
      <c r="AI39">
        <v>2020</v>
      </c>
      <c r="AJ39" t="s">
        <v>457</v>
      </c>
      <c r="AK39" t="s">
        <v>458</v>
      </c>
      <c r="AL39" t="s">
        <v>461</v>
      </c>
      <c r="AM39" t="s">
        <v>462</v>
      </c>
      <c r="AN39" s="225">
        <v>42917</v>
      </c>
      <c r="AO39" s="923" t="s">
        <v>273</v>
      </c>
      <c r="AP39" s="924">
        <v>1.0700000000000001E-2</v>
      </c>
    </row>
    <row r="40" spans="1:42" x14ac:dyDescent="0.2">
      <c r="A40" s="1"/>
      <c r="B40" s="13">
        <v>45659</v>
      </c>
      <c r="C40" s="14">
        <v>445.33</v>
      </c>
      <c r="D40" s="15">
        <v>357057</v>
      </c>
      <c r="E40" s="14">
        <v>458.32</v>
      </c>
      <c r="F40" s="14">
        <v>461.7611</v>
      </c>
      <c r="G40" s="16">
        <v>443.31</v>
      </c>
      <c r="H40" s="69">
        <f t="shared" ref="H40:H103" si="0">C40/C41-1</f>
        <v>-2.2820529699602909E-2</v>
      </c>
      <c r="I40" s="21" t="s">
        <v>8</v>
      </c>
      <c r="J40" s="22">
        <v>25.276608</v>
      </c>
      <c r="K40" s="23">
        <v>25.276608</v>
      </c>
      <c r="Q40" s="35">
        <v>42375</v>
      </c>
      <c r="R40" s="36">
        <v>2.18E-2</v>
      </c>
      <c r="S40" s="37">
        <v>1.6500000000000001E-2</v>
      </c>
      <c r="V40" t="s">
        <v>375</v>
      </c>
      <c r="W40">
        <v>3.8149999999999999</v>
      </c>
      <c r="Z40" s="843">
        <v>42401</v>
      </c>
      <c r="AA40" s="841">
        <v>5.6099999999999997E-2</v>
      </c>
      <c r="AF40" s="225">
        <v>44196</v>
      </c>
      <c r="AG40" s="308">
        <v>4.7E-2</v>
      </c>
      <c r="AH40" t="s">
        <v>460</v>
      </c>
      <c r="AI40">
        <v>2020</v>
      </c>
      <c r="AJ40" t="s">
        <v>457</v>
      </c>
      <c r="AK40" t="s">
        <v>458</v>
      </c>
      <c r="AL40" t="s">
        <v>461</v>
      </c>
      <c r="AN40" s="225">
        <v>42948</v>
      </c>
      <c r="AO40" s="923" t="s">
        <v>491</v>
      </c>
      <c r="AP40" s="924">
        <v>1.01E-2</v>
      </c>
    </row>
    <row r="41" spans="1:42" x14ac:dyDescent="0.2">
      <c r="A41" s="1"/>
      <c r="B41" s="13">
        <v>45657</v>
      </c>
      <c r="C41" s="14">
        <v>455.73</v>
      </c>
      <c r="D41" s="15">
        <v>256466</v>
      </c>
      <c r="E41" s="14">
        <v>460.57</v>
      </c>
      <c r="F41" s="14">
        <v>465.13</v>
      </c>
      <c r="G41" s="16">
        <v>454.35</v>
      </c>
      <c r="H41" s="69">
        <f t="shared" si="0"/>
        <v>-7.9886808881148852E-3</v>
      </c>
      <c r="I41" s="24" t="s">
        <v>9</v>
      </c>
      <c r="J41" s="25">
        <v>25.278472000000001</v>
      </c>
      <c r="K41" s="26">
        <v>25.278472000000001</v>
      </c>
      <c r="M41" s="226"/>
      <c r="N41" t="s">
        <v>554</v>
      </c>
      <c r="O41" t="s">
        <v>584</v>
      </c>
      <c r="P41" t="s">
        <v>553</v>
      </c>
      <c r="Q41" s="35">
        <v>42376</v>
      </c>
      <c r="R41" s="36">
        <v>2.1600000000000001E-2</v>
      </c>
      <c r="S41" s="37">
        <v>1.61E-2</v>
      </c>
      <c r="V41" t="s">
        <v>376</v>
      </c>
      <c r="W41">
        <v>6.1059999999999999</v>
      </c>
      <c r="Z41" s="843">
        <v>42430</v>
      </c>
      <c r="AA41" s="841">
        <v>5.7200000000000001E-2</v>
      </c>
      <c r="AF41" s="225">
        <v>44196</v>
      </c>
      <c r="AG41" s="308">
        <v>4.7E-2</v>
      </c>
      <c r="AH41" t="s">
        <v>463</v>
      </c>
      <c r="AI41">
        <v>2021</v>
      </c>
      <c r="AJ41" t="s">
        <v>457</v>
      </c>
      <c r="AK41" t="s">
        <v>458</v>
      </c>
      <c r="AL41" t="s">
        <v>464</v>
      </c>
      <c r="AM41" t="s">
        <v>465</v>
      </c>
      <c r="AN41" s="225">
        <v>42979</v>
      </c>
      <c r="AO41" s="923" t="s">
        <v>492</v>
      </c>
      <c r="AP41" s="924">
        <v>1.03E-2</v>
      </c>
    </row>
    <row r="42" spans="1:42" x14ac:dyDescent="0.2">
      <c r="A42" s="1"/>
      <c r="B42" s="13">
        <v>45656</v>
      </c>
      <c r="C42" s="14">
        <v>459.4</v>
      </c>
      <c r="D42" s="15">
        <v>390376</v>
      </c>
      <c r="E42" s="14">
        <v>470.64</v>
      </c>
      <c r="F42" s="14">
        <v>470.64</v>
      </c>
      <c r="G42" s="16">
        <v>453.70499999999998</v>
      </c>
      <c r="H42" s="69">
        <f t="shared" si="0"/>
        <v>-3.3472891376154612E-2</v>
      </c>
      <c r="I42" s="24" t="s">
        <v>10</v>
      </c>
      <c r="J42" s="25">
        <v>25.319481</v>
      </c>
      <c r="K42" s="26">
        <v>25.319481</v>
      </c>
      <c r="M42" s="226">
        <v>46022</v>
      </c>
      <c r="N42">
        <v>473.04</v>
      </c>
      <c r="O42">
        <v>600.13</v>
      </c>
      <c r="P42">
        <v>567.45000000000005</v>
      </c>
      <c r="Q42" s="35">
        <v>42377</v>
      </c>
      <c r="R42" s="36">
        <v>2.1299999999999999E-2</v>
      </c>
      <c r="S42" s="37">
        <v>1.5700000000000002E-2</v>
      </c>
      <c r="V42" t="s">
        <v>377</v>
      </c>
      <c r="W42">
        <v>20.893000000000001</v>
      </c>
      <c r="Z42" s="843">
        <v>42461</v>
      </c>
      <c r="AA42" s="841">
        <v>5.1499999999999997E-2</v>
      </c>
      <c r="AF42" s="225">
        <v>44561</v>
      </c>
      <c r="AG42" s="308">
        <v>4.4999999999999998E-2</v>
      </c>
      <c r="AH42" t="s">
        <v>463</v>
      </c>
      <c r="AI42">
        <v>2021</v>
      </c>
      <c r="AJ42" t="s">
        <v>457</v>
      </c>
      <c r="AK42" t="s">
        <v>458</v>
      </c>
      <c r="AL42" t="s">
        <v>464</v>
      </c>
      <c r="AN42" s="225">
        <v>43009</v>
      </c>
      <c r="AO42" s="923" t="s">
        <v>274</v>
      </c>
      <c r="AP42" s="924">
        <v>1.0700000000000001E-2</v>
      </c>
    </row>
    <row r="43" spans="1:42" x14ac:dyDescent="0.2">
      <c r="A43" s="1"/>
      <c r="B43" s="13">
        <v>45653</v>
      </c>
      <c r="C43" s="14">
        <v>475.31</v>
      </c>
      <c r="D43" s="15">
        <v>151474</v>
      </c>
      <c r="E43" s="14">
        <v>470.13</v>
      </c>
      <c r="F43" s="14">
        <v>476.49</v>
      </c>
      <c r="G43" s="16">
        <v>465.87290000000002</v>
      </c>
      <c r="H43" s="69">
        <f t="shared" si="0"/>
        <v>-1.8060776613394447E-3</v>
      </c>
      <c r="I43" s="24" t="s">
        <v>11</v>
      </c>
      <c r="J43" s="25">
        <v>25.381307</v>
      </c>
      <c r="K43" s="26">
        <v>25.381307</v>
      </c>
      <c r="M43" s="226"/>
      <c r="Q43" s="35">
        <v>42380</v>
      </c>
      <c r="R43" s="36">
        <v>2.1700000000000001E-2</v>
      </c>
      <c r="S43" s="37">
        <v>1.5800000000000002E-2</v>
      </c>
      <c r="V43" t="s">
        <v>378</v>
      </c>
      <c r="W43">
        <v>52.308999999999997</v>
      </c>
      <c r="Z43" s="843">
        <v>42491</v>
      </c>
      <c r="AA43" s="841">
        <v>5.11E-2</v>
      </c>
      <c r="AF43" s="225">
        <v>44561</v>
      </c>
      <c r="AG43" s="308">
        <v>4.4999999999999998E-2</v>
      </c>
      <c r="AH43" t="s">
        <v>466</v>
      </c>
      <c r="AI43">
        <v>2022</v>
      </c>
      <c r="AJ43" t="s">
        <v>457</v>
      </c>
      <c r="AK43" t="s">
        <v>458</v>
      </c>
      <c r="AL43" t="s">
        <v>467</v>
      </c>
      <c r="AM43" t="s">
        <v>468</v>
      </c>
      <c r="AN43" s="225">
        <v>43040</v>
      </c>
      <c r="AO43" s="923" t="s">
        <v>493</v>
      </c>
      <c r="AP43" s="924">
        <v>1.23E-2</v>
      </c>
    </row>
    <row r="44" spans="1:42" x14ac:dyDescent="0.2">
      <c r="A44" s="1"/>
      <c r="B44" s="13">
        <v>45652</v>
      </c>
      <c r="C44" s="14">
        <v>476.17</v>
      </c>
      <c r="D44" s="15">
        <v>311459</v>
      </c>
      <c r="E44" s="14">
        <v>474.11</v>
      </c>
      <c r="F44" s="14">
        <v>481.185</v>
      </c>
      <c r="G44" s="16">
        <v>470.27499999999998</v>
      </c>
      <c r="H44" s="69">
        <f t="shared" si="0"/>
        <v>2.9409911140065859E-4</v>
      </c>
      <c r="I44" s="24"/>
      <c r="J44" s="27">
        <f>J43</f>
        <v>25.381307</v>
      </c>
      <c r="K44" s="28">
        <f>K43</f>
        <v>25.381307</v>
      </c>
      <c r="M44" s="225">
        <f>B41</f>
        <v>45657</v>
      </c>
      <c r="N44" s="1319">
        <f>C41</f>
        <v>455.73</v>
      </c>
      <c r="O44" s="1319">
        <f>N44</f>
        <v>455.73</v>
      </c>
      <c r="P44" s="1319">
        <f>N44</f>
        <v>455.73</v>
      </c>
      <c r="Q44" s="35">
        <v>42381</v>
      </c>
      <c r="R44" s="36">
        <v>2.12E-2</v>
      </c>
      <c r="S44" s="37">
        <v>1.55E-2</v>
      </c>
      <c r="V44" t="s">
        <v>379</v>
      </c>
      <c r="W44">
        <v>70.861999999999995</v>
      </c>
      <c r="Z44" s="843">
        <v>42522</v>
      </c>
      <c r="AA44" s="841">
        <v>5.0299999999999997E-2</v>
      </c>
      <c r="AF44" s="225">
        <v>44926</v>
      </c>
      <c r="AG44" s="308">
        <v>5.0999999999999997E-2</v>
      </c>
      <c r="AH44" t="s">
        <v>466</v>
      </c>
      <c r="AI44">
        <v>2022</v>
      </c>
      <c r="AJ44" t="s">
        <v>457</v>
      </c>
      <c r="AK44" t="s">
        <v>458</v>
      </c>
      <c r="AL44" t="s">
        <v>467</v>
      </c>
      <c r="AN44" s="225">
        <v>43070</v>
      </c>
      <c r="AO44" s="923" t="s">
        <v>494</v>
      </c>
      <c r="AP44" s="924">
        <v>1.32E-2</v>
      </c>
    </row>
    <row r="45" spans="1:42" x14ac:dyDescent="0.2">
      <c r="A45" s="1"/>
      <c r="B45" s="13">
        <v>45650</v>
      </c>
      <c r="C45" s="14">
        <v>476.03</v>
      </c>
      <c r="D45" s="15">
        <v>98784</v>
      </c>
      <c r="E45" s="14">
        <v>464.04</v>
      </c>
      <c r="F45" s="14">
        <v>476.36</v>
      </c>
      <c r="G45" s="16">
        <v>464.04</v>
      </c>
      <c r="H45" s="69">
        <f t="shared" si="0"/>
        <v>2.4050769065289801E-2</v>
      </c>
      <c r="I45" s="24" t="s">
        <v>12</v>
      </c>
      <c r="J45" s="25">
        <v>25.520036000000001</v>
      </c>
      <c r="K45" s="26">
        <v>25.520036000000001</v>
      </c>
      <c r="M45" s="225">
        <f t="shared" ref="M45:M108" si="1">B42</f>
        <v>45656</v>
      </c>
      <c r="N45" s="1319">
        <f t="shared" ref="N45:N108" si="2">C42</f>
        <v>459.4</v>
      </c>
      <c r="O45" s="1319">
        <f t="shared" ref="O45:O108" si="3">N45</f>
        <v>459.4</v>
      </c>
      <c r="P45" s="1319">
        <f t="shared" ref="P45:P108" si="4">N45</f>
        <v>459.4</v>
      </c>
      <c r="Q45" s="35">
        <v>42382</v>
      </c>
      <c r="R45" s="36">
        <v>2.0799999999999999E-2</v>
      </c>
      <c r="S45" s="37">
        <v>1.5100000000000001E-2</v>
      </c>
      <c r="V45" t="s">
        <v>380</v>
      </c>
      <c r="W45">
        <v>40.594999999999999</v>
      </c>
      <c r="Z45" s="843">
        <v>42552</v>
      </c>
      <c r="AA45" s="841">
        <v>5.0799999999999998E-2</v>
      </c>
      <c r="AF45" s="225">
        <v>44926</v>
      </c>
      <c r="AG45" s="308">
        <v>5.0999999999999997E-2</v>
      </c>
      <c r="AH45" t="s">
        <v>469</v>
      </c>
      <c r="AI45">
        <v>2023</v>
      </c>
      <c r="AJ45" t="s">
        <v>457</v>
      </c>
      <c r="AK45" t="s">
        <v>458</v>
      </c>
      <c r="AL45" t="s">
        <v>470</v>
      </c>
      <c r="AM45" t="s">
        <v>471</v>
      </c>
      <c r="AN45" s="225">
        <v>43101</v>
      </c>
      <c r="AO45" s="923" t="s">
        <v>275</v>
      </c>
      <c r="AP45" s="924">
        <v>1.41E-2</v>
      </c>
    </row>
    <row r="46" spans="1:42" x14ac:dyDescent="0.2">
      <c r="A46" s="1"/>
      <c r="B46" s="13">
        <v>45649</v>
      </c>
      <c r="C46" s="14">
        <v>464.85</v>
      </c>
      <c r="D46" s="15">
        <v>396231</v>
      </c>
      <c r="E46" s="14">
        <v>473.4</v>
      </c>
      <c r="F46" s="14">
        <v>474.58</v>
      </c>
      <c r="G46" s="16">
        <v>458.89</v>
      </c>
      <c r="H46" s="69">
        <f t="shared" si="0"/>
        <v>-1.8060836501901045E-2</v>
      </c>
      <c r="I46" s="24" t="s">
        <v>13</v>
      </c>
      <c r="J46" s="25">
        <v>25.536853000000001</v>
      </c>
      <c r="K46" s="26">
        <v>25.536853000000001</v>
      </c>
      <c r="M46" s="225">
        <f t="shared" si="1"/>
        <v>45653</v>
      </c>
      <c r="N46" s="1319">
        <f t="shared" si="2"/>
        <v>475.31</v>
      </c>
      <c r="O46" s="1319">
        <f t="shared" si="3"/>
        <v>475.31</v>
      </c>
      <c r="P46" s="1319">
        <f t="shared" si="4"/>
        <v>475.31</v>
      </c>
      <c r="Q46" s="35">
        <v>42383</v>
      </c>
      <c r="R46" s="36">
        <v>2.1000000000000001E-2</v>
      </c>
      <c r="S46" s="37">
        <v>1.52E-2</v>
      </c>
      <c r="V46" t="s">
        <v>381</v>
      </c>
      <c r="W46">
        <v>71.441999999999993</v>
      </c>
      <c r="Z46" s="843">
        <v>42583</v>
      </c>
      <c r="AA46" s="841">
        <v>4.9200000000000001E-2</v>
      </c>
      <c r="AF46" s="225">
        <v>45291</v>
      </c>
      <c r="AG46" s="308">
        <v>5.3999999999999999E-2</v>
      </c>
      <c r="AH46" t="s">
        <v>469</v>
      </c>
      <c r="AI46">
        <v>2023</v>
      </c>
      <c r="AJ46" t="s">
        <v>457</v>
      </c>
      <c r="AK46" t="s">
        <v>458</v>
      </c>
      <c r="AL46" t="s">
        <v>470</v>
      </c>
      <c r="AM46" t="s">
        <v>472</v>
      </c>
      <c r="AN46" s="225">
        <v>43132</v>
      </c>
      <c r="AO46" s="923" t="s">
        <v>495</v>
      </c>
      <c r="AP46" s="924">
        <v>1.5700000000000002E-2</v>
      </c>
    </row>
    <row r="47" spans="1:42" x14ac:dyDescent="0.2">
      <c r="A47" s="1"/>
      <c r="B47" s="13">
        <v>45646</v>
      </c>
      <c r="C47" s="14">
        <v>473.4</v>
      </c>
      <c r="D47" s="15">
        <v>1210519</v>
      </c>
      <c r="E47" s="14">
        <v>491.12</v>
      </c>
      <c r="F47" s="14">
        <v>494</v>
      </c>
      <c r="G47" s="16">
        <v>451.47</v>
      </c>
      <c r="H47" s="69">
        <f t="shared" si="0"/>
        <v>-4.350110116582151E-2</v>
      </c>
      <c r="I47" s="24" t="s">
        <v>14</v>
      </c>
      <c r="J47" s="25">
        <v>25.552769000000001</v>
      </c>
      <c r="K47" s="26">
        <v>25.552769000000001</v>
      </c>
      <c r="M47" s="225">
        <f t="shared" si="1"/>
        <v>45652</v>
      </c>
      <c r="N47" s="1319">
        <f t="shared" si="2"/>
        <v>476.17</v>
      </c>
      <c r="O47" s="1319">
        <f t="shared" si="3"/>
        <v>476.17</v>
      </c>
      <c r="P47" s="1319">
        <f t="shared" si="4"/>
        <v>476.17</v>
      </c>
      <c r="Q47" s="35">
        <v>42384</v>
      </c>
      <c r="R47" s="36">
        <v>2.0299999999999999E-2</v>
      </c>
      <c r="S47" s="37">
        <v>1.46E-2</v>
      </c>
      <c r="V47" t="s">
        <v>382</v>
      </c>
      <c r="W47">
        <v>81.888000000000005</v>
      </c>
      <c r="Z47" s="843">
        <v>42614</v>
      </c>
      <c r="AA47" s="841">
        <v>4.8599999999999997E-2</v>
      </c>
      <c r="AN47" s="225">
        <v>43160</v>
      </c>
      <c r="AO47" s="923" t="s">
        <v>496</v>
      </c>
      <c r="AP47" s="924">
        <v>1.7000000000000001E-2</v>
      </c>
    </row>
    <row r="48" spans="1:42" x14ac:dyDescent="0.2">
      <c r="A48" s="1"/>
      <c r="B48" s="13">
        <v>45645</v>
      </c>
      <c r="C48" s="14">
        <v>494.93</v>
      </c>
      <c r="D48" s="15">
        <v>335170</v>
      </c>
      <c r="E48" s="14">
        <v>515.62</v>
      </c>
      <c r="F48" s="14">
        <v>527.23</v>
      </c>
      <c r="G48" s="16">
        <v>493.39</v>
      </c>
      <c r="H48" s="69">
        <f t="shared" si="0"/>
        <v>-3.0860208737198636E-2</v>
      </c>
      <c r="I48" s="24" t="s">
        <v>15</v>
      </c>
      <c r="J48" s="25">
        <v>25.701488000000001</v>
      </c>
      <c r="K48" s="26">
        <v>25.550037</v>
      </c>
      <c r="M48" s="225">
        <f t="shared" si="1"/>
        <v>45650</v>
      </c>
      <c r="N48" s="1319">
        <f t="shared" si="2"/>
        <v>476.03</v>
      </c>
      <c r="O48" s="1319">
        <f t="shared" si="3"/>
        <v>476.03</v>
      </c>
      <c r="P48" s="1319">
        <f t="shared" si="4"/>
        <v>476.03</v>
      </c>
      <c r="Q48" s="35">
        <v>42388</v>
      </c>
      <c r="R48" s="36">
        <v>2.06E-2</v>
      </c>
      <c r="S48" s="37">
        <v>1.49E-2</v>
      </c>
      <c r="V48" t="s">
        <v>383</v>
      </c>
      <c r="W48">
        <v>86.12</v>
      </c>
      <c r="Z48" s="843">
        <v>42644</v>
      </c>
      <c r="AA48" s="841">
        <v>4.9099999999999998E-2</v>
      </c>
      <c r="AN48" s="225">
        <v>43191</v>
      </c>
      <c r="AO48" s="923" t="s">
        <v>276</v>
      </c>
      <c r="AP48" s="924">
        <v>1.7600000000000001E-2</v>
      </c>
    </row>
    <row r="49" spans="1:42" x14ac:dyDescent="0.2">
      <c r="A49" s="1"/>
      <c r="B49" s="13">
        <v>45644</v>
      </c>
      <c r="C49" s="14">
        <v>510.69</v>
      </c>
      <c r="D49" s="15">
        <v>433513</v>
      </c>
      <c r="E49" s="14">
        <v>535.95000000000005</v>
      </c>
      <c r="F49" s="14">
        <v>545.12</v>
      </c>
      <c r="G49" s="16">
        <v>508.66</v>
      </c>
      <c r="H49" s="69">
        <f t="shared" si="0"/>
        <v>-4.155171443049388E-2</v>
      </c>
      <c r="I49" s="24"/>
      <c r="J49" s="27">
        <f>J48</f>
        <v>25.701488000000001</v>
      </c>
      <c r="K49" s="28">
        <f>K48</f>
        <v>25.550037</v>
      </c>
      <c r="M49" s="225">
        <f t="shared" si="1"/>
        <v>45649</v>
      </c>
      <c r="N49" s="1319">
        <f t="shared" si="2"/>
        <v>464.85</v>
      </c>
      <c r="O49" s="1319">
        <f t="shared" si="3"/>
        <v>464.85</v>
      </c>
      <c r="P49" s="1319">
        <f t="shared" si="4"/>
        <v>464.85</v>
      </c>
      <c r="Q49" s="35">
        <v>42389</v>
      </c>
      <c r="R49" s="36">
        <v>2.0099999999999996E-2</v>
      </c>
      <c r="S49" s="37">
        <v>1.44E-2</v>
      </c>
      <c r="V49" t="s">
        <v>384</v>
      </c>
      <c r="W49">
        <v>6.7249999999999996</v>
      </c>
      <c r="Z49" s="843">
        <v>42675</v>
      </c>
      <c r="AA49" s="841">
        <v>4.8899999999999999E-2</v>
      </c>
      <c r="AF49" s="844" t="s">
        <v>438</v>
      </c>
      <c r="AG49" s="844" t="s">
        <v>439</v>
      </c>
      <c r="AH49" s="844" t="s">
        <v>440</v>
      </c>
      <c r="AI49" s="844" t="s">
        <v>441</v>
      </c>
      <c r="AJ49" s="844" t="s">
        <v>442</v>
      </c>
      <c r="AK49" s="844" t="s">
        <v>443</v>
      </c>
      <c r="AL49" s="844" t="s">
        <v>444</v>
      </c>
      <c r="AM49" s="844" t="s">
        <v>445</v>
      </c>
      <c r="AN49" s="225">
        <v>43221</v>
      </c>
      <c r="AO49" s="923" t="s">
        <v>497</v>
      </c>
      <c r="AP49" s="924">
        <v>1.8600000000000002E-2</v>
      </c>
    </row>
    <row r="50" spans="1:42" x14ac:dyDescent="0.2">
      <c r="A50" s="1"/>
      <c r="B50" s="13">
        <v>45643</v>
      </c>
      <c r="C50" s="14">
        <v>532.83000000000004</v>
      </c>
      <c r="D50" s="15">
        <v>324793</v>
      </c>
      <c r="E50" s="14">
        <v>536.85</v>
      </c>
      <c r="F50" s="14">
        <v>538.58000000000004</v>
      </c>
      <c r="G50" s="16">
        <v>526.66999999999996</v>
      </c>
      <c r="H50" s="69">
        <f t="shared" si="0"/>
        <v>-6.4887844716673415E-3</v>
      </c>
      <c r="I50" s="24" t="s">
        <v>16</v>
      </c>
      <c r="J50" s="25">
        <v>25.745640000000002</v>
      </c>
      <c r="K50" s="26">
        <v>25.745640000000002</v>
      </c>
      <c r="M50" s="225">
        <f t="shared" si="1"/>
        <v>45646</v>
      </c>
      <c r="N50" s="1319">
        <f t="shared" si="2"/>
        <v>473.4</v>
      </c>
      <c r="O50" s="1319">
        <f t="shared" si="3"/>
        <v>473.4</v>
      </c>
      <c r="P50" s="1319">
        <f t="shared" si="4"/>
        <v>473.4</v>
      </c>
      <c r="Q50" s="35">
        <v>42390</v>
      </c>
      <c r="R50" s="36">
        <v>2.0199999999999999E-2</v>
      </c>
      <c r="S50" s="37">
        <v>1.44E-2</v>
      </c>
      <c r="V50" t="s">
        <v>385</v>
      </c>
      <c r="W50">
        <v>72.091999999999999</v>
      </c>
      <c r="Z50" s="843">
        <v>42705</v>
      </c>
      <c r="AA50" s="841">
        <v>4.4999999999999998E-2</v>
      </c>
      <c r="AF50" s="225">
        <v>43555</v>
      </c>
      <c r="AG50" s="308">
        <v>3.4000000000000002E-2</v>
      </c>
      <c r="AH50" t="s">
        <v>446</v>
      </c>
      <c r="AI50">
        <v>2019</v>
      </c>
      <c r="AJ50" t="s">
        <v>262</v>
      </c>
      <c r="AK50" t="s">
        <v>447</v>
      </c>
      <c r="AL50" t="s">
        <v>448</v>
      </c>
      <c r="AM50" t="s">
        <v>449</v>
      </c>
      <c r="AN50" s="225">
        <v>43252</v>
      </c>
      <c r="AO50" s="923" t="s">
        <v>498</v>
      </c>
      <c r="AP50" s="924">
        <v>1.9E-2</v>
      </c>
    </row>
    <row r="51" spans="1:42" x14ac:dyDescent="0.2">
      <c r="A51" s="1"/>
      <c r="B51" s="13">
        <v>45642</v>
      </c>
      <c r="C51" s="14">
        <v>536.30999999999995</v>
      </c>
      <c r="D51" s="15">
        <v>308596</v>
      </c>
      <c r="E51" s="14">
        <v>525.65</v>
      </c>
      <c r="F51" s="14">
        <v>537.12</v>
      </c>
      <c r="G51" s="16">
        <v>520.17999999999995</v>
      </c>
      <c r="H51" s="69">
        <f t="shared" si="0"/>
        <v>1.4489738011917108E-2</v>
      </c>
      <c r="I51" s="24" t="s">
        <v>17</v>
      </c>
      <c r="J51" s="25">
        <v>25.757598000000002</v>
      </c>
      <c r="K51" s="26">
        <v>25.757598000000002</v>
      </c>
      <c r="M51" s="225">
        <f t="shared" si="1"/>
        <v>45645</v>
      </c>
      <c r="N51" s="1319">
        <f t="shared" si="2"/>
        <v>494.93</v>
      </c>
      <c r="O51" s="1319">
        <f t="shared" si="3"/>
        <v>494.93</v>
      </c>
      <c r="P51" s="1319">
        <f t="shared" si="4"/>
        <v>494.93</v>
      </c>
      <c r="Q51" s="35">
        <v>42391</v>
      </c>
      <c r="R51" s="36">
        <v>2.07E-2</v>
      </c>
      <c r="S51" s="37">
        <v>1.49E-2</v>
      </c>
      <c r="V51" t="s">
        <v>386</v>
      </c>
      <c r="W51">
        <v>100.79900000000001</v>
      </c>
      <c r="Z51" s="843">
        <v>42736</v>
      </c>
      <c r="AA51" s="841">
        <v>4.4999999999999998E-2</v>
      </c>
      <c r="AF51" s="225">
        <v>43646</v>
      </c>
      <c r="AG51" s="308">
        <v>3.4000000000000002E-2</v>
      </c>
      <c r="AH51" t="s">
        <v>450</v>
      </c>
      <c r="AI51">
        <v>2019</v>
      </c>
      <c r="AJ51" t="s">
        <v>263</v>
      </c>
      <c r="AK51" t="s">
        <v>447</v>
      </c>
      <c r="AL51" t="s">
        <v>451</v>
      </c>
      <c r="AM51" t="s">
        <v>452</v>
      </c>
      <c r="AN51" s="225">
        <v>43282</v>
      </c>
      <c r="AO51" s="923" t="s">
        <v>277</v>
      </c>
      <c r="AP51" s="924">
        <v>1.9599999999999999E-2</v>
      </c>
    </row>
    <row r="52" spans="1:42" x14ac:dyDescent="0.2">
      <c r="A52" s="1"/>
      <c r="B52" s="13">
        <v>45639</v>
      </c>
      <c r="C52" s="14">
        <v>528.65</v>
      </c>
      <c r="D52" s="15">
        <v>254017</v>
      </c>
      <c r="E52" s="14">
        <v>524.77</v>
      </c>
      <c r="F52" s="14">
        <v>534.32000000000005</v>
      </c>
      <c r="G52" s="16">
        <v>519.37</v>
      </c>
      <c r="H52" s="69">
        <f t="shared" si="0"/>
        <v>8.7200427415661252E-3</v>
      </c>
      <c r="I52" s="24" t="s">
        <v>18</v>
      </c>
      <c r="J52" s="25">
        <v>25.791549</v>
      </c>
      <c r="K52" s="26">
        <v>25.791549</v>
      </c>
      <c r="M52" s="225">
        <f t="shared" si="1"/>
        <v>45644</v>
      </c>
      <c r="N52" s="1319">
        <f t="shared" si="2"/>
        <v>510.69</v>
      </c>
      <c r="O52" s="1319">
        <f t="shared" si="3"/>
        <v>510.69</v>
      </c>
      <c r="P52" s="1319">
        <f t="shared" si="4"/>
        <v>510.69</v>
      </c>
      <c r="Q52" s="35">
        <v>42394</v>
      </c>
      <c r="R52" s="36">
        <v>2.0299999999999999E-2</v>
      </c>
      <c r="S52" s="37">
        <v>1.47E-2</v>
      </c>
      <c r="V52" t="s">
        <v>387</v>
      </c>
      <c r="W52">
        <v>126.358</v>
      </c>
      <c r="Z52" s="843">
        <v>42767</v>
      </c>
      <c r="AA52" s="841">
        <v>4.41E-2</v>
      </c>
      <c r="AF52" s="225">
        <v>43738</v>
      </c>
      <c r="AG52" s="308">
        <v>3.4000000000000002E-2</v>
      </c>
      <c r="AH52" t="s">
        <v>453</v>
      </c>
      <c r="AI52">
        <v>2019</v>
      </c>
      <c r="AJ52" t="s">
        <v>264</v>
      </c>
      <c r="AK52" t="s">
        <v>447</v>
      </c>
      <c r="AL52" t="s">
        <v>454</v>
      </c>
      <c r="AM52" t="s">
        <v>455</v>
      </c>
      <c r="AN52" s="225">
        <v>43313</v>
      </c>
      <c r="AO52" s="923" t="s">
        <v>499</v>
      </c>
      <c r="AP52" s="924">
        <v>2.0299999999999999E-2</v>
      </c>
    </row>
    <row r="53" spans="1:42" x14ac:dyDescent="0.2">
      <c r="A53" s="1"/>
      <c r="B53" s="13">
        <v>45638</v>
      </c>
      <c r="C53" s="14">
        <v>524.08000000000004</v>
      </c>
      <c r="D53" s="15">
        <v>191942</v>
      </c>
      <c r="E53" s="14">
        <v>520.95000000000005</v>
      </c>
      <c r="F53" s="14">
        <v>527.69000000000005</v>
      </c>
      <c r="G53" s="16">
        <v>510.93</v>
      </c>
      <c r="H53" s="69">
        <f t="shared" si="0"/>
        <v>5.0050817880222809E-3</v>
      </c>
      <c r="I53" s="24" t="s">
        <v>19</v>
      </c>
      <c r="J53" s="25">
        <v>25.896432999999998</v>
      </c>
      <c r="K53" s="26">
        <v>25.792545</v>
      </c>
      <c r="M53" s="225">
        <f t="shared" si="1"/>
        <v>45643</v>
      </c>
      <c r="N53" s="1319">
        <f t="shared" si="2"/>
        <v>532.83000000000004</v>
      </c>
      <c r="O53" s="1319">
        <f t="shared" si="3"/>
        <v>532.83000000000004</v>
      </c>
      <c r="P53" s="1319">
        <f t="shared" si="4"/>
        <v>532.83000000000004</v>
      </c>
      <c r="Q53" s="35">
        <v>42395</v>
      </c>
      <c r="R53" s="36">
        <v>2.0099999999999996E-2</v>
      </c>
      <c r="S53" s="37">
        <v>1.4499999999999999E-2</v>
      </c>
      <c r="V53" t="s">
        <v>388</v>
      </c>
      <c r="W53">
        <v>8.3789999999999996</v>
      </c>
      <c r="Z53" s="843">
        <v>42795</v>
      </c>
      <c r="AA53" s="841">
        <v>4.2900000000000001E-2</v>
      </c>
      <c r="AF53" s="225">
        <v>43830</v>
      </c>
      <c r="AG53" s="308">
        <v>3.44E-2</v>
      </c>
      <c r="AH53" t="s">
        <v>456</v>
      </c>
      <c r="AI53">
        <v>2019</v>
      </c>
      <c r="AJ53" t="s">
        <v>457</v>
      </c>
      <c r="AK53" t="s">
        <v>458</v>
      </c>
      <c r="AL53" t="s">
        <v>459</v>
      </c>
      <c r="AN53" s="225">
        <v>43344</v>
      </c>
      <c r="AO53" s="923" t="s">
        <v>500</v>
      </c>
      <c r="AP53" s="924">
        <v>2.1299999999999999E-2</v>
      </c>
    </row>
    <row r="54" spans="1:42" x14ac:dyDescent="0.2">
      <c r="A54" s="1"/>
      <c r="B54" s="13">
        <v>45637</v>
      </c>
      <c r="C54" s="14">
        <v>521.47</v>
      </c>
      <c r="D54" s="15">
        <v>368853</v>
      </c>
      <c r="E54" s="14">
        <v>529.17999999999995</v>
      </c>
      <c r="F54" s="14">
        <v>529.17999999999995</v>
      </c>
      <c r="G54" s="16">
        <v>520.79</v>
      </c>
      <c r="H54" s="69">
        <f t="shared" si="0"/>
        <v>-2.8682333594661769E-3</v>
      </c>
      <c r="I54" s="24"/>
      <c r="J54" s="27">
        <f>J53</f>
        <v>25.896432999999998</v>
      </c>
      <c r="K54" s="28">
        <f>K53</f>
        <v>25.792545</v>
      </c>
      <c r="M54" s="225">
        <f t="shared" si="1"/>
        <v>45642</v>
      </c>
      <c r="N54" s="1319">
        <f t="shared" si="2"/>
        <v>536.30999999999995</v>
      </c>
      <c r="O54" s="1319">
        <f t="shared" si="3"/>
        <v>536.30999999999995</v>
      </c>
      <c r="P54" s="1319">
        <f t="shared" si="4"/>
        <v>536.30999999999995</v>
      </c>
      <c r="Q54" s="35">
        <v>42396</v>
      </c>
      <c r="R54" s="36">
        <v>2.0199999999999999E-2</v>
      </c>
      <c r="S54" s="37">
        <v>1.43E-2</v>
      </c>
      <c r="V54" t="s">
        <v>389</v>
      </c>
      <c r="W54">
        <v>67.076999999999998</v>
      </c>
      <c r="Z54" s="843">
        <v>42826</v>
      </c>
      <c r="AA54" s="841">
        <v>4.5100000000000001E-2</v>
      </c>
      <c r="AF54" s="225">
        <v>43830</v>
      </c>
      <c r="AG54" s="308">
        <v>3.44E-2</v>
      </c>
      <c r="AH54" t="s">
        <v>460</v>
      </c>
      <c r="AI54">
        <v>2020</v>
      </c>
      <c r="AJ54" t="s">
        <v>457</v>
      </c>
      <c r="AK54" t="s">
        <v>458</v>
      </c>
      <c r="AL54" t="s">
        <v>461</v>
      </c>
      <c r="AM54" t="s">
        <v>462</v>
      </c>
      <c r="AN54" s="225">
        <v>43374</v>
      </c>
      <c r="AO54" s="923" t="s">
        <v>278</v>
      </c>
      <c r="AP54" s="924">
        <v>2.2499999999999999E-2</v>
      </c>
    </row>
    <row r="55" spans="1:42" x14ac:dyDescent="0.2">
      <c r="A55" s="1"/>
      <c r="B55" s="13">
        <v>45636</v>
      </c>
      <c r="C55" s="14">
        <v>522.97</v>
      </c>
      <c r="D55" s="15">
        <v>357862</v>
      </c>
      <c r="E55" s="14">
        <v>514.69000000000005</v>
      </c>
      <c r="F55" s="14">
        <v>525.88</v>
      </c>
      <c r="G55" s="16">
        <v>513.28</v>
      </c>
      <c r="H55" s="69">
        <f t="shared" si="0"/>
        <v>1.3154326010306638E-2</v>
      </c>
      <c r="I55" s="24" t="s">
        <v>20</v>
      </c>
      <c r="J55" s="25">
        <v>25.915811000000001</v>
      </c>
      <c r="K55" s="26">
        <v>25.906451000000001</v>
      </c>
      <c r="M55" s="225">
        <f t="shared" si="1"/>
        <v>45639</v>
      </c>
      <c r="N55" s="1319">
        <f t="shared" si="2"/>
        <v>528.65</v>
      </c>
      <c r="O55" s="1319">
        <f t="shared" si="3"/>
        <v>528.65</v>
      </c>
      <c r="P55" s="1319">
        <f t="shared" si="4"/>
        <v>528.65</v>
      </c>
      <c r="Q55" s="35">
        <v>42397</v>
      </c>
      <c r="R55" s="36">
        <v>0.02</v>
      </c>
      <c r="S55" s="37">
        <v>1.3999999999999999E-2</v>
      </c>
      <c r="V55" t="s">
        <v>390</v>
      </c>
      <c r="W55">
        <v>79.772999999999996</v>
      </c>
      <c r="Z55" s="843">
        <v>42856</v>
      </c>
      <c r="AA55" s="841">
        <v>4.5100000000000001E-2</v>
      </c>
      <c r="AF55" s="225">
        <v>44196</v>
      </c>
      <c r="AG55" s="308">
        <v>3.4799999999999998E-2</v>
      </c>
      <c r="AH55" t="s">
        <v>460</v>
      </c>
      <c r="AI55">
        <v>2020</v>
      </c>
      <c r="AJ55" t="s">
        <v>457</v>
      </c>
      <c r="AK55" t="s">
        <v>458</v>
      </c>
      <c r="AL55" t="s">
        <v>461</v>
      </c>
      <c r="AN55" s="225">
        <v>43405</v>
      </c>
      <c r="AO55" s="923" t="s">
        <v>501</v>
      </c>
      <c r="AP55" s="924">
        <v>2.3300000000000001E-2</v>
      </c>
    </row>
    <row r="56" spans="1:42" x14ac:dyDescent="0.2">
      <c r="A56" s="1"/>
      <c r="B56" s="13">
        <v>45635</v>
      </c>
      <c r="C56" s="14">
        <v>516.17999999999995</v>
      </c>
      <c r="D56" s="15">
        <v>630976</v>
      </c>
      <c r="E56" s="14">
        <v>519.33000000000004</v>
      </c>
      <c r="F56" s="14">
        <v>521.03</v>
      </c>
      <c r="G56" s="16">
        <v>508.34500000000003</v>
      </c>
      <c r="H56" s="69">
        <f t="shared" si="0"/>
        <v>4.8456185916689876E-4</v>
      </c>
      <c r="I56" s="24" t="s">
        <v>21</v>
      </c>
      <c r="J56" s="25">
        <v>25.993853999999999</v>
      </c>
      <c r="K56" s="26">
        <v>25.993853999999999</v>
      </c>
      <c r="M56" s="225">
        <f t="shared" si="1"/>
        <v>45638</v>
      </c>
      <c r="N56" s="1319">
        <f t="shared" si="2"/>
        <v>524.08000000000004</v>
      </c>
      <c r="O56" s="1319">
        <f t="shared" si="3"/>
        <v>524.08000000000004</v>
      </c>
      <c r="P56" s="1319">
        <f t="shared" si="4"/>
        <v>524.08000000000004</v>
      </c>
      <c r="Q56" s="35">
        <v>42398</v>
      </c>
      <c r="R56" s="36">
        <v>1.9400000000000001E-2</v>
      </c>
      <c r="S56" s="37">
        <v>1.3300000000000001E-2</v>
      </c>
      <c r="V56" t="s">
        <v>391</v>
      </c>
      <c r="W56">
        <v>97.75</v>
      </c>
      <c r="Z56" s="843">
        <v>42887</v>
      </c>
      <c r="AA56" s="841">
        <v>4.4900000000000002E-2</v>
      </c>
      <c r="AF56" s="225">
        <v>44196</v>
      </c>
      <c r="AG56" s="308">
        <v>3.4799999999999998E-2</v>
      </c>
      <c r="AH56" t="s">
        <v>463</v>
      </c>
      <c r="AI56">
        <v>2021</v>
      </c>
      <c r="AJ56" t="s">
        <v>457</v>
      </c>
      <c r="AK56" t="s">
        <v>458</v>
      </c>
      <c r="AL56" t="s">
        <v>464</v>
      </c>
      <c r="AM56" t="s">
        <v>465</v>
      </c>
      <c r="AN56" s="225">
        <v>43435</v>
      </c>
      <c r="AO56" s="923" t="s">
        <v>502</v>
      </c>
      <c r="AP56" s="924">
        <v>2.3700000000000002E-2</v>
      </c>
    </row>
    <row r="57" spans="1:42" x14ac:dyDescent="0.2">
      <c r="A57" s="1"/>
      <c r="B57" s="13">
        <v>45632</v>
      </c>
      <c r="C57" s="14">
        <v>515.92999999999995</v>
      </c>
      <c r="D57" s="15">
        <v>349999</v>
      </c>
      <c r="E57" s="14">
        <v>524.94000000000005</v>
      </c>
      <c r="F57" s="14">
        <v>532.87</v>
      </c>
      <c r="G57" s="16">
        <v>510.4</v>
      </c>
      <c r="H57" s="69">
        <f t="shared" si="0"/>
        <v>-1.7413849815220983E-3</v>
      </c>
      <c r="I57" s="24" t="s">
        <v>22</v>
      </c>
      <c r="J57" s="25">
        <v>26.002063</v>
      </c>
      <c r="K57" s="26">
        <v>26.002063</v>
      </c>
      <c r="M57" s="225">
        <f t="shared" si="1"/>
        <v>45637</v>
      </c>
      <c r="N57" s="1319">
        <f t="shared" si="2"/>
        <v>521.47</v>
      </c>
      <c r="O57" s="1319">
        <f t="shared" si="3"/>
        <v>521.47</v>
      </c>
      <c r="P57" s="1319">
        <f t="shared" si="4"/>
        <v>521.47</v>
      </c>
      <c r="Q57" s="35">
        <v>42401</v>
      </c>
      <c r="R57" s="36">
        <v>1.9699999999999999E-2</v>
      </c>
      <c r="S57" s="37">
        <v>1.38E-2</v>
      </c>
      <c r="V57" t="s">
        <v>392</v>
      </c>
      <c r="W57">
        <v>30.064</v>
      </c>
      <c r="Z57" s="843">
        <v>42917</v>
      </c>
      <c r="AA57" s="841">
        <v>4.6199999999999998E-2</v>
      </c>
      <c r="AF57" s="225">
        <v>44561</v>
      </c>
      <c r="AG57" s="308">
        <v>3.5499999999999997E-2</v>
      </c>
      <c r="AH57" t="s">
        <v>463</v>
      </c>
      <c r="AI57">
        <v>2021</v>
      </c>
      <c r="AJ57" t="s">
        <v>457</v>
      </c>
      <c r="AK57" t="s">
        <v>458</v>
      </c>
      <c r="AL57" t="s">
        <v>464</v>
      </c>
      <c r="AN57" s="225">
        <v>43466</v>
      </c>
      <c r="AO57" s="923" t="s">
        <v>279</v>
      </c>
      <c r="AP57" s="924">
        <v>2.3700000000000002E-2</v>
      </c>
    </row>
    <row r="58" spans="1:42" x14ac:dyDescent="0.2">
      <c r="A58" s="1"/>
      <c r="B58" s="13">
        <v>45631</v>
      </c>
      <c r="C58" s="14">
        <v>516.83000000000004</v>
      </c>
      <c r="D58" s="15">
        <v>314377</v>
      </c>
      <c r="E58" s="14">
        <v>550.75</v>
      </c>
      <c r="F58" s="14">
        <v>550.75</v>
      </c>
      <c r="G58" s="16">
        <v>516.12</v>
      </c>
      <c r="H58" s="69">
        <f t="shared" si="0"/>
        <v>-4.7072055461317208E-2</v>
      </c>
      <c r="I58" s="24" t="s">
        <v>23</v>
      </c>
      <c r="J58" s="25">
        <v>26.237801000000001</v>
      </c>
      <c r="K58" s="26">
        <v>26.144682</v>
      </c>
      <c r="M58" s="225">
        <f t="shared" si="1"/>
        <v>45636</v>
      </c>
      <c r="N58" s="1319">
        <f t="shared" si="2"/>
        <v>522.97</v>
      </c>
      <c r="O58" s="1319">
        <f t="shared" si="3"/>
        <v>522.97</v>
      </c>
      <c r="P58" s="1319">
        <f t="shared" si="4"/>
        <v>522.97</v>
      </c>
      <c r="Q58" s="35">
        <v>42402</v>
      </c>
      <c r="R58" s="36">
        <v>1.8700000000000001E-2</v>
      </c>
      <c r="S58" s="37">
        <v>1.2800000000000001E-2</v>
      </c>
      <c r="V58" t="s">
        <v>393</v>
      </c>
      <c r="W58">
        <v>56.466000000000001</v>
      </c>
      <c r="Z58" s="843">
        <v>42948</v>
      </c>
      <c r="AA58" s="841">
        <v>4.5400000000000003E-2</v>
      </c>
      <c r="AF58" s="225">
        <v>44561</v>
      </c>
      <c r="AG58" s="308">
        <v>3.5999999999999997E-2</v>
      </c>
      <c r="AH58" t="s">
        <v>466</v>
      </c>
      <c r="AI58">
        <v>2022</v>
      </c>
      <c r="AJ58" t="s">
        <v>457</v>
      </c>
      <c r="AK58" t="s">
        <v>458</v>
      </c>
      <c r="AL58" t="s">
        <v>467</v>
      </c>
      <c r="AM58" t="s">
        <v>468</v>
      </c>
      <c r="AN58" s="225">
        <v>43497</v>
      </c>
      <c r="AO58" s="923" t="s">
        <v>503</v>
      </c>
      <c r="AP58" s="924">
        <v>2.3900000000000001E-2</v>
      </c>
    </row>
    <row r="59" spans="1:42" x14ac:dyDescent="0.2">
      <c r="A59" s="1"/>
      <c r="B59" s="13">
        <v>45630</v>
      </c>
      <c r="C59" s="14">
        <v>542.36</v>
      </c>
      <c r="D59" s="15">
        <v>382970</v>
      </c>
      <c r="E59" s="14">
        <v>544.21</v>
      </c>
      <c r="F59" s="14">
        <v>551.78499999999997</v>
      </c>
      <c r="G59" s="16">
        <v>530.41999999999996</v>
      </c>
      <c r="H59" s="69">
        <f t="shared" si="0"/>
        <v>-1.0237786740150079E-2</v>
      </c>
      <c r="I59" s="24"/>
      <c r="J59" s="27">
        <f>J58</f>
        <v>26.237801000000001</v>
      </c>
      <c r="K59" s="28">
        <f>K58</f>
        <v>26.144682</v>
      </c>
      <c r="M59" s="225">
        <f t="shared" si="1"/>
        <v>45635</v>
      </c>
      <c r="N59" s="1319">
        <f t="shared" si="2"/>
        <v>516.17999999999995</v>
      </c>
      <c r="O59" s="1319">
        <f t="shared" si="3"/>
        <v>516.17999999999995</v>
      </c>
      <c r="P59" s="1319">
        <f t="shared" si="4"/>
        <v>516.17999999999995</v>
      </c>
      <c r="Q59" s="35">
        <v>42403</v>
      </c>
      <c r="R59" s="36">
        <v>1.8799999999999997E-2</v>
      </c>
      <c r="S59" s="37">
        <v>1.2699999999999999E-2</v>
      </c>
      <c r="V59" t="s">
        <v>394</v>
      </c>
      <c r="W59">
        <v>68.834999999999994</v>
      </c>
      <c r="Z59" s="843">
        <v>42979</v>
      </c>
      <c r="AA59" s="841">
        <v>4.5999999999999999E-2</v>
      </c>
      <c r="AF59" s="225">
        <v>44926</v>
      </c>
      <c r="AG59" s="308">
        <v>3.6999999999999998E-2</v>
      </c>
      <c r="AH59" t="s">
        <v>466</v>
      </c>
      <c r="AI59">
        <v>2022</v>
      </c>
      <c r="AJ59" t="s">
        <v>457</v>
      </c>
      <c r="AK59" t="s">
        <v>458</v>
      </c>
      <c r="AL59" t="s">
        <v>467</v>
      </c>
      <c r="AN59" s="225">
        <v>43525</v>
      </c>
      <c r="AO59" s="923" t="s">
        <v>504</v>
      </c>
      <c r="AP59" s="924">
        <v>2.4E-2</v>
      </c>
    </row>
    <row r="60" spans="1:42" x14ac:dyDescent="0.2">
      <c r="A60" s="1"/>
      <c r="B60" s="13">
        <v>45629</v>
      </c>
      <c r="C60" s="14">
        <v>547.97</v>
      </c>
      <c r="D60" s="15">
        <v>470621</v>
      </c>
      <c r="E60" s="14">
        <v>540.80999999999995</v>
      </c>
      <c r="F60" s="14">
        <v>553</v>
      </c>
      <c r="G60" s="16">
        <v>536.92999999999995</v>
      </c>
      <c r="H60" s="69">
        <f t="shared" si="0"/>
        <v>-1.7517122673647134E-2</v>
      </c>
      <c r="I60" s="24" t="s">
        <v>24</v>
      </c>
      <c r="J60" s="25">
        <v>26.238803999999998</v>
      </c>
      <c r="K60" s="26">
        <v>26.238803999999998</v>
      </c>
      <c r="M60" s="225">
        <f t="shared" si="1"/>
        <v>45632</v>
      </c>
      <c r="N60" s="1319">
        <f t="shared" si="2"/>
        <v>515.92999999999995</v>
      </c>
      <c r="O60" s="1319">
        <f t="shared" si="3"/>
        <v>515.92999999999995</v>
      </c>
      <c r="P60" s="1319">
        <f t="shared" si="4"/>
        <v>515.92999999999995</v>
      </c>
      <c r="Q60" s="35">
        <v>42404</v>
      </c>
      <c r="R60" s="36">
        <v>1.8700000000000001E-2</v>
      </c>
      <c r="S60" s="37">
        <v>1.2500000000000001E-2</v>
      </c>
      <c r="V60" t="s">
        <v>395</v>
      </c>
      <c r="W60">
        <v>86.498999999999995</v>
      </c>
      <c r="Z60" s="843">
        <v>43009</v>
      </c>
      <c r="AA60" s="841">
        <v>4.6300000000000001E-2</v>
      </c>
      <c r="AF60" s="225">
        <v>44926</v>
      </c>
      <c r="AG60" s="308">
        <v>3.6999999999999998E-2</v>
      </c>
      <c r="AH60" t="s">
        <v>469</v>
      </c>
      <c r="AI60">
        <v>2023</v>
      </c>
      <c r="AJ60" t="s">
        <v>457</v>
      </c>
      <c r="AK60" t="s">
        <v>458</v>
      </c>
      <c r="AL60" t="s">
        <v>470</v>
      </c>
      <c r="AM60" t="s">
        <v>471</v>
      </c>
      <c r="AN60" s="225">
        <v>43556</v>
      </c>
      <c r="AO60" s="923" t="s">
        <v>280</v>
      </c>
      <c r="AP60" s="924">
        <v>2.3799999999999998E-2</v>
      </c>
    </row>
    <row r="61" spans="1:42" x14ac:dyDescent="0.2">
      <c r="A61" s="1"/>
      <c r="B61" s="13">
        <v>45628</v>
      </c>
      <c r="C61" s="14">
        <v>557.74</v>
      </c>
      <c r="D61" s="15">
        <v>188748</v>
      </c>
      <c r="E61" s="14">
        <v>581.12</v>
      </c>
      <c r="F61" s="14">
        <v>581.12</v>
      </c>
      <c r="G61" s="16">
        <v>551.94010000000003</v>
      </c>
      <c r="H61" s="69">
        <f t="shared" si="0"/>
        <v>-1.9926899557180078E-2</v>
      </c>
      <c r="I61" s="24" t="s">
        <v>25</v>
      </c>
      <c r="J61" s="25">
        <v>26.239668000000002</v>
      </c>
      <c r="K61" s="26">
        <v>26.239668000000002</v>
      </c>
      <c r="M61" s="225">
        <f t="shared" si="1"/>
        <v>45631</v>
      </c>
      <c r="N61" s="1319">
        <f t="shared" si="2"/>
        <v>516.83000000000004</v>
      </c>
      <c r="O61" s="1319">
        <f t="shared" si="3"/>
        <v>516.83000000000004</v>
      </c>
      <c r="P61" s="1319">
        <f t="shared" si="4"/>
        <v>516.83000000000004</v>
      </c>
      <c r="Q61" s="35">
        <v>42405</v>
      </c>
      <c r="R61" s="36">
        <v>1.8600000000000002E-2</v>
      </c>
      <c r="S61" s="37">
        <v>1.2500000000000001E-2</v>
      </c>
      <c r="V61" t="s">
        <v>396</v>
      </c>
      <c r="W61">
        <v>53.994999999999997</v>
      </c>
      <c r="X61">
        <f>W61</f>
        <v>53.994999999999997</v>
      </c>
      <c r="Z61" s="843">
        <v>43040</v>
      </c>
      <c r="AA61" s="841">
        <v>4.5199999999999997E-2</v>
      </c>
      <c r="AF61" s="225">
        <v>45291</v>
      </c>
      <c r="AG61" s="308">
        <v>0.04</v>
      </c>
      <c r="AH61" t="s">
        <v>469</v>
      </c>
      <c r="AI61">
        <v>2023</v>
      </c>
      <c r="AJ61" t="s">
        <v>457</v>
      </c>
      <c r="AK61" t="s">
        <v>458</v>
      </c>
      <c r="AL61" t="s">
        <v>470</v>
      </c>
      <c r="AM61" t="s">
        <v>472</v>
      </c>
      <c r="AN61" s="225">
        <v>43586</v>
      </c>
      <c r="AO61" s="923" t="s">
        <v>448</v>
      </c>
      <c r="AP61" s="924">
        <v>2.35E-2</v>
      </c>
    </row>
    <row r="62" spans="1:42" x14ac:dyDescent="0.2">
      <c r="A62" s="1"/>
      <c r="B62" s="13">
        <v>45625</v>
      </c>
      <c r="C62" s="14">
        <v>569.08000000000004</v>
      </c>
      <c r="D62" s="15">
        <v>160650</v>
      </c>
      <c r="E62" s="14">
        <v>577.38</v>
      </c>
      <c r="F62" s="14">
        <v>587.86500000000001</v>
      </c>
      <c r="G62" s="16">
        <v>568.21</v>
      </c>
      <c r="H62" s="69">
        <f t="shared" si="0"/>
        <v>8.327722456501041E-3</v>
      </c>
      <c r="I62" s="24" t="s">
        <v>26</v>
      </c>
      <c r="J62" s="25">
        <v>26.241150999999999</v>
      </c>
      <c r="K62" s="26">
        <v>26.241150999999999</v>
      </c>
      <c r="M62" s="225">
        <f t="shared" si="1"/>
        <v>45630</v>
      </c>
      <c r="N62" s="1319">
        <f t="shared" si="2"/>
        <v>542.36</v>
      </c>
      <c r="O62" s="1319">
        <f t="shared" si="3"/>
        <v>542.36</v>
      </c>
      <c r="P62" s="1319">
        <f t="shared" si="4"/>
        <v>542.36</v>
      </c>
      <c r="Q62" s="35">
        <v>42408</v>
      </c>
      <c r="R62" s="36">
        <v>1.7500000000000002E-2</v>
      </c>
      <c r="S62" s="37">
        <v>1.1599999999999999E-2</v>
      </c>
      <c r="V62" t="s">
        <v>397</v>
      </c>
      <c r="W62">
        <v>102.14</v>
      </c>
      <c r="X62">
        <f>W62-X61</f>
        <v>48.145000000000003</v>
      </c>
      <c r="Z62" s="843">
        <v>43070</v>
      </c>
      <c r="AA62" s="841">
        <v>4.3799999999999999E-2</v>
      </c>
      <c r="AN62" s="225">
        <v>43617</v>
      </c>
      <c r="AO62" s="923" t="s">
        <v>505</v>
      </c>
      <c r="AP62" s="924">
        <v>2.1700000000000001E-2</v>
      </c>
    </row>
    <row r="63" spans="1:42" x14ac:dyDescent="0.2">
      <c r="A63" s="1"/>
      <c r="B63" s="13">
        <v>45623</v>
      </c>
      <c r="C63" s="14">
        <v>564.38</v>
      </c>
      <c r="D63" s="15">
        <v>421151</v>
      </c>
      <c r="E63" s="14">
        <v>566.15</v>
      </c>
      <c r="F63" s="14">
        <v>578.27</v>
      </c>
      <c r="G63" s="16">
        <v>554.54999999999995</v>
      </c>
      <c r="H63" s="69">
        <f t="shared" si="0"/>
        <v>-2.7917167290975042E-3</v>
      </c>
      <c r="I63" s="24" t="s">
        <v>27</v>
      </c>
      <c r="J63" s="25">
        <v>26.307303999999998</v>
      </c>
      <c r="K63" s="26">
        <v>26.241962000000001</v>
      </c>
      <c r="M63" s="225">
        <f t="shared" si="1"/>
        <v>45629</v>
      </c>
      <c r="N63" s="1319">
        <f t="shared" si="2"/>
        <v>547.97</v>
      </c>
      <c r="O63" s="1319">
        <f t="shared" si="3"/>
        <v>547.97</v>
      </c>
      <c r="P63" s="1319">
        <f t="shared" si="4"/>
        <v>547.97</v>
      </c>
      <c r="Q63" s="35">
        <v>42409</v>
      </c>
      <c r="R63" s="36">
        <v>1.7399999999999999E-2</v>
      </c>
      <c r="S63" s="37">
        <v>1.15E-2</v>
      </c>
      <c r="V63" t="s">
        <v>398</v>
      </c>
      <c r="W63">
        <v>108.871</v>
      </c>
      <c r="X63">
        <f>W63-X62-X61</f>
        <v>6.7309999999999945</v>
      </c>
      <c r="Z63" s="843">
        <v>43101</v>
      </c>
      <c r="AA63" s="841">
        <v>4.7500000000000001E-2</v>
      </c>
      <c r="AN63" s="225">
        <v>43647</v>
      </c>
      <c r="AO63" s="923" t="s">
        <v>281</v>
      </c>
      <c r="AP63" s="924">
        <v>2.1000000000000001E-2</v>
      </c>
    </row>
    <row r="64" spans="1:42" x14ac:dyDescent="0.2">
      <c r="A64" s="1"/>
      <c r="B64" s="13">
        <v>45622</v>
      </c>
      <c r="C64" s="14">
        <v>565.96</v>
      </c>
      <c r="D64" s="15">
        <v>317347</v>
      </c>
      <c r="E64" s="14">
        <v>552.11</v>
      </c>
      <c r="F64" s="14">
        <v>568.30999999999995</v>
      </c>
      <c r="G64" s="16">
        <v>545</v>
      </c>
      <c r="H64" s="69">
        <f t="shared" si="0"/>
        <v>1.5593877294668657E-2</v>
      </c>
      <c r="I64" s="24"/>
      <c r="J64" s="27">
        <f>J63</f>
        <v>26.307303999999998</v>
      </c>
      <c r="K64" s="28">
        <f>K63</f>
        <v>26.241962000000001</v>
      </c>
      <c r="M64" s="225">
        <f t="shared" si="1"/>
        <v>45628</v>
      </c>
      <c r="N64" s="1319">
        <f t="shared" si="2"/>
        <v>557.74</v>
      </c>
      <c r="O64" s="1319">
        <f t="shared" si="3"/>
        <v>557.74</v>
      </c>
      <c r="P64" s="1319">
        <f t="shared" si="4"/>
        <v>557.74</v>
      </c>
      <c r="Q64" s="35">
        <v>42410</v>
      </c>
      <c r="R64" s="36">
        <v>1.7100000000000001E-2</v>
      </c>
      <c r="S64" s="37">
        <v>1.15E-2</v>
      </c>
      <c r="V64" t="s">
        <v>399</v>
      </c>
      <c r="W64">
        <v>119.36499999999999</v>
      </c>
      <c r="X64">
        <f>W64-X63-X62-X61</f>
        <v>10.494000000000007</v>
      </c>
      <c r="Z64" s="843">
        <v>43132</v>
      </c>
      <c r="AA64" s="841">
        <v>4.3700000000000003E-2</v>
      </c>
      <c r="AF64" s="6" t="s">
        <v>477</v>
      </c>
      <c r="AN64" s="225">
        <v>43678</v>
      </c>
      <c r="AO64" s="923" t="s">
        <v>506</v>
      </c>
      <c r="AP64" s="924">
        <v>1.95E-2</v>
      </c>
    </row>
    <row r="65" spans="1:42" x14ac:dyDescent="0.2">
      <c r="A65" s="1"/>
      <c r="B65" s="13">
        <v>45621</v>
      </c>
      <c r="C65" s="14">
        <v>557.27</v>
      </c>
      <c r="D65" s="15">
        <v>308563</v>
      </c>
      <c r="E65" s="14">
        <v>548.87</v>
      </c>
      <c r="F65" s="14">
        <v>566.83000000000004</v>
      </c>
      <c r="G65" s="16">
        <v>544.24</v>
      </c>
      <c r="H65" s="69">
        <f t="shared" si="0"/>
        <v>2.8761837951595703E-2</v>
      </c>
      <c r="I65" s="24" t="s">
        <v>28</v>
      </c>
      <c r="J65" s="25">
        <v>26.328227999999999</v>
      </c>
      <c r="K65" s="26">
        <v>26.328227999999999</v>
      </c>
      <c r="M65" s="225">
        <f t="shared" si="1"/>
        <v>45625</v>
      </c>
      <c r="N65" s="1319">
        <f t="shared" si="2"/>
        <v>569.08000000000004</v>
      </c>
      <c r="O65" s="1319">
        <f t="shared" si="3"/>
        <v>569.08000000000004</v>
      </c>
      <c r="P65" s="1319">
        <f t="shared" si="4"/>
        <v>569.08000000000004</v>
      </c>
      <c r="Q65" s="35">
        <v>42411</v>
      </c>
      <c r="R65" s="36">
        <v>1.6299999999999999E-2</v>
      </c>
      <c r="S65" s="37">
        <v>1.11E-2</v>
      </c>
      <c r="X65">
        <f>SUM(X61:X64)</f>
        <v>119.36500000000001</v>
      </c>
      <c r="Z65" s="843">
        <v>43160</v>
      </c>
      <c r="AA65" s="841">
        <v>4.4900000000000002E-2</v>
      </c>
      <c r="AF65" s="860" t="s">
        <v>407</v>
      </c>
      <c r="AG65">
        <v>102.85899999999999</v>
      </c>
      <c r="AN65" s="225">
        <v>43709</v>
      </c>
      <c r="AO65" s="923" t="s">
        <v>507</v>
      </c>
      <c r="AP65" s="924">
        <v>1.89E-2</v>
      </c>
    </row>
    <row r="66" spans="1:42" x14ac:dyDescent="0.2">
      <c r="A66" s="1"/>
      <c r="B66" s="13">
        <v>45618</v>
      </c>
      <c r="C66" s="14">
        <v>541.69000000000005</v>
      </c>
      <c r="D66" s="15">
        <v>267464</v>
      </c>
      <c r="E66" s="14">
        <v>551.5</v>
      </c>
      <c r="F66" s="14">
        <v>553.95000000000005</v>
      </c>
      <c r="G66" s="16">
        <v>540.28</v>
      </c>
      <c r="H66" s="69">
        <f t="shared" si="0"/>
        <v>-1.3656475900872156E-2</v>
      </c>
      <c r="I66" s="24" t="s">
        <v>29</v>
      </c>
      <c r="J66" s="25">
        <v>26.328538999999999</v>
      </c>
      <c r="K66" s="26">
        <v>26.328538999999999</v>
      </c>
      <c r="M66" s="225">
        <f t="shared" si="1"/>
        <v>45623</v>
      </c>
      <c r="N66" s="1319">
        <f t="shared" si="2"/>
        <v>564.38</v>
      </c>
      <c r="O66" s="1319">
        <f t="shared" si="3"/>
        <v>564.38</v>
      </c>
      <c r="P66" s="1319">
        <f t="shared" si="4"/>
        <v>564.38</v>
      </c>
      <c r="Q66" s="35">
        <v>42412</v>
      </c>
      <c r="R66" s="36">
        <v>1.7399999999999999E-2</v>
      </c>
      <c r="S66" s="37">
        <v>1.2E-2</v>
      </c>
      <c r="V66" t="s">
        <v>400</v>
      </c>
      <c r="W66">
        <v>88.388000000000005</v>
      </c>
      <c r="X66">
        <f>W66</f>
        <v>88.388000000000005</v>
      </c>
      <c r="Z66" s="843">
        <v>43191</v>
      </c>
      <c r="AA66" s="841">
        <v>4.9500000000000002E-2</v>
      </c>
      <c r="AF66" s="860" t="s">
        <v>408</v>
      </c>
      <c r="AG66">
        <v>98.27</v>
      </c>
      <c r="AN66" s="225">
        <v>43739</v>
      </c>
      <c r="AO66" s="923" t="s">
        <v>282</v>
      </c>
      <c r="AP66" s="924">
        <v>1.6500000000000001E-2</v>
      </c>
    </row>
    <row r="67" spans="1:42" x14ac:dyDescent="0.2">
      <c r="A67" s="1"/>
      <c r="B67" s="13">
        <v>45617</v>
      </c>
      <c r="C67" s="14">
        <v>549.19000000000005</v>
      </c>
      <c r="D67" s="15">
        <v>588457</v>
      </c>
      <c r="E67" s="14">
        <v>537.77</v>
      </c>
      <c r="F67" s="14">
        <v>560.82000000000005</v>
      </c>
      <c r="G67" s="16">
        <v>537.77</v>
      </c>
      <c r="H67" s="69">
        <f t="shared" si="0"/>
        <v>3.6207547169811338E-2</v>
      </c>
      <c r="I67" s="24" t="s">
        <v>30</v>
      </c>
      <c r="J67" s="25">
        <v>26.391884999999998</v>
      </c>
      <c r="K67" s="26">
        <v>26.391884999999998</v>
      </c>
      <c r="M67" s="225">
        <f t="shared" si="1"/>
        <v>45622</v>
      </c>
      <c r="N67" s="1319">
        <f t="shared" si="2"/>
        <v>565.96</v>
      </c>
      <c r="O67" s="1319">
        <f t="shared" si="3"/>
        <v>565.96</v>
      </c>
      <c r="P67" s="1319">
        <f t="shared" si="4"/>
        <v>565.96</v>
      </c>
      <c r="Q67" s="35">
        <v>42416</v>
      </c>
      <c r="R67" s="36">
        <v>1.78E-2</v>
      </c>
      <c r="S67" s="37">
        <v>1.23E-2</v>
      </c>
      <c r="V67" t="s">
        <v>401</v>
      </c>
      <c r="W67">
        <v>127.33</v>
      </c>
      <c r="X67">
        <f>W67-X66</f>
        <v>38.941999999999993</v>
      </c>
      <c r="Z67" s="843">
        <v>43221</v>
      </c>
      <c r="AA67" s="841">
        <v>4.8500000000000001E-2</v>
      </c>
      <c r="AF67" s="860" t="s">
        <v>409</v>
      </c>
      <c r="AG67">
        <v>98.881</v>
      </c>
      <c r="AN67" s="225">
        <v>43770</v>
      </c>
      <c r="AO67" s="923" t="s">
        <v>508</v>
      </c>
      <c r="AP67" s="924">
        <v>1.54E-2</v>
      </c>
    </row>
    <row r="68" spans="1:42" x14ac:dyDescent="0.2">
      <c r="A68" s="1"/>
      <c r="B68" s="13">
        <v>45616</v>
      </c>
      <c r="C68" s="14">
        <v>530</v>
      </c>
      <c r="D68" s="15">
        <v>271563</v>
      </c>
      <c r="E68" s="14">
        <v>512.13</v>
      </c>
      <c r="F68" s="14">
        <v>532.76</v>
      </c>
      <c r="G68" s="16">
        <v>511.72500000000002</v>
      </c>
      <c r="H68" s="69">
        <f t="shared" si="0"/>
        <v>2.7370706365821507E-2</v>
      </c>
      <c r="I68" s="24" t="s">
        <v>31</v>
      </c>
      <c r="J68" s="25">
        <v>26.459662999999999</v>
      </c>
      <c r="K68" s="26">
        <v>26.394214999999999</v>
      </c>
      <c r="M68" s="225">
        <f t="shared" si="1"/>
        <v>45621</v>
      </c>
      <c r="N68" s="1319">
        <f t="shared" si="2"/>
        <v>557.27</v>
      </c>
      <c r="O68" s="1319">
        <f t="shared" si="3"/>
        <v>557.27</v>
      </c>
      <c r="P68" s="1319">
        <f t="shared" si="4"/>
        <v>557.27</v>
      </c>
      <c r="Q68" s="35">
        <v>42417</v>
      </c>
      <c r="R68" s="36">
        <v>1.8100000000000002E-2</v>
      </c>
      <c r="S68" s="37">
        <v>1.26E-2</v>
      </c>
      <c r="V68" t="s">
        <v>402</v>
      </c>
      <c r="W68">
        <v>155.67599999999999</v>
      </c>
      <c r="X68">
        <f>W68-X67-X66</f>
        <v>28.345999999999989</v>
      </c>
      <c r="Z68" s="843">
        <v>43252</v>
      </c>
      <c r="AA68" s="841">
        <v>4.7800000000000002E-2</v>
      </c>
      <c r="AF68" s="860" t="s">
        <v>410</v>
      </c>
      <c r="AG68">
        <v>95.26</v>
      </c>
      <c r="AN68" s="225">
        <v>43800</v>
      </c>
      <c r="AO68" s="923" t="s">
        <v>509</v>
      </c>
      <c r="AP68" s="924">
        <v>1.54E-2</v>
      </c>
    </row>
    <row r="69" spans="1:42" x14ac:dyDescent="0.2">
      <c r="A69" s="1"/>
      <c r="B69" s="13">
        <v>45615</v>
      </c>
      <c r="C69" s="14">
        <v>515.88</v>
      </c>
      <c r="D69" s="15">
        <v>186952</v>
      </c>
      <c r="E69" s="14">
        <v>514.57000000000005</v>
      </c>
      <c r="F69" s="14">
        <v>519.58500000000004</v>
      </c>
      <c r="G69" s="16">
        <v>512.02099999999996</v>
      </c>
      <c r="H69" s="69">
        <f t="shared" si="0"/>
        <v>-4.419399038925409E-3</v>
      </c>
      <c r="I69" s="24"/>
      <c r="J69" s="27">
        <f>J68</f>
        <v>26.459662999999999</v>
      </c>
      <c r="K69" s="28">
        <f>K68</f>
        <v>26.394214999999999</v>
      </c>
      <c r="M69" s="225">
        <f t="shared" si="1"/>
        <v>45618</v>
      </c>
      <c r="N69" s="1319">
        <f t="shared" si="2"/>
        <v>541.69000000000005</v>
      </c>
      <c r="O69" s="1319">
        <f t="shared" si="3"/>
        <v>541.69000000000005</v>
      </c>
      <c r="P69" s="1319">
        <f t="shared" si="4"/>
        <v>541.69000000000005</v>
      </c>
      <c r="Q69" s="35">
        <v>42418</v>
      </c>
      <c r="R69" s="36">
        <v>1.7500000000000002E-2</v>
      </c>
      <c r="S69" s="37">
        <v>1.21E-2</v>
      </c>
      <c r="V69" t="s">
        <v>403</v>
      </c>
      <c r="W69">
        <v>186.696</v>
      </c>
      <c r="X69">
        <f>W69-X68-X67-X66</f>
        <v>31.020000000000024</v>
      </c>
      <c r="Z69" s="843">
        <v>43282</v>
      </c>
      <c r="AA69" s="841">
        <v>4.99E-2</v>
      </c>
      <c r="AF69" s="860" t="str">
        <f>AF70</f>
        <v>2019-12-31</v>
      </c>
      <c r="AG69">
        <f>AG70</f>
        <v>90.501000000000005</v>
      </c>
      <c r="AN69" s="225">
        <v>43831</v>
      </c>
      <c r="AO69" s="923" t="s">
        <v>283</v>
      </c>
      <c r="AP69" s="924">
        <v>1.52E-2</v>
      </c>
    </row>
    <row r="70" spans="1:42" x14ac:dyDescent="0.2">
      <c r="A70" s="1"/>
      <c r="B70" s="13">
        <v>45614</v>
      </c>
      <c r="C70" s="14">
        <v>518.16999999999996</v>
      </c>
      <c r="D70" s="15">
        <v>253399</v>
      </c>
      <c r="E70" s="14">
        <v>522.55999999999995</v>
      </c>
      <c r="F70" s="14">
        <v>530</v>
      </c>
      <c r="G70" s="16">
        <v>516.27</v>
      </c>
      <c r="H70" s="69">
        <f t="shared" si="0"/>
        <v>-8.0402779638953925E-3</v>
      </c>
      <c r="I70" s="24" t="s">
        <v>32</v>
      </c>
      <c r="J70" s="25">
        <v>26.461966</v>
      </c>
      <c r="K70" s="26">
        <v>26.461966</v>
      </c>
      <c r="M70" s="225">
        <f t="shared" si="1"/>
        <v>45617</v>
      </c>
      <c r="N70" s="1319">
        <f t="shared" si="2"/>
        <v>549.19000000000005</v>
      </c>
      <c r="O70" s="1319">
        <f t="shared" si="3"/>
        <v>549.19000000000005</v>
      </c>
      <c r="P70" s="1319">
        <f t="shared" si="4"/>
        <v>549.19000000000005</v>
      </c>
      <c r="Q70" s="35">
        <v>42419</v>
      </c>
      <c r="R70" s="36">
        <v>1.7600000000000001E-2</v>
      </c>
      <c r="S70" s="37">
        <v>1.24E-2</v>
      </c>
      <c r="X70">
        <f>SUM(X66:X69)</f>
        <v>186.69600000000003</v>
      </c>
      <c r="Z70" s="843">
        <v>43313</v>
      </c>
      <c r="AA70" s="841">
        <v>4.7800000000000002E-2</v>
      </c>
      <c r="AF70" s="860" t="s">
        <v>411</v>
      </c>
      <c r="AG70">
        <v>90.501000000000005</v>
      </c>
      <c r="AN70" s="225">
        <v>43862</v>
      </c>
      <c r="AO70" s="923" t="s">
        <v>510</v>
      </c>
      <c r="AP70" s="924">
        <v>1.52E-2</v>
      </c>
    </row>
    <row r="71" spans="1:42" x14ac:dyDescent="0.2">
      <c r="A71" s="1"/>
      <c r="B71" s="13">
        <v>45611</v>
      </c>
      <c r="C71" s="14">
        <v>522.37</v>
      </c>
      <c r="D71" s="15">
        <v>337176</v>
      </c>
      <c r="E71" s="14">
        <v>536.03</v>
      </c>
      <c r="F71" s="14">
        <v>540</v>
      </c>
      <c r="G71" s="16">
        <v>519.57000000000005</v>
      </c>
      <c r="H71" s="69">
        <f t="shared" si="0"/>
        <v>-3.6786399173919571E-2</v>
      </c>
      <c r="I71" s="24" t="s">
        <v>33</v>
      </c>
      <c r="J71" s="25">
        <v>26.464939999999999</v>
      </c>
      <c r="K71" s="26">
        <v>26.464939999999999</v>
      </c>
      <c r="M71" s="225">
        <f t="shared" si="1"/>
        <v>45616</v>
      </c>
      <c r="N71" s="1319">
        <f t="shared" si="2"/>
        <v>530</v>
      </c>
      <c r="O71" s="1319">
        <f t="shared" si="3"/>
        <v>530</v>
      </c>
      <c r="P71" s="1319">
        <f t="shared" si="4"/>
        <v>530</v>
      </c>
      <c r="Q71" s="35">
        <v>42422</v>
      </c>
      <c r="R71" s="36">
        <v>1.77E-2</v>
      </c>
      <c r="S71" s="37">
        <v>1.2500000000000001E-2</v>
      </c>
      <c r="V71" t="s">
        <v>404</v>
      </c>
      <c r="W71">
        <v>46.881</v>
      </c>
      <c r="X71">
        <f>W71</f>
        <v>46.881</v>
      </c>
      <c r="Z71" s="843">
        <v>43344</v>
      </c>
      <c r="AA71" s="841">
        <v>4.6800000000000001E-2</v>
      </c>
      <c r="AF71" s="860" t="s">
        <v>412</v>
      </c>
      <c r="AG71">
        <v>85.697999999999993</v>
      </c>
      <c r="AN71" s="225">
        <v>43891</v>
      </c>
      <c r="AO71" s="923" t="s">
        <v>511</v>
      </c>
      <c r="AP71" s="924">
        <v>2.8999999999999998E-3</v>
      </c>
    </row>
    <row r="72" spans="1:42" x14ac:dyDescent="0.2">
      <c r="A72" s="1"/>
      <c r="B72" s="13">
        <v>45610</v>
      </c>
      <c r="C72" s="14">
        <v>542.32000000000005</v>
      </c>
      <c r="D72" s="15">
        <v>179596</v>
      </c>
      <c r="E72" s="14">
        <v>539.35</v>
      </c>
      <c r="F72" s="14">
        <v>547.16</v>
      </c>
      <c r="G72" s="16">
        <v>534.95000000000005</v>
      </c>
      <c r="H72" s="69">
        <f t="shared" si="0"/>
        <v>9.5309009679820367E-3</v>
      </c>
      <c r="I72" s="24" t="s">
        <v>34</v>
      </c>
      <c r="J72" s="25">
        <v>26.478255000000001</v>
      </c>
      <c r="K72" s="26">
        <v>26.478255000000001</v>
      </c>
      <c r="M72" s="225">
        <f t="shared" si="1"/>
        <v>45615</v>
      </c>
      <c r="N72" s="1319">
        <f t="shared" si="2"/>
        <v>515.88</v>
      </c>
      <c r="O72" s="1319">
        <f t="shared" si="3"/>
        <v>515.88</v>
      </c>
      <c r="P72" s="1319">
        <f t="shared" si="4"/>
        <v>515.88</v>
      </c>
      <c r="Q72" s="35">
        <v>42423</v>
      </c>
      <c r="R72" s="36">
        <v>1.7399999999999999E-2</v>
      </c>
      <c r="S72" s="37">
        <v>1.23E-2</v>
      </c>
      <c r="V72" t="s">
        <v>405</v>
      </c>
      <c r="W72">
        <v>118.57299999999999</v>
      </c>
      <c r="X72">
        <f>W72-X71</f>
        <v>71.691999999999993</v>
      </c>
      <c r="Z72" s="843">
        <v>43374</v>
      </c>
      <c r="AA72" s="841">
        <v>4.99E-2</v>
      </c>
      <c r="AF72" s="860" t="s">
        <v>413</v>
      </c>
      <c r="AG72">
        <v>80.838999999999999</v>
      </c>
      <c r="AN72" s="225">
        <v>43922</v>
      </c>
      <c r="AO72" s="923" t="s">
        <v>284</v>
      </c>
      <c r="AP72" s="924">
        <v>1.4000000000000002E-3</v>
      </c>
    </row>
    <row r="73" spans="1:42" x14ac:dyDescent="0.2">
      <c r="A73" s="1"/>
      <c r="B73" s="13">
        <v>45609</v>
      </c>
      <c r="C73" s="14">
        <v>537.20000000000005</v>
      </c>
      <c r="D73" s="15">
        <v>234248</v>
      </c>
      <c r="E73" s="14">
        <v>547.75</v>
      </c>
      <c r="F73" s="14">
        <v>548.13</v>
      </c>
      <c r="G73" s="16">
        <v>536.45000000000005</v>
      </c>
      <c r="H73" s="69">
        <f t="shared" si="0"/>
        <v>-1.5630439961152875E-2</v>
      </c>
      <c r="I73" s="24" t="s">
        <v>35</v>
      </c>
      <c r="J73" s="25">
        <v>26.517495</v>
      </c>
      <c r="K73" s="26">
        <v>26.479700000000001</v>
      </c>
      <c r="M73" s="225">
        <f t="shared" si="1"/>
        <v>45614</v>
      </c>
      <c r="N73" s="1319">
        <f t="shared" si="2"/>
        <v>518.16999999999996</v>
      </c>
      <c r="O73" s="1319">
        <f t="shared" si="3"/>
        <v>518.16999999999996</v>
      </c>
      <c r="P73" s="1319">
        <f t="shared" si="4"/>
        <v>518.16999999999996</v>
      </c>
      <c r="Q73" s="35">
        <v>42424</v>
      </c>
      <c r="R73" s="36">
        <v>1.7500000000000002E-2</v>
      </c>
      <c r="S73" s="37">
        <v>1.21E-2</v>
      </c>
      <c r="V73" t="s">
        <v>406</v>
      </c>
      <c r="W73">
        <v>155.21700000000001</v>
      </c>
      <c r="X73">
        <f>W73-X72-X71</f>
        <v>36.64400000000002</v>
      </c>
      <c r="Z73" s="843">
        <v>43405</v>
      </c>
      <c r="AA73" s="841">
        <v>5.3199999999999997E-2</v>
      </c>
      <c r="AF73" s="860" t="s">
        <v>414</v>
      </c>
      <c r="AG73">
        <v>75.921000000000006</v>
      </c>
      <c r="AN73" s="225">
        <v>43952</v>
      </c>
      <c r="AO73" s="923" t="s">
        <v>512</v>
      </c>
      <c r="AP73" s="924">
        <v>1.2999999999999999E-3</v>
      </c>
    </row>
    <row r="74" spans="1:42" x14ac:dyDescent="0.2">
      <c r="A74" s="1"/>
      <c r="B74" s="13">
        <v>45608</v>
      </c>
      <c r="C74" s="14">
        <v>545.73</v>
      </c>
      <c r="D74" s="15">
        <v>281894</v>
      </c>
      <c r="E74" s="14">
        <v>556.51</v>
      </c>
      <c r="F74" s="14">
        <v>558.03499999999997</v>
      </c>
      <c r="G74" s="16">
        <v>539.46</v>
      </c>
      <c r="H74" s="69">
        <f t="shared" si="0"/>
        <v>-2.2164486651137794E-2</v>
      </c>
      <c r="I74" s="24"/>
      <c r="J74" s="27">
        <f>J73</f>
        <v>26.517495</v>
      </c>
      <c r="K74" s="28">
        <f>K73</f>
        <v>26.479700000000001</v>
      </c>
      <c r="M74" s="225">
        <f t="shared" si="1"/>
        <v>45611</v>
      </c>
      <c r="N74" s="1319">
        <f t="shared" si="2"/>
        <v>522.37</v>
      </c>
      <c r="O74" s="1319">
        <f t="shared" si="3"/>
        <v>522.37</v>
      </c>
      <c r="P74" s="1319">
        <f t="shared" si="4"/>
        <v>522.37</v>
      </c>
      <c r="Q74" s="35">
        <v>42425</v>
      </c>
      <c r="R74" s="36">
        <v>1.7100000000000001E-2</v>
      </c>
      <c r="S74" s="37">
        <v>1.1599999999999999E-2</v>
      </c>
      <c r="V74" t="s">
        <v>407</v>
      </c>
      <c r="W74">
        <v>223.672</v>
      </c>
      <c r="X74">
        <f>W74-X73-X72-X71</f>
        <v>68.45499999999997</v>
      </c>
      <c r="Z74" s="843">
        <v>43435</v>
      </c>
      <c r="AA74" s="841">
        <v>5.2900000000000003E-2</v>
      </c>
      <c r="AF74" s="860" t="str">
        <f>AF75</f>
        <v>2020-12-31</v>
      </c>
      <c r="AG74">
        <f>AG75</f>
        <v>70.975999999999999</v>
      </c>
      <c r="AN74" s="225">
        <v>43983</v>
      </c>
      <c r="AO74" s="923" t="s">
        <v>513</v>
      </c>
      <c r="AP74" s="924">
        <v>1.6000000000000001E-3</v>
      </c>
    </row>
    <row r="75" spans="1:42" x14ac:dyDescent="0.2">
      <c r="A75" s="1"/>
      <c r="B75" s="13">
        <v>45607</v>
      </c>
      <c r="C75" s="14">
        <v>558.1</v>
      </c>
      <c r="D75" s="15">
        <v>312154</v>
      </c>
      <c r="E75" s="14">
        <v>547.63</v>
      </c>
      <c r="F75" s="14">
        <v>569.65</v>
      </c>
      <c r="G75" s="16">
        <v>547.63</v>
      </c>
      <c r="H75" s="69">
        <f t="shared" si="0"/>
        <v>2.4243425278496655E-2</v>
      </c>
      <c r="I75" s="24" t="s">
        <v>36</v>
      </c>
      <c r="J75" s="25">
        <v>26.518750000000001</v>
      </c>
      <c r="K75" s="26">
        <v>26.518750000000001</v>
      </c>
      <c r="M75" s="225">
        <f t="shared" si="1"/>
        <v>45610</v>
      </c>
      <c r="N75" s="1319">
        <f t="shared" si="2"/>
        <v>542.32000000000005</v>
      </c>
      <c r="O75" s="1319">
        <f t="shared" si="3"/>
        <v>542.32000000000005</v>
      </c>
      <c r="P75" s="1319">
        <f t="shared" si="4"/>
        <v>542.32000000000005</v>
      </c>
      <c r="Q75" s="35">
        <v>42426</v>
      </c>
      <c r="R75" s="36">
        <v>1.7600000000000001E-2</v>
      </c>
      <c r="S75" s="37">
        <v>1.23E-2</v>
      </c>
      <c r="X75">
        <f>SUM(X71:X74)</f>
        <v>223.67199999999997</v>
      </c>
      <c r="Z75" s="843">
        <v>43466</v>
      </c>
      <c r="AA75" s="841">
        <v>5.5500000000000001E-2</v>
      </c>
      <c r="AF75" s="860" t="s">
        <v>415</v>
      </c>
      <c r="AG75">
        <v>70.975999999999999</v>
      </c>
      <c r="AN75" s="225">
        <v>44013</v>
      </c>
      <c r="AO75" s="923" t="s">
        <v>285</v>
      </c>
      <c r="AP75" s="924">
        <v>1.2999999999999999E-3</v>
      </c>
    </row>
    <row r="76" spans="1:42" x14ac:dyDescent="0.2">
      <c r="A76" s="1"/>
      <c r="B76" s="13">
        <v>45604</v>
      </c>
      <c r="C76" s="14">
        <v>544.89</v>
      </c>
      <c r="D76" s="15">
        <v>447516</v>
      </c>
      <c r="E76" s="14">
        <v>555.55999999999995</v>
      </c>
      <c r="F76" s="14">
        <v>558.42999999999995</v>
      </c>
      <c r="G76" s="16">
        <v>543.80999999999995</v>
      </c>
      <c r="H76" s="69">
        <f t="shared" si="0"/>
        <v>-3.6691188611059911E-4</v>
      </c>
      <c r="I76" s="24" t="s">
        <v>37</v>
      </c>
      <c r="J76" s="25">
        <v>26.518611</v>
      </c>
      <c r="K76" s="26">
        <v>26.518611</v>
      </c>
      <c r="M76" s="225">
        <f t="shared" si="1"/>
        <v>45609</v>
      </c>
      <c r="N76" s="1319">
        <f t="shared" si="2"/>
        <v>537.20000000000005</v>
      </c>
      <c r="O76" s="1319">
        <f t="shared" si="3"/>
        <v>537.20000000000005</v>
      </c>
      <c r="P76" s="1319">
        <f t="shared" si="4"/>
        <v>537.20000000000005</v>
      </c>
      <c r="Q76" s="35">
        <v>42429</v>
      </c>
      <c r="R76" s="36">
        <v>1.7399999999999999E-2</v>
      </c>
      <c r="S76" s="37">
        <v>1.2199999999999999E-2</v>
      </c>
      <c r="V76" t="s">
        <v>408</v>
      </c>
      <c r="W76">
        <v>56.741</v>
      </c>
      <c r="X76">
        <f>W76</f>
        <v>56.741</v>
      </c>
      <c r="Z76" s="843">
        <v>43497</v>
      </c>
      <c r="AA76" s="841">
        <v>5.16E-2</v>
      </c>
      <c r="AF76" s="860" t="s">
        <v>416</v>
      </c>
      <c r="AG76">
        <v>66.016999999999996</v>
      </c>
      <c r="AN76" s="225">
        <v>44044</v>
      </c>
      <c r="AO76" s="923" t="s">
        <v>514</v>
      </c>
      <c r="AP76" s="924">
        <v>1E-3</v>
      </c>
    </row>
    <row r="77" spans="1:42" x14ac:dyDescent="0.2">
      <c r="A77" s="1"/>
      <c r="B77" s="13">
        <v>45603</v>
      </c>
      <c r="C77" s="14">
        <v>545.09</v>
      </c>
      <c r="D77" s="15">
        <v>663839</v>
      </c>
      <c r="E77" s="14">
        <v>568.61</v>
      </c>
      <c r="F77" s="14">
        <v>568.61</v>
      </c>
      <c r="G77" s="16">
        <v>543.27</v>
      </c>
      <c r="H77" s="69">
        <f t="shared" si="0"/>
        <v>-4.0368296890954447E-2</v>
      </c>
      <c r="I77" s="29" t="s">
        <v>38</v>
      </c>
      <c r="J77" s="30">
        <v>26.524515000000001</v>
      </c>
      <c r="K77" s="31">
        <v>26.524515000000001</v>
      </c>
      <c r="M77" s="225">
        <f t="shared" si="1"/>
        <v>45608</v>
      </c>
      <c r="N77" s="1319">
        <f t="shared" si="2"/>
        <v>545.73</v>
      </c>
      <c r="O77" s="1319">
        <f t="shared" si="3"/>
        <v>545.73</v>
      </c>
      <c r="P77" s="1319">
        <f t="shared" si="4"/>
        <v>545.73</v>
      </c>
      <c r="Q77" s="35">
        <v>42430</v>
      </c>
      <c r="R77" s="36">
        <v>1.83E-2</v>
      </c>
      <c r="S77" s="37">
        <v>1.3100000000000001E-2</v>
      </c>
      <c r="V77" t="s">
        <v>409</v>
      </c>
      <c r="W77">
        <v>166.434</v>
      </c>
      <c r="X77">
        <f>W77-X76</f>
        <v>109.693</v>
      </c>
      <c r="Z77" s="843">
        <v>43525</v>
      </c>
      <c r="AA77" s="841">
        <v>4.9799999999999997E-2</v>
      </c>
      <c r="AF77" s="860" t="s">
        <v>417</v>
      </c>
      <c r="AG77">
        <v>61.026000000000003</v>
      </c>
      <c r="AN77" s="225">
        <v>44075</v>
      </c>
      <c r="AO77" s="923" t="s">
        <v>515</v>
      </c>
      <c r="AP77" s="924">
        <v>1.1000000000000001E-3</v>
      </c>
    </row>
    <row r="78" spans="1:42" x14ac:dyDescent="0.2">
      <c r="A78" s="1"/>
      <c r="B78" s="13">
        <v>45602</v>
      </c>
      <c r="C78" s="14">
        <v>568.02</v>
      </c>
      <c r="D78" s="15">
        <v>750721</v>
      </c>
      <c r="E78" s="14">
        <v>599.91</v>
      </c>
      <c r="F78" s="14">
        <v>624.54989999999998</v>
      </c>
      <c r="G78" s="16">
        <v>536.28</v>
      </c>
      <c r="H78" s="69">
        <f t="shared" si="0"/>
        <v>0.13415729888385286</v>
      </c>
      <c r="M78" s="225">
        <f t="shared" si="1"/>
        <v>45607</v>
      </c>
      <c r="N78" s="1319">
        <f t="shared" si="2"/>
        <v>558.1</v>
      </c>
      <c r="O78" s="1319">
        <f t="shared" si="3"/>
        <v>558.1</v>
      </c>
      <c r="P78" s="1319">
        <f t="shared" si="4"/>
        <v>558.1</v>
      </c>
      <c r="Q78" s="35">
        <v>42431</v>
      </c>
      <c r="R78" s="36">
        <v>1.84E-2</v>
      </c>
      <c r="S78" s="37">
        <v>1.34E-2</v>
      </c>
      <c r="V78" t="s">
        <v>410</v>
      </c>
      <c r="W78">
        <v>245.203</v>
      </c>
      <c r="X78">
        <f>W78-X77-X76</f>
        <v>78.768999999999991</v>
      </c>
      <c r="Z78" s="843">
        <v>43556</v>
      </c>
      <c r="AA78" s="841">
        <v>5.0799999999999998E-2</v>
      </c>
      <c r="AF78" s="860" t="s">
        <v>418</v>
      </c>
      <c r="AG78">
        <v>55.170999999999999</v>
      </c>
      <c r="AN78" s="225">
        <v>44105</v>
      </c>
      <c r="AO78" s="923" t="s">
        <v>286</v>
      </c>
      <c r="AP78" s="924">
        <v>1E-3</v>
      </c>
    </row>
    <row r="79" spans="1:42" x14ac:dyDescent="0.2">
      <c r="A79" s="1"/>
      <c r="B79" s="13">
        <v>45601</v>
      </c>
      <c r="C79" s="14">
        <v>500.83</v>
      </c>
      <c r="D79" s="15">
        <v>184376</v>
      </c>
      <c r="E79" s="14">
        <v>485.31</v>
      </c>
      <c r="F79" s="14">
        <v>500.92</v>
      </c>
      <c r="G79" s="16">
        <v>485.31</v>
      </c>
      <c r="H79" s="69">
        <f t="shared" si="0"/>
        <v>3.0217632780680459E-2</v>
      </c>
      <c r="M79" s="225">
        <f t="shared" si="1"/>
        <v>45604</v>
      </c>
      <c r="N79" s="1319">
        <f t="shared" si="2"/>
        <v>544.89</v>
      </c>
      <c r="O79" s="1319">
        <f t="shared" si="3"/>
        <v>544.89</v>
      </c>
      <c r="P79" s="1319">
        <f t="shared" si="4"/>
        <v>544.89</v>
      </c>
      <c r="Q79" s="35">
        <v>42432</v>
      </c>
      <c r="R79" s="36">
        <v>1.83E-2</v>
      </c>
      <c r="S79" s="37">
        <v>1.3300000000000001E-2</v>
      </c>
      <c r="V79" t="s">
        <v>411</v>
      </c>
      <c r="W79">
        <v>287.65499999999997</v>
      </c>
      <c r="X79">
        <f>W79-X78-X77-X76</f>
        <v>42.45199999999997</v>
      </c>
      <c r="Z79" s="843">
        <v>43586</v>
      </c>
      <c r="AA79" s="841">
        <v>4.99E-2</v>
      </c>
      <c r="AF79" s="860" t="str">
        <f>AF80</f>
        <v>2021-12-31</v>
      </c>
      <c r="AG79">
        <f>AG80</f>
        <v>50.404000000000003</v>
      </c>
      <c r="AN79" s="225">
        <v>44136</v>
      </c>
      <c r="AO79" s="923" t="s">
        <v>516</v>
      </c>
      <c r="AP79" s="924">
        <v>8.9999999999999998E-4</v>
      </c>
    </row>
    <row r="80" spans="1:42" x14ac:dyDescent="0.2">
      <c r="A80" s="1"/>
      <c r="B80" s="13">
        <v>45600</v>
      </c>
      <c r="C80" s="14">
        <v>486.14</v>
      </c>
      <c r="D80" s="15">
        <v>188924</v>
      </c>
      <c r="E80" s="14">
        <v>477.49</v>
      </c>
      <c r="F80" s="14">
        <v>493.65</v>
      </c>
      <c r="G80" s="16">
        <v>476.0539</v>
      </c>
      <c r="H80" s="69">
        <f t="shared" si="0"/>
        <v>1.133786848072571E-2</v>
      </c>
      <c r="M80" s="225">
        <f t="shared" si="1"/>
        <v>45603</v>
      </c>
      <c r="N80" s="1319">
        <f t="shared" si="2"/>
        <v>545.09</v>
      </c>
      <c r="O80" s="1319">
        <f t="shared" si="3"/>
        <v>545.09</v>
      </c>
      <c r="P80" s="1319">
        <f t="shared" si="4"/>
        <v>545.09</v>
      </c>
      <c r="Q80" s="35">
        <v>42433</v>
      </c>
      <c r="R80" s="36">
        <v>1.8799999999999997E-2</v>
      </c>
      <c r="S80" s="37">
        <v>1.38E-2</v>
      </c>
      <c r="X80">
        <f>SUM(X76:X79)</f>
        <v>287.65499999999997</v>
      </c>
      <c r="Z80" s="843">
        <v>43617</v>
      </c>
      <c r="AA80" s="841">
        <v>5.3800000000000001E-2</v>
      </c>
      <c r="AF80" s="860" t="s">
        <v>419</v>
      </c>
      <c r="AG80">
        <v>50.404000000000003</v>
      </c>
      <c r="AN80" s="225">
        <v>44166</v>
      </c>
      <c r="AO80" s="923" t="s">
        <v>517</v>
      </c>
      <c r="AP80" s="924">
        <v>8.9999999999999998E-4</v>
      </c>
    </row>
    <row r="81" spans="1:42" x14ac:dyDescent="0.2">
      <c r="A81" s="1"/>
      <c r="B81" s="13">
        <v>45597</v>
      </c>
      <c r="C81" s="14">
        <v>480.69</v>
      </c>
      <c r="D81" s="15">
        <v>262647</v>
      </c>
      <c r="E81" s="14">
        <v>493.9</v>
      </c>
      <c r="F81" s="14">
        <v>497.02499999999998</v>
      </c>
      <c r="G81" s="16">
        <v>479.39</v>
      </c>
      <c r="H81" s="69">
        <f t="shared" si="0"/>
        <v>-1.6209246638423269E-2</v>
      </c>
      <c r="M81" s="225">
        <f t="shared" si="1"/>
        <v>45602</v>
      </c>
      <c r="N81" s="1319">
        <f t="shared" si="2"/>
        <v>568.02</v>
      </c>
      <c r="O81" s="1319">
        <f t="shared" si="3"/>
        <v>568.02</v>
      </c>
      <c r="P81" s="1319">
        <f t="shared" si="4"/>
        <v>568.02</v>
      </c>
      <c r="Q81" s="35">
        <v>42436</v>
      </c>
      <c r="R81" s="36">
        <v>1.9099999999999999E-2</v>
      </c>
      <c r="S81" s="37">
        <v>1.4199999999999999E-2</v>
      </c>
      <c r="V81" t="s">
        <v>412</v>
      </c>
      <c r="W81">
        <v>107.59099999999999</v>
      </c>
      <c r="X81">
        <f>W81</f>
        <v>107.59099999999999</v>
      </c>
      <c r="Z81" s="843">
        <v>43647</v>
      </c>
      <c r="AA81" s="841">
        <v>5.11E-2</v>
      </c>
      <c r="AF81" s="860" t="s">
        <v>420</v>
      </c>
      <c r="AG81">
        <v>44.878999999999998</v>
      </c>
      <c r="AN81" s="225">
        <v>44197</v>
      </c>
      <c r="AO81" s="923" t="s">
        <v>287</v>
      </c>
      <c r="AP81" s="924">
        <v>8.0000000000000004E-4</v>
      </c>
    </row>
    <row r="82" spans="1:42" x14ac:dyDescent="0.2">
      <c r="A82" s="1"/>
      <c r="B82" s="13">
        <v>45596</v>
      </c>
      <c r="C82" s="14">
        <v>488.61</v>
      </c>
      <c r="D82" s="15">
        <v>259748</v>
      </c>
      <c r="E82" s="14">
        <v>485.21</v>
      </c>
      <c r="F82" s="14">
        <v>491.87</v>
      </c>
      <c r="G82" s="16">
        <v>484.22</v>
      </c>
      <c r="H82" s="69">
        <f t="shared" si="0"/>
        <v>-5.535994138359035E-3</v>
      </c>
      <c r="M82" s="225">
        <f t="shared" si="1"/>
        <v>45601</v>
      </c>
      <c r="N82" s="1319">
        <f t="shared" si="2"/>
        <v>500.83</v>
      </c>
      <c r="O82" s="1319">
        <f t="shared" si="3"/>
        <v>500.83</v>
      </c>
      <c r="P82" s="1319">
        <f t="shared" si="4"/>
        <v>500.83</v>
      </c>
      <c r="Q82" s="35">
        <v>42437</v>
      </c>
      <c r="R82" s="36">
        <v>1.83E-2</v>
      </c>
      <c r="S82" s="37">
        <v>1.34E-2</v>
      </c>
      <c r="V82" t="s">
        <v>413</v>
      </c>
      <c r="W82">
        <v>148.86500000000001</v>
      </c>
      <c r="X82">
        <f>W82-X81</f>
        <v>41.274000000000015</v>
      </c>
      <c r="Z82" s="843">
        <v>43678</v>
      </c>
      <c r="AA82" s="841">
        <v>5.04E-2</v>
      </c>
      <c r="AF82" s="860" t="s">
        <v>421</v>
      </c>
      <c r="AG82">
        <v>39.295000000000002</v>
      </c>
      <c r="AN82" s="225">
        <v>44228</v>
      </c>
      <c r="AO82" s="923" t="s">
        <v>518</v>
      </c>
      <c r="AP82" s="924">
        <v>4.0000000000000002E-4</v>
      </c>
    </row>
    <row r="83" spans="1:42" x14ac:dyDescent="0.2">
      <c r="A83" s="1"/>
      <c r="B83" s="13">
        <v>45595</v>
      </c>
      <c r="C83" s="14">
        <v>491.33</v>
      </c>
      <c r="D83" s="15">
        <v>536534</v>
      </c>
      <c r="E83" s="14">
        <v>474.11</v>
      </c>
      <c r="F83" s="14">
        <v>507.24</v>
      </c>
      <c r="G83" s="16">
        <v>474.11</v>
      </c>
      <c r="H83" s="69">
        <f t="shared" si="0"/>
        <v>3.0063523344304954E-2</v>
      </c>
      <c r="M83" s="225">
        <f t="shared" si="1"/>
        <v>45600</v>
      </c>
      <c r="N83" s="1319">
        <f t="shared" si="2"/>
        <v>486.14</v>
      </c>
      <c r="O83" s="1319">
        <f t="shared" si="3"/>
        <v>486.14</v>
      </c>
      <c r="P83" s="1319">
        <f t="shared" si="4"/>
        <v>486.14</v>
      </c>
      <c r="Q83" s="35">
        <v>42438</v>
      </c>
      <c r="R83" s="36">
        <v>1.9E-2</v>
      </c>
      <c r="S83" s="37">
        <v>1.3899999999999999E-2</v>
      </c>
      <c r="V83" t="s">
        <v>414</v>
      </c>
      <c r="W83">
        <v>205.30699999999999</v>
      </c>
      <c r="X83">
        <f>W83-X82-X81</f>
        <v>56.441999999999965</v>
      </c>
      <c r="Z83" s="843">
        <v>43709</v>
      </c>
      <c r="AA83" s="841">
        <v>5.3199999999999997E-2</v>
      </c>
      <c r="AF83" s="860" t="s">
        <v>422</v>
      </c>
      <c r="AG83">
        <v>34.85</v>
      </c>
      <c r="AN83" s="225">
        <v>44256</v>
      </c>
      <c r="AO83" s="923" t="s">
        <v>519</v>
      </c>
      <c r="AP83" s="924">
        <v>2.9999999999999997E-4</v>
      </c>
    </row>
    <row r="84" spans="1:42" x14ac:dyDescent="0.2">
      <c r="A84" s="1"/>
      <c r="B84" s="13">
        <v>45594</v>
      </c>
      <c r="C84" s="14">
        <v>476.99</v>
      </c>
      <c r="D84" s="15">
        <v>507720</v>
      </c>
      <c r="E84" s="14">
        <v>479.99</v>
      </c>
      <c r="F84" s="14">
        <v>483.58</v>
      </c>
      <c r="G84" s="16">
        <v>471.11</v>
      </c>
      <c r="H84" s="69">
        <f t="shared" si="0"/>
        <v>-4.9856064082772766E-3</v>
      </c>
      <c r="M84" s="225">
        <f t="shared" si="1"/>
        <v>45597</v>
      </c>
      <c r="N84" s="1319">
        <f t="shared" si="2"/>
        <v>480.69</v>
      </c>
      <c r="O84" s="1319">
        <f t="shared" si="3"/>
        <v>480.69</v>
      </c>
      <c r="P84" s="1319">
        <f t="shared" si="4"/>
        <v>480.69</v>
      </c>
      <c r="Q84" s="35">
        <v>42439</v>
      </c>
      <c r="R84" s="36">
        <v>1.9299999999999998E-2</v>
      </c>
      <c r="S84" s="37">
        <v>1.4499999999999999E-2</v>
      </c>
      <c r="V84" t="s">
        <v>415</v>
      </c>
      <c r="W84">
        <v>231.142</v>
      </c>
      <c r="X84">
        <f>W84-X83-X82-X81</f>
        <v>25.835000000000051</v>
      </c>
      <c r="Z84" s="843">
        <v>43739</v>
      </c>
      <c r="AA84" s="841">
        <v>5.1999999999999998E-2</v>
      </c>
      <c r="AF84" s="860" t="str">
        <f>AF85</f>
        <v>2022-12-31</v>
      </c>
      <c r="AG84">
        <f>AG85</f>
        <v>31.007999999999999</v>
      </c>
      <c r="AN84" s="225">
        <v>44287</v>
      </c>
      <c r="AO84" s="923" t="s">
        <v>288</v>
      </c>
      <c r="AP84" s="924">
        <v>2.0000000000000001E-4</v>
      </c>
    </row>
    <row r="85" spans="1:42" x14ac:dyDescent="0.2">
      <c r="A85" s="1"/>
      <c r="B85" s="13">
        <v>45593</v>
      </c>
      <c r="C85" s="14">
        <v>479.38</v>
      </c>
      <c r="D85" s="15">
        <v>573492</v>
      </c>
      <c r="E85" s="14">
        <v>464.67</v>
      </c>
      <c r="F85" s="14">
        <v>482.57</v>
      </c>
      <c r="G85" s="16">
        <v>463.23</v>
      </c>
      <c r="H85" s="69">
        <f t="shared" si="0"/>
        <v>3.8405718618000684E-2</v>
      </c>
      <c r="M85" s="225">
        <f t="shared" si="1"/>
        <v>45596</v>
      </c>
      <c r="N85" s="1319">
        <f t="shared" si="2"/>
        <v>488.61</v>
      </c>
      <c r="O85" s="1319">
        <f t="shared" si="3"/>
        <v>488.61</v>
      </c>
      <c r="P85" s="1319">
        <f t="shared" si="4"/>
        <v>488.61</v>
      </c>
      <c r="Q85" s="35">
        <v>42440</v>
      </c>
      <c r="R85" s="36">
        <v>1.9799999999999998E-2</v>
      </c>
      <c r="S85" s="37">
        <v>1.49E-2</v>
      </c>
      <c r="X85">
        <f>SUM(X81:X84)</f>
        <v>231.142</v>
      </c>
      <c r="Z85" s="843">
        <v>43770</v>
      </c>
      <c r="AA85" s="841">
        <v>5.0900000000000001E-2</v>
      </c>
      <c r="AF85" s="860" t="s">
        <v>423</v>
      </c>
      <c r="AG85">
        <v>31.007999999999999</v>
      </c>
      <c r="AN85" s="225">
        <v>44317</v>
      </c>
      <c r="AO85" s="923" t="s">
        <v>520</v>
      </c>
      <c r="AP85" s="924">
        <v>2.0000000000000001E-4</v>
      </c>
    </row>
    <row r="86" spans="1:42" x14ac:dyDescent="0.2">
      <c r="A86" s="1"/>
      <c r="B86" s="13">
        <v>45590</v>
      </c>
      <c r="C86" s="14">
        <v>461.65</v>
      </c>
      <c r="D86" s="15">
        <v>1116551</v>
      </c>
      <c r="E86" s="14">
        <v>439.79</v>
      </c>
      <c r="F86" s="14">
        <v>469.34</v>
      </c>
      <c r="G86" s="16">
        <v>420.93060000000003</v>
      </c>
      <c r="H86" s="69">
        <f t="shared" si="0"/>
        <v>0.11393962792268897</v>
      </c>
      <c r="M86" s="225">
        <f t="shared" si="1"/>
        <v>45595</v>
      </c>
      <c r="N86" s="1319">
        <f t="shared" si="2"/>
        <v>491.33</v>
      </c>
      <c r="O86" s="1319">
        <f t="shared" si="3"/>
        <v>491.33</v>
      </c>
      <c r="P86" s="1319">
        <f t="shared" si="4"/>
        <v>491.33</v>
      </c>
      <c r="Q86" s="35">
        <v>42443</v>
      </c>
      <c r="R86" s="36">
        <v>1.9699999999999999E-2</v>
      </c>
      <c r="S86" s="37">
        <v>1.49E-2</v>
      </c>
      <c r="V86" t="s">
        <v>416</v>
      </c>
      <c r="W86">
        <v>25.568000000000001</v>
      </c>
      <c r="X86">
        <f>W86</f>
        <v>25.568000000000001</v>
      </c>
      <c r="Z86" s="843">
        <v>43800</v>
      </c>
      <c r="AA86" s="841">
        <v>4.8899999999999999E-2</v>
      </c>
      <c r="AF86" s="860" t="s">
        <v>424</v>
      </c>
      <c r="AG86">
        <v>26.504000000000001</v>
      </c>
      <c r="AN86" s="225">
        <v>44348</v>
      </c>
      <c r="AO86" s="923" t="s">
        <v>521</v>
      </c>
      <c r="AP86" s="924">
        <v>4.0000000000000002E-4</v>
      </c>
    </row>
    <row r="87" spans="1:42" x14ac:dyDescent="0.2">
      <c r="A87" s="1"/>
      <c r="B87" s="13">
        <v>45589</v>
      </c>
      <c r="C87" s="14">
        <v>414.43</v>
      </c>
      <c r="D87" s="15">
        <v>825302</v>
      </c>
      <c r="E87" s="14">
        <v>414.8</v>
      </c>
      <c r="F87" s="14">
        <v>419.33</v>
      </c>
      <c r="G87" s="16">
        <v>410.94499999999999</v>
      </c>
      <c r="H87" s="69">
        <f t="shared" si="0"/>
        <v>3.7298069703795012E-3</v>
      </c>
      <c r="M87" s="225">
        <f t="shared" si="1"/>
        <v>45594</v>
      </c>
      <c r="N87" s="1319">
        <f t="shared" si="2"/>
        <v>476.99</v>
      </c>
      <c r="O87" s="1319">
        <f t="shared" si="3"/>
        <v>476.99</v>
      </c>
      <c r="P87" s="1319">
        <f t="shared" si="4"/>
        <v>476.99</v>
      </c>
      <c r="Q87" s="35">
        <v>42444</v>
      </c>
      <c r="R87" s="36">
        <v>1.9699999999999999E-2</v>
      </c>
      <c r="S87" s="37">
        <v>1.4999999999999999E-2</v>
      </c>
      <c r="V87" t="s">
        <v>417</v>
      </c>
      <c r="W87">
        <v>100.202</v>
      </c>
      <c r="X87">
        <f>W87-X86</f>
        <v>74.634</v>
      </c>
      <c r="Z87" s="843">
        <v>43831</v>
      </c>
      <c r="AA87" s="841">
        <v>5.0599999999999999E-2</v>
      </c>
      <c r="AF87" s="860" t="s">
        <v>425</v>
      </c>
      <c r="AG87">
        <v>21.358000000000001</v>
      </c>
      <c r="AN87" s="225">
        <v>44378</v>
      </c>
      <c r="AO87" s="923" t="s">
        <v>289</v>
      </c>
      <c r="AP87" s="924">
        <v>5.0000000000000001E-4</v>
      </c>
    </row>
    <row r="88" spans="1:42" x14ac:dyDescent="0.2">
      <c r="A88" s="1"/>
      <c r="B88" s="13">
        <v>45588</v>
      </c>
      <c r="C88" s="14">
        <v>412.89</v>
      </c>
      <c r="D88" s="15">
        <v>649369</v>
      </c>
      <c r="E88" s="14">
        <v>421.32</v>
      </c>
      <c r="F88" s="14">
        <v>426</v>
      </c>
      <c r="G88" s="16">
        <v>412.6</v>
      </c>
      <c r="H88" s="69">
        <f t="shared" si="0"/>
        <v>-3.9544999883691201E-2</v>
      </c>
      <c r="M88" s="225">
        <f t="shared" si="1"/>
        <v>45593</v>
      </c>
      <c r="N88" s="1319">
        <f t="shared" si="2"/>
        <v>479.38</v>
      </c>
      <c r="O88" s="1319">
        <f t="shared" si="3"/>
        <v>479.38</v>
      </c>
      <c r="P88" s="1319">
        <f t="shared" si="4"/>
        <v>479.38</v>
      </c>
      <c r="Q88" s="35">
        <v>42445</v>
      </c>
      <c r="R88" s="36">
        <v>1.9400000000000001E-2</v>
      </c>
      <c r="S88" s="37">
        <v>1.41E-2</v>
      </c>
      <c r="V88" t="s">
        <v>418</v>
      </c>
      <c r="W88">
        <v>154.88399999999999</v>
      </c>
      <c r="X88">
        <f>W88-X87-X86</f>
        <v>54.681999999999988</v>
      </c>
      <c r="Z88" s="843">
        <v>43862</v>
      </c>
      <c r="AA88" s="841">
        <v>5.2200000000000003E-2</v>
      </c>
      <c r="AF88" s="860" t="s">
        <v>426</v>
      </c>
      <c r="AG88">
        <v>18.934000000000001</v>
      </c>
      <c r="AN88" s="225">
        <v>44409</v>
      </c>
      <c r="AO88" s="923" t="s">
        <v>522</v>
      </c>
      <c r="AP88" s="924">
        <v>5.0000000000000001E-4</v>
      </c>
    </row>
    <row r="89" spans="1:42" x14ac:dyDescent="0.2">
      <c r="A89" s="1"/>
      <c r="B89" s="13">
        <v>45587</v>
      </c>
      <c r="C89" s="14">
        <v>429.89</v>
      </c>
      <c r="D89" s="15">
        <v>409719</v>
      </c>
      <c r="E89" s="14">
        <v>417.61</v>
      </c>
      <c r="F89" s="14">
        <v>430.9</v>
      </c>
      <c r="G89" s="16">
        <v>414.87009999999998</v>
      </c>
      <c r="H89" s="69">
        <f t="shared" si="0"/>
        <v>1.7298499692365965E-2</v>
      </c>
      <c r="M89" s="225">
        <f t="shared" si="1"/>
        <v>45590</v>
      </c>
      <c r="N89" s="1319">
        <f t="shared" si="2"/>
        <v>461.65</v>
      </c>
      <c r="O89" s="1319">
        <f t="shared" si="3"/>
        <v>461.65</v>
      </c>
      <c r="P89" s="1319">
        <f t="shared" si="4"/>
        <v>461.65</v>
      </c>
      <c r="Q89" s="35">
        <v>42446</v>
      </c>
      <c r="R89" s="36">
        <v>1.9099999999999999E-2</v>
      </c>
      <c r="S89" s="37">
        <v>1.3899999999999999E-2</v>
      </c>
      <c r="V89" t="s">
        <v>419</v>
      </c>
      <c r="W89">
        <v>285.74599999999998</v>
      </c>
      <c r="X89">
        <f>W89-X88-X87-X86</f>
        <v>130.86199999999999</v>
      </c>
      <c r="Z89" s="843">
        <v>43891</v>
      </c>
      <c r="AA89" s="841">
        <v>5.7700000000000001E-2</v>
      </c>
      <c r="AF89" s="860" t="str">
        <f>AF90</f>
        <v>2023-12-31</v>
      </c>
      <c r="AG89">
        <f>AG90</f>
        <v>16.488</v>
      </c>
      <c r="AN89" s="225">
        <v>44440</v>
      </c>
      <c r="AO89" s="923" t="s">
        <v>523</v>
      </c>
      <c r="AP89" s="924">
        <v>4.0000000000000002E-4</v>
      </c>
    </row>
    <row r="90" spans="1:42" x14ac:dyDescent="0.2">
      <c r="A90" s="1"/>
      <c r="B90" s="13">
        <v>45586</v>
      </c>
      <c r="C90" s="14">
        <v>422.58</v>
      </c>
      <c r="D90" s="15">
        <v>276634</v>
      </c>
      <c r="E90" s="14">
        <v>429.4</v>
      </c>
      <c r="F90" s="14">
        <v>430.2</v>
      </c>
      <c r="G90" s="16">
        <v>421.63</v>
      </c>
      <c r="H90" s="69">
        <f t="shared" si="0"/>
        <v>-3.2311250543864078E-2</v>
      </c>
      <c r="M90" s="225">
        <f t="shared" si="1"/>
        <v>45589</v>
      </c>
      <c r="N90" s="1319">
        <f t="shared" si="2"/>
        <v>414.43</v>
      </c>
      <c r="O90" s="1319">
        <f t="shared" si="3"/>
        <v>414.43</v>
      </c>
      <c r="P90" s="1319">
        <f t="shared" si="4"/>
        <v>414.43</v>
      </c>
      <c r="Q90" s="35">
        <v>42447</v>
      </c>
      <c r="R90" s="36">
        <v>1.8799999999999997E-2</v>
      </c>
      <c r="S90" s="37">
        <v>1.34E-2</v>
      </c>
      <c r="X90">
        <f>SUM(X86:X89)</f>
        <v>285.74599999999998</v>
      </c>
      <c r="Z90" s="843">
        <v>43922</v>
      </c>
      <c r="AA90" s="841">
        <v>6.5199999999999994E-2</v>
      </c>
      <c r="AF90" s="860" t="s">
        <v>427</v>
      </c>
      <c r="AG90">
        <v>16.488</v>
      </c>
      <c r="AN90" s="225">
        <v>44470</v>
      </c>
      <c r="AO90" s="923" t="s">
        <v>290</v>
      </c>
      <c r="AP90" s="924">
        <v>5.0000000000000001E-4</v>
      </c>
    </row>
    <row r="91" spans="1:42" x14ac:dyDescent="0.2">
      <c r="A91" s="1"/>
      <c r="B91" s="13">
        <v>45583</v>
      </c>
      <c r="C91" s="14">
        <v>436.69</v>
      </c>
      <c r="D91" s="15">
        <v>297162</v>
      </c>
      <c r="E91" s="14">
        <v>447.68</v>
      </c>
      <c r="F91" s="14">
        <v>447.68</v>
      </c>
      <c r="G91" s="16">
        <v>434.55</v>
      </c>
      <c r="H91" s="69">
        <f t="shared" si="0"/>
        <v>-2.2365004029730517E-2</v>
      </c>
      <c r="M91" s="225">
        <f t="shared" si="1"/>
        <v>45588</v>
      </c>
      <c r="N91" s="1319">
        <f t="shared" si="2"/>
        <v>412.89</v>
      </c>
      <c r="O91" s="1319">
        <f t="shared" si="3"/>
        <v>412.89</v>
      </c>
      <c r="P91" s="1319">
        <f t="shared" si="4"/>
        <v>412.89</v>
      </c>
      <c r="Q91" s="35">
        <v>42450</v>
      </c>
      <c r="R91" s="36">
        <v>1.9199999999999998E-2</v>
      </c>
      <c r="S91" s="37">
        <v>1.38E-2</v>
      </c>
      <c r="V91" t="s">
        <v>420</v>
      </c>
      <c r="W91">
        <v>46.259</v>
      </c>
      <c r="X91">
        <f>W91</f>
        <v>46.259</v>
      </c>
      <c r="Z91" s="843">
        <v>43952</v>
      </c>
      <c r="AA91" s="841">
        <v>6.0299999999999999E-2</v>
      </c>
      <c r="AF91" s="860" t="s">
        <v>428</v>
      </c>
      <c r="AG91">
        <v>12.051</v>
      </c>
      <c r="AN91" s="225">
        <v>44501</v>
      </c>
      <c r="AO91" s="923" t="s">
        <v>524</v>
      </c>
      <c r="AP91" s="924">
        <v>5.0000000000000001E-4</v>
      </c>
    </row>
    <row r="92" spans="1:42" x14ac:dyDescent="0.2">
      <c r="A92" s="1"/>
      <c r="B92" s="13">
        <v>45582</v>
      </c>
      <c r="C92" s="14">
        <v>446.68</v>
      </c>
      <c r="D92" s="15">
        <v>219091</v>
      </c>
      <c r="E92" s="14">
        <v>456.42</v>
      </c>
      <c r="F92" s="14">
        <v>460.93</v>
      </c>
      <c r="G92" s="16">
        <v>446.28</v>
      </c>
      <c r="H92" s="69">
        <f t="shared" si="0"/>
        <v>-2.8238263064003899E-2</v>
      </c>
      <c r="M92" s="225">
        <f t="shared" si="1"/>
        <v>45587</v>
      </c>
      <c r="N92" s="1319">
        <f t="shared" si="2"/>
        <v>429.89</v>
      </c>
      <c r="O92" s="1319">
        <f t="shared" si="3"/>
        <v>429.89</v>
      </c>
      <c r="P92" s="1319">
        <f t="shared" si="4"/>
        <v>429.89</v>
      </c>
      <c r="Q92" s="35">
        <v>42451</v>
      </c>
      <c r="R92" s="36">
        <v>1.9400000000000001E-2</v>
      </c>
      <c r="S92" s="37">
        <v>1.4199999999999999E-2</v>
      </c>
      <c r="V92" t="s">
        <v>421</v>
      </c>
      <c r="W92">
        <v>156.351</v>
      </c>
      <c r="X92">
        <f>W92-X91</f>
        <v>110.092</v>
      </c>
      <c r="Z92" s="843">
        <v>43983</v>
      </c>
      <c r="AA92" s="841">
        <v>5.8099999999999999E-2</v>
      </c>
      <c r="AF92" s="860" t="s">
        <v>429</v>
      </c>
      <c r="AG92">
        <v>9.6750000000000007</v>
      </c>
      <c r="AN92" s="225">
        <v>44531</v>
      </c>
      <c r="AO92" s="923" t="s">
        <v>525</v>
      </c>
      <c r="AP92" s="924">
        <v>5.9999999999999995E-4</v>
      </c>
    </row>
    <row r="93" spans="1:42" x14ac:dyDescent="0.2">
      <c r="A93" s="1"/>
      <c r="B93" s="13">
        <v>45581</v>
      </c>
      <c r="C93" s="14">
        <v>459.66</v>
      </c>
      <c r="D93" s="15">
        <v>219737</v>
      </c>
      <c r="E93" s="14">
        <v>461.5</v>
      </c>
      <c r="F93" s="14">
        <v>472.85</v>
      </c>
      <c r="G93" s="16">
        <v>458.31</v>
      </c>
      <c r="H93" s="69">
        <f t="shared" si="0"/>
        <v>1.5464145274598939E-2</v>
      </c>
      <c r="M93" s="225">
        <f t="shared" si="1"/>
        <v>45586</v>
      </c>
      <c r="N93" s="1319">
        <f t="shared" si="2"/>
        <v>422.58</v>
      </c>
      <c r="O93" s="1319">
        <f t="shared" si="3"/>
        <v>422.58</v>
      </c>
      <c r="P93" s="1319">
        <f t="shared" si="4"/>
        <v>422.58</v>
      </c>
      <c r="Q93" s="35">
        <v>42452</v>
      </c>
      <c r="R93" s="36">
        <v>1.8799999999999997E-2</v>
      </c>
      <c r="S93" s="37">
        <v>1.37E-2</v>
      </c>
      <c r="V93" t="s">
        <v>422</v>
      </c>
      <c r="W93">
        <v>279.05700000000002</v>
      </c>
      <c r="X93">
        <f>W93-X92-X91</f>
        <v>122.70600000000003</v>
      </c>
      <c r="Z93" s="843">
        <v>44013</v>
      </c>
      <c r="AA93" s="841">
        <v>5.6800000000000003E-2</v>
      </c>
      <c r="AF93" s="860" t="s">
        <v>430</v>
      </c>
      <c r="AG93">
        <v>7.9630000000000001</v>
      </c>
      <c r="AN93" s="225">
        <v>44562</v>
      </c>
      <c r="AO93" s="923" t="s">
        <v>291</v>
      </c>
      <c r="AP93" s="924">
        <v>1.5E-3</v>
      </c>
    </row>
    <row r="94" spans="1:42" x14ac:dyDescent="0.2">
      <c r="A94" s="1"/>
      <c r="B94" s="13">
        <v>45580</v>
      </c>
      <c r="C94" s="14">
        <v>452.66</v>
      </c>
      <c r="D94" s="15">
        <v>279327</v>
      </c>
      <c r="E94" s="14">
        <v>462.73</v>
      </c>
      <c r="F94" s="14">
        <v>465.33</v>
      </c>
      <c r="G94" s="16">
        <v>451.84</v>
      </c>
      <c r="H94" s="69">
        <f t="shared" si="0"/>
        <v>-2.015282377643568E-2</v>
      </c>
      <c r="M94" s="225">
        <f t="shared" si="1"/>
        <v>45583</v>
      </c>
      <c r="N94" s="1319">
        <f t="shared" si="2"/>
        <v>436.69</v>
      </c>
      <c r="O94" s="1319">
        <f t="shared" si="3"/>
        <v>436.69</v>
      </c>
      <c r="P94" s="1319">
        <f t="shared" si="4"/>
        <v>436.69</v>
      </c>
      <c r="Q94" s="35">
        <v>42453</v>
      </c>
      <c r="R94" s="36">
        <v>1.9099999999999999E-2</v>
      </c>
      <c r="S94" s="37">
        <v>1.3899999999999999E-2</v>
      </c>
      <c r="V94" t="s">
        <v>423</v>
      </c>
      <c r="W94">
        <v>367.42899999999997</v>
      </c>
      <c r="X94">
        <f>W94-X93-X92-X91</f>
        <v>88.371999999999971</v>
      </c>
      <c r="Z94" s="843">
        <v>44044</v>
      </c>
      <c r="AA94" s="841">
        <v>5.4300000000000001E-2</v>
      </c>
      <c r="AN94" s="225">
        <v>44593</v>
      </c>
      <c r="AO94" s="923" t="s">
        <v>526</v>
      </c>
      <c r="AP94" s="924">
        <v>3.3E-3</v>
      </c>
    </row>
    <row r="95" spans="1:42" x14ac:dyDescent="0.2">
      <c r="A95" s="1"/>
      <c r="B95" s="13">
        <v>45579</v>
      </c>
      <c r="C95" s="14">
        <v>461.97</v>
      </c>
      <c r="D95" s="15">
        <v>247847</v>
      </c>
      <c r="E95" s="14">
        <v>459.61</v>
      </c>
      <c r="F95" s="14">
        <v>464.23500000000001</v>
      </c>
      <c r="G95" s="16">
        <v>453.09</v>
      </c>
      <c r="H95" s="69">
        <f t="shared" si="0"/>
        <v>-3.0213436346763212E-3</v>
      </c>
      <c r="M95" s="225">
        <f t="shared" si="1"/>
        <v>45582</v>
      </c>
      <c r="N95" s="1319">
        <f t="shared" si="2"/>
        <v>446.68</v>
      </c>
      <c r="O95" s="1319">
        <f t="shared" si="3"/>
        <v>446.68</v>
      </c>
      <c r="P95" s="1319">
        <f t="shared" si="4"/>
        <v>446.68</v>
      </c>
      <c r="Q95" s="35">
        <v>42457</v>
      </c>
      <c r="R95" s="36">
        <v>1.89E-2</v>
      </c>
      <c r="S95" s="37">
        <v>1.37E-2</v>
      </c>
      <c r="X95">
        <f>SUM(X91:X94)</f>
        <v>367.42899999999997</v>
      </c>
      <c r="Z95" s="843">
        <v>44075</v>
      </c>
      <c r="AA95" s="841">
        <v>0.05</v>
      </c>
      <c r="AN95" s="225">
        <v>44621</v>
      </c>
      <c r="AO95" s="923" t="s">
        <v>527</v>
      </c>
      <c r="AP95" s="924">
        <v>4.4000000000000003E-3</v>
      </c>
    </row>
    <row r="96" spans="1:42" x14ac:dyDescent="0.2">
      <c r="A96" s="1"/>
      <c r="B96" s="13">
        <v>45576</v>
      </c>
      <c r="C96" s="14">
        <v>463.37</v>
      </c>
      <c r="D96" s="15">
        <v>273840</v>
      </c>
      <c r="E96" s="14">
        <v>442.35</v>
      </c>
      <c r="F96" s="14">
        <v>464.125</v>
      </c>
      <c r="G96" s="16">
        <v>434.71</v>
      </c>
      <c r="H96" s="69">
        <f t="shared" si="0"/>
        <v>5.1083134853124657E-2</v>
      </c>
      <c r="M96" s="225">
        <f t="shared" si="1"/>
        <v>45581</v>
      </c>
      <c r="N96" s="1319">
        <f t="shared" si="2"/>
        <v>459.66</v>
      </c>
      <c r="O96" s="1319">
        <f t="shared" si="3"/>
        <v>459.66</v>
      </c>
      <c r="P96" s="1319">
        <f t="shared" si="4"/>
        <v>459.66</v>
      </c>
      <c r="Q96" s="35">
        <v>42458</v>
      </c>
      <c r="R96" s="36">
        <v>1.8100000000000002E-2</v>
      </c>
      <c r="S96" s="37">
        <v>1.29E-2</v>
      </c>
      <c r="V96" t="s">
        <v>424</v>
      </c>
      <c r="W96">
        <v>128.41499999999999</v>
      </c>
      <c r="X96">
        <f>W96</f>
        <v>128.41499999999999</v>
      </c>
      <c r="Z96" s="843">
        <v>44105</v>
      </c>
      <c r="AA96" s="841">
        <v>5.2900000000000003E-2</v>
      </c>
      <c r="AN96" s="225">
        <v>44652</v>
      </c>
      <c r="AO96" s="923" t="s">
        <v>292</v>
      </c>
      <c r="AP96" s="924">
        <v>7.6E-3</v>
      </c>
    </row>
    <row r="97" spans="1:42" x14ac:dyDescent="0.2">
      <c r="A97" s="1"/>
      <c r="B97" s="13">
        <v>45575</v>
      </c>
      <c r="C97" s="14">
        <v>440.85</v>
      </c>
      <c r="D97" s="15">
        <v>205755</v>
      </c>
      <c r="E97" s="14">
        <v>445.01</v>
      </c>
      <c r="F97" s="14">
        <v>446.12700000000001</v>
      </c>
      <c r="G97" s="16">
        <v>437.33</v>
      </c>
      <c r="H97" s="69">
        <f t="shared" si="0"/>
        <v>-1.5586271576267685E-2</v>
      </c>
      <c r="M97" s="225">
        <f t="shared" si="1"/>
        <v>45580</v>
      </c>
      <c r="N97" s="1319">
        <f t="shared" si="2"/>
        <v>452.66</v>
      </c>
      <c r="O97" s="1319">
        <f t="shared" si="3"/>
        <v>452.66</v>
      </c>
      <c r="P97" s="1319">
        <f t="shared" si="4"/>
        <v>452.66</v>
      </c>
      <c r="Q97" s="35">
        <v>42459</v>
      </c>
      <c r="R97" s="36">
        <v>1.83E-2</v>
      </c>
      <c r="S97" s="37">
        <v>1.26E-2</v>
      </c>
      <c r="V97" t="s">
        <v>425</v>
      </c>
      <c r="W97">
        <v>227.02199999999999</v>
      </c>
      <c r="X97">
        <f>W97-X96</f>
        <v>98.606999999999999</v>
      </c>
      <c r="Z97" s="843">
        <v>44136</v>
      </c>
      <c r="AA97" s="841">
        <v>5.3499999999999999E-2</v>
      </c>
      <c r="AN97" s="225">
        <v>44682</v>
      </c>
      <c r="AO97" s="923" t="s">
        <v>528</v>
      </c>
      <c r="AP97" s="924">
        <v>9.7999999999999997E-3</v>
      </c>
    </row>
    <row r="98" spans="1:42" x14ac:dyDescent="0.2">
      <c r="A98" s="1"/>
      <c r="B98" s="13">
        <v>45574</v>
      </c>
      <c r="C98" s="14">
        <v>447.83</v>
      </c>
      <c r="D98" s="15">
        <v>361879</v>
      </c>
      <c r="E98" s="14">
        <v>451.07</v>
      </c>
      <c r="F98" s="14">
        <v>453.77</v>
      </c>
      <c r="G98" s="16">
        <v>445.8657</v>
      </c>
      <c r="H98" s="69">
        <f t="shared" si="0"/>
        <v>2.5228360156589691E-2</v>
      </c>
      <c r="M98" s="225">
        <f t="shared" si="1"/>
        <v>45579</v>
      </c>
      <c r="N98" s="1319">
        <f t="shared" si="2"/>
        <v>461.97</v>
      </c>
      <c r="O98" s="1319">
        <f t="shared" si="3"/>
        <v>461.97</v>
      </c>
      <c r="P98" s="1319">
        <f t="shared" si="4"/>
        <v>461.97</v>
      </c>
      <c r="Q98" s="35">
        <v>42460</v>
      </c>
      <c r="R98" s="36">
        <v>1.78E-2</v>
      </c>
      <c r="S98" s="37">
        <v>1.21E-2</v>
      </c>
      <c r="V98" t="s">
        <v>426</v>
      </c>
      <c r="W98">
        <v>340.52800000000002</v>
      </c>
      <c r="X98">
        <f>W98-X97-X96</f>
        <v>113.50600000000003</v>
      </c>
      <c r="Z98" s="843">
        <v>44166</v>
      </c>
      <c r="AA98" s="841">
        <v>4.9700000000000001E-2</v>
      </c>
      <c r="AN98" s="225">
        <v>44713</v>
      </c>
      <c r="AO98" s="923" t="s">
        <v>529</v>
      </c>
      <c r="AP98" s="924">
        <v>1.49E-2</v>
      </c>
    </row>
    <row r="99" spans="1:42" x14ac:dyDescent="0.2">
      <c r="A99" s="1"/>
      <c r="B99" s="13">
        <v>45573</v>
      </c>
      <c r="C99" s="14">
        <v>436.81</v>
      </c>
      <c r="D99" s="15">
        <v>182351</v>
      </c>
      <c r="E99" s="14">
        <v>427.51</v>
      </c>
      <c r="F99" s="14">
        <v>441.42500000000001</v>
      </c>
      <c r="G99" s="16">
        <v>426.82499999999999</v>
      </c>
      <c r="H99" s="69">
        <f t="shared" si="0"/>
        <v>2.8175313059034091E-2</v>
      </c>
      <c r="M99" s="225">
        <f t="shared" si="1"/>
        <v>45576</v>
      </c>
      <c r="N99" s="1319">
        <f t="shared" si="2"/>
        <v>463.37</v>
      </c>
      <c r="O99" s="1319">
        <f t="shared" si="3"/>
        <v>463.37</v>
      </c>
      <c r="P99" s="1319">
        <f t="shared" si="4"/>
        <v>463.37</v>
      </c>
      <c r="Q99" s="35">
        <v>42461</v>
      </c>
      <c r="R99" s="36">
        <v>1.7899999999999999E-2</v>
      </c>
      <c r="S99" s="37">
        <v>1.24E-2</v>
      </c>
      <c r="V99" t="s">
        <v>427</v>
      </c>
      <c r="W99">
        <v>439.87900000000002</v>
      </c>
      <c r="X99">
        <f>W99-X98-X97-X96</f>
        <v>99.350999999999999</v>
      </c>
      <c r="Z99" s="843">
        <v>44197</v>
      </c>
      <c r="AA99" s="841">
        <v>4.9399999999999999E-2</v>
      </c>
      <c r="AN99" s="225">
        <v>44743</v>
      </c>
      <c r="AO99" s="923" t="s">
        <v>293</v>
      </c>
      <c r="AP99" s="924">
        <v>2.23E-2</v>
      </c>
    </row>
    <row r="100" spans="1:42" x14ac:dyDescent="0.2">
      <c r="A100" s="1"/>
      <c r="B100" s="13">
        <v>45572</v>
      </c>
      <c r="C100" s="14">
        <v>424.84</v>
      </c>
      <c r="D100" s="15">
        <v>233459</v>
      </c>
      <c r="E100" s="14">
        <v>424.12</v>
      </c>
      <c r="F100" s="14">
        <v>427.36500000000001</v>
      </c>
      <c r="G100" s="16">
        <v>414.68</v>
      </c>
      <c r="H100" s="69">
        <f t="shared" si="0"/>
        <v>-7.707759144205184E-3</v>
      </c>
      <c r="M100" s="225">
        <f t="shared" si="1"/>
        <v>45575</v>
      </c>
      <c r="N100" s="1319">
        <f t="shared" si="2"/>
        <v>440.85</v>
      </c>
      <c r="O100" s="1319">
        <f t="shared" si="3"/>
        <v>440.85</v>
      </c>
      <c r="P100" s="1319">
        <f t="shared" si="4"/>
        <v>440.85</v>
      </c>
      <c r="Q100" s="35">
        <v>42464</v>
      </c>
      <c r="R100" s="36">
        <v>1.78E-2</v>
      </c>
      <c r="S100" s="37">
        <v>1.2199999999999999E-2</v>
      </c>
      <c r="X100">
        <f>SUM(X96:X99)</f>
        <v>439.87900000000002</v>
      </c>
      <c r="Z100" s="843">
        <v>44228</v>
      </c>
      <c r="AA100" s="841">
        <v>4.7500000000000001E-2</v>
      </c>
      <c r="AN100" s="225">
        <v>44774</v>
      </c>
      <c r="AO100" s="923" t="s">
        <v>530</v>
      </c>
      <c r="AP100" s="924">
        <v>2.63E-2</v>
      </c>
    </row>
    <row r="101" spans="1:42" x14ac:dyDescent="0.2">
      <c r="A101" s="1"/>
      <c r="B101" s="13">
        <v>45569</v>
      </c>
      <c r="C101" s="14">
        <v>428.14</v>
      </c>
      <c r="D101" s="15">
        <v>401242</v>
      </c>
      <c r="E101" s="14">
        <v>431.77</v>
      </c>
      <c r="F101" s="14">
        <v>436.85</v>
      </c>
      <c r="G101" s="16">
        <v>421.89</v>
      </c>
      <c r="H101" s="69">
        <f t="shared" si="0"/>
        <v>4.1748756919035568E-3</v>
      </c>
      <c r="M101" s="225">
        <f t="shared" si="1"/>
        <v>45574</v>
      </c>
      <c r="N101" s="1319">
        <f t="shared" si="2"/>
        <v>447.83</v>
      </c>
      <c r="O101" s="1319">
        <f t="shared" si="3"/>
        <v>447.83</v>
      </c>
      <c r="P101" s="1319">
        <f t="shared" si="4"/>
        <v>447.83</v>
      </c>
      <c r="Q101" s="35">
        <v>42465</v>
      </c>
      <c r="R101" s="36">
        <v>1.7299999999999999E-2</v>
      </c>
      <c r="S101" s="37">
        <v>1.1699999999999999E-2</v>
      </c>
      <c r="V101" t="s">
        <v>428</v>
      </c>
      <c r="W101">
        <v>457.16399999999999</v>
      </c>
      <c r="X101">
        <f>W101</f>
        <v>457.16399999999999</v>
      </c>
      <c r="Z101" s="843">
        <v>44256</v>
      </c>
      <c r="AA101" s="841">
        <v>4.5199999999999997E-2</v>
      </c>
      <c r="AN101" s="225">
        <v>44805</v>
      </c>
      <c r="AO101" s="923" t="s">
        <v>531</v>
      </c>
      <c r="AP101" s="924">
        <v>3.1300000000000001E-2</v>
      </c>
    </row>
    <row r="102" spans="1:42" x14ac:dyDescent="0.2">
      <c r="A102" s="1"/>
      <c r="B102" s="13">
        <v>45568</v>
      </c>
      <c r="C102" s="14">
        <v>426.36</v>
      </c>
      <c r="D102" s="15">
        <v>315727</v>
      </c>
      <c r="E102" s="14">
        <v>429.35</v>
      </c>
      <c r="F102" s="14">
        <v>433.22300000000001</v>
      </c>
      <c r="G102" s="16">
        <v>423.38</v>
      </c>
      <c r="H102" s="69">
        <f t="shared" si="0"/>
        <v>-8.7878365183428064E-3</v>
      </c>
      <c r="M102" s="225">
        <f t="shared" si="1"/>
        <v>45573</v>
      </c>
      <c r="N102" s="1319">
        <f t="shared" si="2"/>
        <v>436.81</v>
      </c>
      <c r="O102" s="1319">
        <f t="shared" si="3"/>
        <v>436.81</v>
      </c>
      <c r="P102" s="1319">
        <f t="shared" si="4"/>
        <v>436.81</v>
      </c>
      <c r="Q102" s="35">
        <v>42466</v>
      </c>
      <c r="R102" s="36">
        <v>1.7600000000000001E-2</v>
      </c>
      <c r="S102" s="37">
        <v>1.2E-2</v>
      </c>
      <c r="V102" t="s">
        <v>429</v>
      </c>
      <c r="W102">
        <v>681.91899999999998</v>
      </c>
      <c r="X102">
        <f>W102-W101</f>
        <v>224.755</v>
      </c>
      <c r="Z102" s="843">
        <v>44287</v>
      </c>
      <c r="AA102" s="841">
        <v>4.2200000000000001E-2</v>
      </c>
      <c r="AN102" s="225">
        <v>44835</v>
      </c>
      <c r="AO102" s="923" t="s">
        <v>294</v>
      </c>
      <c r="AP102" s="924">
        <v>3.7200000000000004E-2</v>
      </c>
    </row>
    <row r="103" spans="1:42" x14ac:dyDescent="0.2">
      <c r="A103" s="1"/>
      <c r="B103" s="13">
        <v>45567</v>
      </c>
      <c r="C103" s="14">
        <v>430.14</v>
      </c>
      <c r="D103" s="15">
        <v>291160</v>
      </c>
      <c r="E103" s="14">
        <v>432.2</v>
      </c>
      <c r="F103" s="14">
        <v>436.81</v>
      </c>
      <c r="G103" s="16">
        <v>426.07</v>
      </c>
      <c r="H103" s="69">
        <f t="shared" si="0"/>
        <v>-8.1627006087438003E-3</v>
      </c>
      <c r="M103" s="225">
        <f t="shared" si="1"/>
        <v>45572</v>
      </c>
      <c r="N103" s="1319">
        <f t="shared" si="2"/>
        <v>424.84</v>
      </c>
      <c r="O103" s="1319">
        <f t="shared" si="3"/>
        <v>424.84</v>
      </c>
      <c r="P103" s="1319">
        <f t="shared" si="4"/>
        <v>424.84</v>
      </c>
      <c r="Q103" s="35">
        <v>42467</v>
      </c>
      <c r="R103" s="36">
        <v>1.7000000000000001E-2</v>
      </c>
      <c r="S103" s="37">
        <v>1.1399999999999999E-2</v>
      </c>
      <c r="V103" t="s">
        <v>430</v>
      </c>
      <c r="W103">
        <v>875.30200000000002</v>
      </c>
      <c r="X103">
        <f>W103-X102-W101</f>
        <v>193.38300000000004</v>
      </c>
      <c r="Z103" s="843">
        <v>44317</v>
      </c>
      <c r="AA103" s="841">
        <v>4.07E-2</v>
      </c>
      <c r="AN103" s="225">
        <v>44866</v>
      </c>
      <c r="AO103" s="923" t="s">
        <v>532</v>
      </c>
      <c r="AP103" s="924">
        <v>4.1500000000000002E-2</v>
      </c>
    </row>
    <row r="104" spans="1:42" x14ac:dyDescent="0.2">
      <c r="A104" s="1"/>
      <c r="B104" s="13">
        <v>45566</v>
      </c>
      <c r="C104" s="14">
        <v>433.68</v>
      </c>
      <c r="D104" s="15">
        <v>279013</v>
      </c>
      <c r="E104" s="14">
        <v>433.39</v>
      </c>
      <c r="F104" s="14">
        <v>435</v>
      </c>
      <c r="G104" s="16">
        <v>423.3</v>
      </c>
      <c r="H104" s="69">
        <f t="shared" ref="H104:H167" si="5">C104/C105-1</f>
        <v>-8.187348488313595E-3</v>
      </c>
      <c r="M104" s="225">
        <f t="shared" si="1"/>
        <v>45569</v>
      </c>
      <c r="N104" s="1319">
        <f t="shared" si="2"/>
        <v>428.14</v>
      </c>
      <c r="O104" s="1319">
        <f t="shared" si="3"/>
        <v>428.14</v>
      </c>
      <c r="P104" s="1319">
        <f t="shared" si="4"/>
        <v>428.14</v>
      </c>
      <c r="Q104" s="35">
        <v>42468</v>
      </c>
      <c r="R104" s="36">
        <v>1.72E-2</v>
      </c>
      <c r="S104" s="37">
        <v>1.1599999999999999E-2</v>
      </c>
      <c r="Z104" s="843">
        <v>44348</v>
      </c>
      <c r="AA104" s="841">
        <v>4.2000000000000003E-2</v>
      </c>
      <c r="AN104" s="225">
        <v>44896</v>
      </c>
      <c r="AO104" s="923" t="s">
        <v>533</v>
      </c>
      <c r="AP104" s="924">
        <v>4.2500000000000003E-2</v>
      </c>
    </row>
    <row r="105" spans="1:42" x14ac:dyDescent="0.2">
      <c r="A105" s="1"/>
      <c r="B105" s="13">
        <v>45565</v>
      </c>
      <c r="C105" s="14">
        <v>437.26</v>
      </c>
      <c r="D105" s="15">
        <v>310077</v>
      </c>
      <c r="E105" s="14">
        <v>436.49</v>
      </c>
      <c r="F105" s="14">
        <v>448.68</v>
      </c>
      <c r="G105" s="16">
        <v>430.07</v>
      </c>
      <c r="H105" s="69">
        <f t="shared" si="5"/>
        <v>6.0742717776447464E-3</v>
      </c>
      <c r="M105" s="225">
        <f t="shared" si="1"/>
        <v>45568</v>
      </c>
      <c r="N105" s="1319">
        <f t="shared" si="2"/>
        <v>426.36</v>
      </c>
      <c r="O105" s="1319">
        <f t="shared" si="3"/>
        <v>426.36</v>
      </c>
      <c r="P105" s="1319">
        <f t="shared" si="4"/>
        <v>426.36</v>
      </c>
      <c r="Q105" s="35">
        <v>42471</v>
      </c>
      <c r="R105" s="36">
        <v>1.7299999999999999E-2</v>
      </c>
      <c r="S105" s="37">
        <v>1.1599999999999999E-2</v>
      </c>
      <c r="Z105" s="843">
        <v>44378</v>
      </c>
      <c r="AA105" s="841">
        <v>4.3099999999999999E-2</v>
      </c>
      <c r="AN105" s="225">
        <v>44927</v>
      </c>
      <c r="AO105" s="923" t="s">
        <v>295</v>
      </c>
      <c r="AP105" s="924">
        <v>4.5400000000000003E-2</v>
      </c>
    </row>
    <row r="106" spans="1:42" x14ac:dyDescent="0.2">
      <c r="A106" s="1"/>
      <c r="B106" s="13">
        <v>45562</v>
      </c>
      <c r="C106" s="14">
        <v>434.62</v>
      </c>
      <c r="D106" s="15">
        <v>225399</v>
      </c>
      <c r="E106" s="14">
        <v>436.6</v>
      </c>
      <c r="F106" s="14">
        <v>447</v>
      </c>
      <c r="G106" s="16">
        <v>428.03</v>
      </c>
      <c r="H106" s="69">
        <f t="shared" si="5"/>
        <v>7.7443887961416991E-3</v>
      </c>
      <c r="M106" s="225">
        <f t="shared" si="1"/>
        <v>45567</v>
      </c>
      <c r="N106" s="1319">
        <f t="shared" si="2"/>
        <v>430.14</v>
      </c>
      <c r="O106" s="1319">
        <f t="shared" si="3"/>
        <v>430.14</v>
      </c>
      <c r="P106" s="1319">
        <f t="shared" si="4"/>
        <v>430.14</v>
      </c>
      <c r="Q106" s="35">
        <v>42472</v>
      </c>
      <c r="R106" s="36">
        <v>1.7899999999999999E-2</v>
      </c>
      <c r="S106" s="37">
        <v>1.2199999999999999E-2</v>
      </c>
      <c r="Z106" s="843">
        <v>44409</v>
      </c>
      <c r="AA106" s="841">
        <v>4.3099999999999999E-2</v>
      </c>
      <c r="AN106" s="225">
        <v>44958</v>
      </c>
      <c r="AO106" s="923" t="s">
        <v>534</v>
      </c>
      <c r="AP106" s="924">
        <v>4.6500000000000007E-2</v>
      </c>
    </row>
    <row r="107" spans="1:42" x14ac:dyDescent="0.2">
      <c r="A107" s="1"/>
      <c r="B107" s="13">
        <v>45561</v>
      </c>
      <c r="C107" s="14">
        <v>431.28</v>
      </c>
      <c r="D107" s="15">
        <v>393203</v>
      </c>
      <c r="E107" s="14">
        <v>455.58</v>
      </c>
      <c r="F107" s="14">
        <v>460.72500000000002</v>
      </c>
      <c r="G107" s="16">
        <v>425.11500000000001</v>
      </c>
      <c r="H107" s="69">
        <f t="shared" si="5"/>
        <v>-4.2174695182890298E-2</v>
      </c>
      <c r="M107" s="225">
        <f t="shared" si="1"/>
        <v>45566</v>
      </c>
      <c r="N107" s="1319">
        <f t="shared" si="2"/>
        <v>433.68</v>
      </c>
      <c r="O107" s="1319">
        <f t="shared" si="3"/>
        <v>433.68</v>
      </c>
      <c r="P107" s="1319">
        <f t="shared" si="4"/>
        <v>433.68</v>
      </c>
      <c r="Q107" s="35">
        <v>42473</v>
      </c>
      <c r="R107" s="36">
        <v>1.77E-2</v>
      </c>
      <c r="S107" s="37">
        <v>1.2199999999999999E-2</v>
      </c>
      <c r="Z107" s="843">
        <v>44440</v>
      </c>
      <c r="AA107" s="841">
        <v>4.6100000000000002E-2</v>
      </c>
      <c r="AN107" s="225">
        <v>44986</v>
      </c>
      <c r="AO107" s="923" t="s">
        <v>535</v>
      </c>
      <c r="AP107" s="924">
        <v>4.6900000000000004E-2</v>
      </c>
    </row>
    <row r="108" spans="1:42" x14ac:dyDescent="0.2">
      <c r="A108" s="1"/>
      <c r="B108" s="13">
        <v>45560</v>
      </c>
      <c r="C108" s="14">
        <v>450.27</v>
      </c>
      <c r="D108" s="15">
        <v>285614</v>
      </c>
      <c r="E108" s="14">
        <v>458.03</v>
      </c>
      <c r="F108" s="14">
        <v>462.63</v>
      </c>
      <c r="G108" s="16">
        <v>448.58</v>
      </c>
      <c r="H108" s="69">
        <f t="shared" si="5"/>
        <v>-1.1980778092291589E-2</v>
      </c>
      <c r="M108" s="225">
        <f t="shared" si="1"/>
        <v>45565</v>
      </c>
      <c r="N108" s="1319">
        <f t="shared" si="2"/>
        <v>437.26</v>
      </c>
      <c r="O108" s="1319">
        <f t="shared" si="3"/>
        <v>437.26</v>
      </c>
      <c r="P108" s="1319">
        <f t="shared" si="4"/>
        <v>437.26</v>
      </c>
      <c r="Q108" s="35">
        <v>42474</v>
      </c>
      <c r="R108" s="36">
        <v>1.8000000000000002E-2</v>
      </c>
      <c r="S108" s="37">
        <v>1.26E-2</v>
      </c>
      <c r="Z108" s="843">
        <v>44470</v>
      </c>
      <c r="AA108" s="841">
        <v>4.8399999999999999E-2</v>
      </c>
      <c r="AN108" s="225">
        <v>45017</v>
      </c>
      <c r="AO108" s="923" t="s">
        <v>296</v>
      </c>
      <c r="AP108" s="924">
        <v>4.9200000000000001E-2</v>
      </c>
    </row>
    <row r="109" spans="1:42" x14ac:dyDescent="0.2">
      <c r="A109" s="1"/>
      <c r="B109" s="13">
        <v>45559</v>
      </c>
      <c r="C109" s="14">
        <v>455.73</v>
      </c>
      <c r="D109" s="15">
        <v>419426</v>
      </c>
      <c r="E109" s="14">
        <v>443.93</v>
      </c>
      <c r="F109" s="14">
        <v>456.20499999999998</v>
      </c>
      <c r="G109" s="16">
        <v>442.13979999999998</v>
      </c>
      <c r="H109" s="69">
        <f t="shared" si="5"/>
        <v>3.2137518684603794E-2</v>
      </c>
      <c r="M109" s="225">
        <f t="shared" ref="M109:M172" si="6">B106</f>
        <v>45562</v>
      </c>
      <c r="N109" s="1319">
        <f t="shared" ref="N109:N172" si="7">C106</f>
        <v>434.62</v>
      </c>
      <c r="O109" s="1319">
        <f t="shared" ref="O109:O172" si="8">N109</f>
        <v>434.62</v>
      </c>
      <c r="P109" s="1319">
        <f t="shared" ref="P109:P172" si="9">N109</f>
        <v>434.62</v>
      </c>
      <c r="Q109" s="35">
        <v>42475</v>
      </c>
      <c r="R109" s="36">
        <v>1.7600000000000001E-2</v>
      </c>
      <c r="S109" s="37">
        <v>1.2199999999999999E-2</v>
      </c>
      <c r="Z109" s="843">
        <v>44501</v>
      </c>
      <c r="AA109" s="841">
        <v>4.53E-2</v>
      </c>
      <c r="AN109" s="225">
        <v>45047</v>
      </c>
      <c r="AO109" s="923" t="s">
        <v>536</v>
      </c>
      <c r="AP109" s="924">
        <v>5.1399999999999994E-2</v>
      </c>
    </row>
    <row r="110" spans="1:42" x14ac:dyDescent="0.2">
      <c r="A110" s="1"/>
      <c r="B110" s="13">
        <v>45558</v>
      </c>
      <c r="C110" s="14">
        <v>441.54</v>
      </c>
      <c r="D110" s="15">
        <v>352107</v>
      </c>
      <c r="E110" s="14">
        <v>440.54</v>
      </c>
      <c r="F110" s="14">
        <v>442.39</v>
      </c>
      <c r="G110" s="16">
        <v>434.21</v>
      </c>
      <c r="H110" s="69">
        <f t="shared" si="5"/>
        <v>1.0897934887128535E-2</v>
      </c>
      <c r="M110" s="225">
        <f t="shared" si="6"/>
        <v>45561</v>
      </c>
      <c r="N110" s="1319">
        <f t="shared" si="7"/>
        <v>431.28</v>
      </c>
      <c r="O110" s="1319">
        <f t="shared" si="8"/>
        <v>431.28</v>
      </c>
      <c r="P110" s="1319">
        <f t="shared" si="9"/>
        <v>431.28</v>
      </c>
      <c r="Q110" s="35">
        <v>42478</v>
      </c>
      <c r="R110" s="36">
        <v>1.78E-2</v>
      </c>
      <c r="S110" s="37">
        <v>1.24E-2</v>
      </c>
      <c r="Z110" s="843">
        <v>44531</v>
      </c>
      <c r="AA110" s="841">
        <v>4.7699999999999999E-2</v>
      </c>
      <c r="AN110" s="225">
        <v>45078</v>
      </c>
      <c r="AO110" s="923" t="s">
        <v>537</v>
      </c>
      <c r="AP110" s="924">
        <v>5.16E-2</v>
      </c>
    </row>
    <row r="111" spans="1:42" x14ac:dyDescent="0.2">
      <c r="A111" s="1"/>
      <c r="B111" s="13">
        <v>45555</v>
      </c>
      <c r="C111" s="14">
        <v>436.78</v>
      </c>
      <c r="D111" s="15">
        <v>530464</v>
      </c>
      <c r="E111" s="14">
        <v>449.32</v>
      </c>
      <c r="F111" s="14">
        <v>449.32</v>
      </c>
      <c r="G111" s="16">
        <v>430.27</v>
      </c>
      <c r="H111" s="69">
        <f t="shared" si="5"/>
        <v>-3.7569133816627409E-2</v>
      </c>
      <c r="M111" s="225">
        <f t="shared" si="6"/>
        <v>45560</v>
      </c>
      <c r="N111" s="1319">
        <f t="shared" si="7"/>
        <v>450.27</v>
      </c>
      <c r="O111" s="1319">
        <f t="shared" si="8"/>
        <v>450.27</v>
      </c>
      <c r="P111" s="1319">
        <f t="shared" si="9"/>
        <v>450.27</v>
      </c>
      <c r="Q111" s="35">
        <v>42479</v>
      </c>
      <c r="R111" s="36">
        <v>1.7899999999999999E-2</v>
      </c>
      <c r="S111" s="37">
        <v>1.26E-2</v>
      </c>
      <c r="Z111" s="843">
        <v>44562</v>
      </c>
      <c r="AA111" s="841">
        <v>4.9000000000000002E-2</v>
      </c>
      <c r="AN111" s="225">
        <v>45108</v>
      </c>
      <c r="AO111" s="923" t="s">
        <v>297</v>
      </c>
      <c r="AP111" s="924">
        <v>5.2499999999999998E-2</v>
      </c>
    </row>
    <row r="112" spans="1:42" x14ac:dyDescent="0.2">
      <c r="A112" s="1"/>
      <c r="B112" s="13">
        <v>45554</v>
      </c>
      <c r="C112" s="14">
        <v>453.83</v>
      </c>
      <c r="D112" s="15">
        <v>264184</v>
      </c>
      <c r="E112" s="14">
        <v>455.8</v>
      </c>
      <c r="F112" s="14">
        <v>465.74</v>
      </c>
      <c r="G112" s="16">
        <v>451.18</v>
      </c>
      <c r="H112" s="69">
        <f t="shared" si="5"/>
        <v>2.1472461680433819E-2</v>
      </c>
      <c r="M112" s="225">
        <f t="shared" si="6"/>
        <v>45559</v>
      </c>
      <c r="N112" s="1319">
        <f t="shared" si="7"/>
        <v>455.73</v>
      </c>
      <c r="O112" s="1319">
        <f t="shared" si="8"/>
        <v>455.73</v>
      </c>
      <c r="P112" s="1319">
        <f t="shared" si="9"/>
        <v>455.73</v>
      </c>
      <c r="Q112" s="35">
        <v>42480</v>
      </c>
      <c r="R112" s="36">
        <v>1.8500000000000003E-2</v>
      </c>
      <c r="S112" s="37">
        <v>1.32E-2</v>
      </c>
      <c r="Z112" s="843">
        <v>44593</v>
      </c>
      <c r="AA112" s="841">
        <v>5.1700000000000003E-2</v>
      </c>
      <c r="AN112" s="225">
        <v>45139</v>
      </c>
      <c r="AO112" s="923" t="s">
        <v>538</v>
      </c>
      <c r="AP112" s="924">
        <v>5.2999999999999999E-2</v>
      </c>
    </row>
    <row r="113" spans="1:42" x14ac:dyDescent="0.2">
      <c r="A113" s="1"/>
      <c r="B113" s="13">
        <v>45553</v>
      </c>
      <c r="C113" s="14">
        <v>444.29</v>
      </c>
      <c r="D113" s="15">
        <v>332663</v>
      </c>
      <c r="E113" s="14">
        <v>441.71</v>
      </c>
      <c r="F113" s="14">
        <v>458.07</v>
      </c>
      <c r="G113" s="16">
        <v>434.09</v>
      </c>
      <c r="H113" s="69">
        <f t="shared" si="5"/>
        <v>1.3504573761890626E-2</v>
      </c>
      <c r="M113" s="225">
        <f t="shared" si="6"/>
        <v>45558</v>
      </c>
      <c r="N113" s="1319">
        <f t="shared" si="7"/>
        <v>441.54</v>
      </c>
      <c r="O113" s="1319">
        <f t="shared" si="8"/>
        <v>441.54</v>
      </c>
      <c r="P113" s="1319">
        <f t="shared" si="9"/>
        <v>441.54</v>
      </c>
      <c r="Q113" s="35">
        <v>42481</v>
      </c>
      <c r="R113" s="36">
        <v>1.8799999999999997E-2</v>
      </c>
      <c r="S113" s="37">
        <v>1.3500000000000002E-2</v>
      </c>
      <c r="Z113" s="843">
        <v>44621</v>
      </c>
      <c r="AA113" s="841">
        <v>5.3699999999999998E-2</v>
      </c>
      <c r="AN113" s="225">
        <v>45170</v>
      </c>
      <c r="AO113" s="923" t="s">
        <v>539</v>
      </c>
      <c r="AP113" s="924">
        <v>5.3200000000000004E-2</v>
      </c>
    </row>
    <row r="114" spans="1:42" x14ac:dyDescent="0.2">
      <c r="A114" s="1"/>
      <c r="B114" s="13">
        <v>45552</v>
      </c>
      <c r="C114" s="14">
        <v>438.37</v>
      </c>
      <c r="D114" s="15">
        <v>288267</v>
      </c>
      <c r="E114" s="14">
        <v>439.89</v>
      </c>
      <c r="F114" s="14">
        <v>448.83</v>
      </c>
      <c r="G114" s="16">
        <v>436.07499999999999</v>
      </c>
      <c r="H114" s="69">
        <f t="shared" si="5"/>
        <v>8.1874841884961302E-3</v>
      </c>
      <c r="M114" s="225">
        <f t="shared" si="6"/>
        <v>45555</v>
      </c>
      <c r="N114" s="1319">
        <f t="shared" si="7"/>
        <v>436.78</v>
      </c>
      <c r="O114" s="1319">
        <f t="shared" si="8"/>
        <v>436.78</v>
      </c>
      <c r="P114" s="1319">
        <f t="shared" si="9"/>
        <v>436.78</v>
      </c>
      <c r="Q114" s="35">
        <v>42482</v>
      </c>
      <c r="R114" s="36">
        <v>1.89E-2</v>
      </c>
      <c r="S114" s="37">
        <v>1.37E-2</v>
      </c>
      <c r="Z114" s="843">
        <v>44652</v>
      </c>
      <c r="AA114" s="841">
        <v>0.05</v>
      </c>
      <c r="AN114" s="225">
        <v>45200</v>
      </c>
      <c r="AO114" s="923" t="s">
        <v>298</v>
      </c>
      <c r="AP114" s="924">
        <v>5.3399999999999996E-2</v>
      </c>
    </row>
    <row r="115" spans="1:42" x14ac:dyDescent="0.2">
      <c r="A115" s="1"/>
      <c r="B115" s="13">
        <v>45551</v>
      </c>
      <c r="C115" s="14">
        <v>434.81</v>
      </c>
      <c r="D115" s="15">
        <v>216578</v>
      </c>
      <c r="E115" s="14">
        <v>433.11</v>
      </c>
      <c r="F115" s="14">
        <v>439.57</v>
      </c>
      <c r="G115" s="16">
        <v>431.3</v>
      </c>
      <c r="H115" s="69">
        <f t="shared" si="5"/>
        <v>5.3642858794422654E-3</v>
      </c>
      <c r="M115" s="225">
        <f t="shared" si="6"/>
        <v>45554</v>
      </c>
      <c r="N115" s="1319">
        <f t="shared" si="7"/>
        <v>453.83</v>
      </c>
      <c r="O115" s="1319">
        <f t="shared" si="8"/>
        <v>453.83</v>
      </c>
      <c r="P115" s="1319">
        <f t="shared" si="9"/>
        <v>453.83</v>
      </c>
      <c r="Q115" s="35">
        <v>42485</v>
      </c>
      <c r="R115" s="36">
        <v>1.9099999999999999E-2</v>
      </c>
      <c r="S115" s="37">
        <v>1.38E-2</v>
      </c>
      <c r="Z115" s="843">
        <v>44682</v>
      </c>
      <c r="AA115" s="841">
        <v>5.2299999999999999E-2</v>
      </c>
      <c r="AN115" s="225">
        <v>45231</v>
      </c>
      <c r="AO115" s="923" t="s">
        <v>540</v>
      </c>
      <c r="AP115" s="924">
        <v>5.2699999999999997E-2</v>
      </c>
    </row>
    <row r="116" spans="1:42" x14ac:dyDescent="0.2">
      <c r="A116" s="1"/>
      <c r="B116" s="13">
        <v>45548</v>
      </c>
      <c r="C116" s="14">
        <v>432.49</v>
      </c>
      <c r="D116" s="15">
        <v>221851</v>
      </c>
      <c r="E116" s="14">
        <v>424.17</v>
      </c>
      <c r="F116" s="14">
        <v>436.52</v>
      </c>
      <c r="G116" s="16">
        <v>423.09500000000003</v>
      </c>
      <c r="H116" s="69">
        <f t="shared" si="5"/>
        <v>2.9296967966109699E-2</v>
      </c>
      <c r="M116" s="225">
        <f t="shared" si="6"/>
        <v>45553</v>
      </c>
      <c r="N116" s="1319">
        <f t="shared" si="7"/>
        <v>444.29</v>
      </c>
      <c r="O116" s="1319">
        <f t="shared" si="8"/>
        <v>444.29</v>
      </c>
      <c r="P116" s="1319">
        <f t="shared" si="9"/>
        <v>444.29</v>
      </c>
      <c r="Q116" s="35">
        <v>42486</v>
      </c>
      <c r="R116" s="36">
        <v>1.9400000000000001E-2</v>
      </c>
      <c r="S116" s="37">
        <v>1.3999999999999999E-2</v>
      </c>
      <c r="Z116" s="843">
        <v>44713</v>
      </c>
      <c r="AA116" s="841">
        <v>5.1700000000000003E-2</v>
      </c>
      <c r="AN116" s="225">
        <v>45261</v>
      </c>
      <c r="AO116" s="923" t="s">
        <v>541</v>
      </c>
      <c r="AP116" s="924">
        <v>5.2400000000000002E-2</v>
      </c>
    </row>
    <row r="117" spans="1:42" x14ac:dyDescent="0.2">
      <c r="A117" s="1"/>
      <c r="B117" s="13">
        <v>45547</v>
      </c>
      <c r="C117" s="14">
        <v>420.18</v>
      </c>
      <c r="D117" s="15">
        <v>271399</v>
      </c>
      <c r="E117" s="14">
        <v>422.05</v>
      </c>
      <c r="F117" s="14">
        <v>425.065</v>
      </c>
      <c r="G117" s="16">
        <v>417.26</v>
      </c>
      <c r="H117" s="69">
        <f t="shared" si="5"/>
        <v>-2.2795269981478183E-3</v>
      </c>
      <c r="M117" s="225">
        <f t="shared" si="6"/>
        <v>45552</v>
      </c>
      <c r="N117" s="1319">
        <f t="shared" si="7"/>
        <v>438.37</v>
      </c>
      <c r="O117" s="1319">
        <f t="shared" si="8"/>
        <v>438.37</v>
      </c>
      <c r="P117" s="1319">
        <f t="shared" si="9"/>
        <v>438.37</v>
      </c>
      <c r="Q117" s="35">
        <v>42487</v>
      </c>
      <c r="R117" s="36">
        <v>1.8700000000000001E-2</v>
      </c>
      <c r="S117" s="37">
        <v>1.3300000000000001E-2</v>
      </c>
      <c r="Z117" s="843">
        <v>44743</v>
      </c>
      <c r="AA117" s="841">
        <v>5.6899999999999999E-2</v>
      </c>
      <c r="AN117" s="225">
        <v>45292</v>
      </c>
      <c r="AO117" s="923" t="s">
        <v>299</v>
      </c>
      <c r="AP117" s="924">
        <v>5.2199999999999996E-2</v>
      </c>
    </row>
    <row r="118" spans="1:42" x14ac:dyDescent="0.2">
      <c r="A118" s="1"/>
      <c r="B118" s="13">
        <v>45546</v>
      </c>
      <c r="C118" s="14">
        <v>421.14</v>
      </c>
      <c r="D118" s="15">
        <v>235851</v>
      </c>
      <c r="E118" s="14">
        <v>415.21</v>
      </c>
      <c r="F118" s="14">
        <v>422.3</v>
      </c>
      <c r="G118" s="16">
        <v>397.61</v>
      </c>
      <c r="H118" s="69">
        <f t="shared" si="5"/>
        <v>1.3232605139062548E-2</v>
      </c>
      <c r="M118" s="225">
        <f t="shared" si="6"/>
        <v>45551</v>
      </c>
      <c r="N118" s="1319">
        <f t="shared" si="7"/>
        <v>434.81</v>
      </c>
      <c r="O118" s="1319">
        <f t="shared" si="8"/>
        <v>434.81</v>
      </c>
      <c r="P118" s="1319">
        <f t="shared" si="9"/>
        <v>434.81</v>
      </c>
      <c r="Q118" s="35">
        <v>42488</v>
      </c>
      <c r="R118" s="36">
        <v>1.84E-2</v>
      </c>
      <c r="S118" s="37">
        <v>1.2800000000000001E-2</v>
      </c>
      <c r="Z118" s="843">
        <v>44774</v>
      </c>
      <c r="AA118" s="841">
        <v>5.2600000000000001E-2</v>
      </c>
      <c r="AN118" s="225">
        <v>45323</v>
      </c>
      <c r="AO118" s="923" t="s">
        <v>542</v>
      </c>
      <c r="AP118" s="924">
        <v>5.2400000000000002E-2</v>
      </c>
    </row>
    <row r="119" spans="1:42" x14ac:dyDescent="0.2">
      <c r="A119" s="1"/>
      <c r="B119" s="13">
        <v>45545</v>
      </c>
      <c r="C119" s="14">
        <v>415.64</v>
      </c>
      <c r="D119" s="15">
        <v>339337</v>
      </c>
      <c r="E119" s="14">
        <v>410.77</v>
      </c>
      <c r="F119" s="14">
        <v>420.23</v>
      </c>
      <c r="G119" s="16">
        <v>407.09</v>
      </c>
      <c r="H119" s="69">
        <f t="shared" si="5"/>
        <v>1.1732632296382883E-2</v>
      </c>
      <c r="M119" s="225">
        <f t="shared" si="6"/>
        <v>45548</v>
      </c>
      <c r="N119" s="1319">
        <f t="shared" si="7"/>
        <v>432.49</v>
      </c>
      <c r="O119" s="1319">
        <f t="shared" si="8"/>
        <v>432.49</v>
      </c>
      <c r="P119" s="1319">
        <f t="shared" si="9"/>
        <v>432.49</v>
      </c>
      <c r="Q119" s="35">
        <v>42489</v>
      </c>
      <c r="R119" s="36">
        <v>1.83E-2</v>
      </c>
      <c r="S119" s="37">
        <v>1.2800000000000001E-2</v>
      </c>
      <c r="Z119" s="843">
        <v>44805</v>
      </c>
      <c r="AA119" s="841">
        <v>5.0999999999999997E-2</v>
      </c>
      <c r="AN119" s="225">
        <v>45352</v>
      </c>
      <c r="AO119" s="923" t="s">
        <v>543</v>
      </c>
      <c r="AP119" s="924">
        <v>5.2400000000000002E-2</v>
      </c>
    </row>
    <row r="120" spans="1:42" x14ac:dyDescent="0.2">
      <c r="A120" s="1"/>
      <c r="B120" s="13">
        <v>45544</v>
      </c>
      <c r="C120" s="14">
        <v>410.82</v>
      </c>
      <c r="D120" s="15">
        <v>307548</v>
      </c>
      <c r="E120" s="14">
        <v>405.7</v>
      </c>
      <c r="F120" s="14">
        <v>414.2</v>
      </c>
      <c r="G120" s="16">
        <v>403.93</v>
      </c>
      <c r="H120" s="69">
        <f t="shared" si="5"/>
        <v>2.0949824796838934E-2</v>
      </c>
      <c r="M120" s="225">
        <f t="shared" si="6"/>
        <v>45547</v>
      </c>
      <c r="N120" s="1319">
        <f t="shared" si="7"/>
        <v>420.18</v>
      </c>
      <c r="O120" s="1319">
        <f t="shared" si="8"/>
        <v>420.18</v>
      </c>
      <c r="P120" s="1319">
        <f t="shared" si="9"/>
        <v>420.18</v>
      </c>
      <c r="Q120" s="35">
        <v>42492</v>
      </c>
      <c r="R120" s="36">
        <v>1.8799999999999997E-2</v>
      </c>
      <c r="S120" s="37">
        <v>1.32E-2</v>
      </c>
      <c r="Z120" s="843">
        <v>44835</v>
      </c>
      <c r="AA120" s="841">
        <v>5.2999999999999999E-2</v>
      </c>
      <c r="AN120" s="225">
        <v>45383</v>
      </c>
      <c r="AO120" s="923" t="s">
        <v>300</v>
      </c>
      <c r="AP120" s="924">
        <v>5.2400000000000002E-2</v>
      </c>
    </row>
    <row r="121" spans="1:42" x14ac:dyDescent="0.2">
      <c r="A121" s="1"/>
      <c r="B121" s="13">
        <v>45541</v>
      </c>
      <c r="C121" s="14">
        <v>402.39</v>
      </c>
      <c r="D121" s="15">
        <v>341442</v>
      </c>
      <c r="E121" s="14">
        <v>399.77</v>
      </c>
      <c r="F121" s="14">
        <v>408.67</v>
      </c>
      <c r="G121" s="16">
        <v>392.34</v>
      </c>
      <c r="H121" s="69">
        <f t="shared" si="5"/>
        <v>1.0091121319376395E-2</v>
      </c>
      <c r="M121" s="225">
        <f t="shared" si="6"/>
        <v>45546</v>
      </c>
      <c r="N121" s="1319">
        <f t="shared" si="7"/>
        <v>421.14</v>
      </c>
      <c r="O121" s="1319">
        <f t="shared" si="8"/>
        <v>421.14</v>
      </c>
      <c r="P121" s="1319">
        <f t="shared" si="9"/>
        <v>421.14</v>
      </c>
      <c r="Q121" s="35">
        <v>42493</v>
      </c>
      <c r="R121" s="36">
        <v>1.8100000000000002E-2</v>
      </c>
      <c r="S121" s="37">
        <v>1.2500000000000001E-2</v>
      </c>
      <c r="Z121" s="843">
        <v>44866</v>
      </c>
      <c r="AA121" s="841">
        <v>4.5900000000000003E-2</v>
      </c>
      <c r="AN121" s="225">
        <v>45413</v>
      </c>
      <c r="AO121" s="923" t="s">
        <v>544</v>
      </c>
      <c r="AP121" s="924">
        <v>5.2499999999999998E-2</v>
      </c>
    </row>
    <row r="122" spans="1:42" x14ac:dyDescent="0.2">
      <c r="A122" s="1"/>
      <c r="B122" s="13">
        <v>45540</v>
      </c>
      <c r="C122" s="14">
        <v>398.37</v>
      </c>
      <c r="D122" s="15">
        <v>584508</v>
      </c>
      <c r="E122" s="14">
        <v>411.03</v>
      </c>
      <c r="F122" s="14">
        <v>411.03</v>
      </c>
      <c r="G122" s="16">
        <v>387.78</v>
      </c>
      <c r="H122" s="69">
        <f t="shared" si="5"/>
        <v>-4.5385924133138467E-2</v>
      </c>
      <c r="M122" s="225">
        <f t="shared" si="6"/>
        <v>45545</v>
      </c>
      <c r="N122" s="1319">
        <f t="shared" si="7"/>
        <v>415.64</v>
      </c>
      <c r="O122" s="1319">
        <f t="shared" si="8"/>
        <v>415.64</v>
      </c>
      <c r="P122" s="1319">
        <f t="shared" si="9"/>
        <v>415.64</v>
      </c>
      <c r="Q122" s="35">
        <v>42494</v>
      </c>
      <c r="R122" s="36">
        <v>1.7899999999999999E-2</v>
      </c>
      <c r="S122" s="37">
        <v>1.23E-2</v>
      </c>
      <c r="Z122" s="843">
        <v>44896</v>
      </c>
      <c r="AA122" s="841">
        <v>4.5499999999999999E-2</v>
      </c>
      <c r="AN122" s="225">
        <v>45444</v>
      </c>
      <c r="AO122" s="923" t="s">
        <v>545</v>
      </c>
      <c r="AP122" s="924">
        <v>5.2400000000000002E-2</v>
      </c>
    </row>
    <row r="123" spans="1:42" x14ac:dyDescent="0.2">
      <c r="A123" s="1"/>
      <c r="B123" s="13">
        <v>45539</v>
      </c>
      <c r="C123" s="14">
        <v>417.31</v>
      </c>
      <c r="D123" s="15">
        <v>734434</v>
      </c>
      <c r="E123" s="14">
        <v>405.27</v>
      </c>
      <c r="F123" s="14">
        <v>420.51</v>
      </c>
      <c r="G123" s="16">
        <v>397.61</v>
      </c>
      <c r="H123" s="69">
        <f t="shared" si="5"/>
        <v>9.65105891008462E-2</v>
      </c>
      <c r="M123" s="225">
        <f t="shared" si="6"/>
        <v>45544</v>
      </c>
      <c r="N123" s="1319">
        <f t="shared" si="7"/>
        <v>410.82</v>
      </c>
      <c r="O123" s="1319">
        <f t="shared" si="8"/>
        <v>410.82</v>
      </c>
      <c r="P123" s="1319">
        <f t="shared" si="9"/>
        <v>410.82</v>
      </c>
      <c r="Q123" s="35">
        <v>42495</v>
      </c>
      <c r="R123" s="36">
        <v>1.7600000000000001E-2</v>
      </c>
      <c r="S123" s="37">
        <v>1.2E-2</v>
      </c>
      <c r="Z123" s="843">
        <v>44927</v>
      </c>
      <c r="AA123" s="841">
        <v>5.11E-2</v>
      </c>
      <c r="AN123" s="225">
        <v>45474</v>
      </c>
      <c r="AO123" s="923" t="s">
        <v>301</v>
      </c>
      <c r="AP123" s="924">
        <v>5.2000000000000005E-2</v>
      </c>
    </row>
    <row r="124" spans="1:42" x14ac:dyDescent="0.2">
      <c r="A124" s="1"/>
      <c r="B124" s="13">
        <v>45538</v>
      </c>
      <c r="C124" s="14">
        <v>380.58</v>
      </c>
      <c r="D124" s="15">
        <v>386257</v>
      </c>
      <c r="E124" s="14">
        <v>373.62</v>
      </c>
      <c r="F124" s="14">
        <v>388.94299999999998</v>
      </c>
      <c r="G124" s="16">
        <v>372.25</v>
      </c>
      <c r="H124" s="69">
        <f t="shared" si="5"/>
        <v>1.263869302610221E-2</v>
      </c>
      <c r="M124" s="225">
        <f t="shared" si="6"/>
        <v>45541</v>
      </c>
      <c r="N124" s="1319">
        <f t="shared" si="7"/>
        <v>402.39</v>
      </c>
      <c r="O124" s="1319">
        <f t="shared" si="8"/>
        <v>402.39</v>
      </c>
      <c r="P124" s="1319">
        <f t="shared" si="9"/>
        <v>402.39</v>
      </c>
      <c r="Q124" s="35">
        <v>42496</v>
      </c>
      <c r="R124" s="36">
        <v>1.7899999999999999E-2</v>
      </c>
      <c r="S124" s="37">
        <v>1.23E-2</v>
      </c>
      <c r="Z124" s="843">
        <v>44958</v>
      </c>
      <c r="AA124" s="841">
        <v>4.8899999999999999E-2</v>
      </c>
      <c r="AN124" s="225">
        <v>45505</v>
      </c>
      <c r="AO124" s="923" t="s">
        <v>546</v>
      </c>
      <c r="AP124" s="924">
        <v>5.0499999999999996E-2</v>
      </c>
    </row>
    <row r="125" spans="1:42" x14ac:dyDescent="0.2">
      <c r="A125" s="1"/>
      <c r="B125" s="13">
        <v>45534</v>
      </c>
      <c r="C125" s="14">
        <v>375.83</v>
      </c>
      <c r="D125" s="15">
        <v>509474</v>
      </c>
      <c r="E125" s="14">
        <v>374.53</v>
      </c>
      <c r="F125" s="14">
        <v>380.6</v>
      </c>
      <c r="G125" s="16">
        <v>363.82400000000001</v>
      </c>
      <c r="H125" s="69">
        <f t="shared" si="5"/>
        <v>4.1681139284472923E-3</v>
      </c>
      <c r="M125" s="225">
        <f t="shared" si="6"/>
        <v>45540</v>
      </c>
      <c r="N125" s="1319">
        <f t="shared" si="7"/>
        <v>398.37</v>
      </c>
      <c r="O125" s="1319">
        <f t="shared" si="8"/>
        <v>398.37</v>
      </c>
      <c r="P125" s="1319">
        <f t="shared" si="9"/>
        <v>398.37</v>
      </c>
      <c r="Q125" s="35">
        <v>42499</v>
      </c>
      <c r="R125" s="36">
        <v>1.77E-2</v>
      </c>
      <c r="S125" s="37">
        <v>1.2E-2</v>
      </c>
      <c r="Z125" s="843">
        <v>44986</v>
      </c>
      <c r="AA125" s="841">
        <v>4.7800000000000002E-2</v>
      </c>
      <c r="AN125" s="225">
        <v>45536</v>
      </c>
      <c r="AO125" s="923" t="s">
        <v>547</v>
      </c>
      <c r="AP125" s="924">
        <v>4.7199999999999999E-2</v>
      </c>
    </row>
    <row r="126" spans="1:42" x14ac:dyDescent="0.2">
      <c r="A126" s="1"/>
      <c r="B126" s="13">
        <v>45533</v>
      </c>
      <c r="C126" s="14">
        <v>374.27</v>
      </c>
      <c r="D126" s="15">
        <v>423377</v>
      </c>
      <c r="E126" s="14">
        <v>374</v>
      </c>
      <c r="F126" s="14">
        <v>374.93</v>
      </c>
      <c r="G126" s="16">
        <v>367.91</v>
      </c>
      <c r="H126" s="69">
        <f t="shared" si="5"/>
        <v>7.8903430818118014E-3</v>
      </c>
      <c r="M126" s="225">
        <f t="shared" si="6"/>
        <v>45539</v>
      </c>
      <c r="N126" s="1319">
        <f t="shared" si="7"/>
        <v>417.31</v>
      </c>
      <c r="O126" s="1319">
        <f t="shared" si="8"/>
        <v>417.31</v>
      </c>
      <c r="P126" s="1319">
        <f t="shared" si="9"/>
        <v>417.31</v>
      </c>
      <c r="Q126" s="35">
        <v>42500</v>
      </c>
      <c r="R126" s="36">
        <v>1.77E-2</v>
      </c>
      <c r="S126" s="37">
        <v>1.2E-2</v>
      </c>
      <c r="Z126" s="843">
        <v>45017</v>
      </c>
      <c r="AA126" s="841">
        <v>4.8800000000000003E-2</v>
      </c>
      <c r="AN126" s="225">
        <v>45566</v>
      </c>
      <c r="AO126" s="923" t="s">
        <v>548</v>
      </c>
      <c r="AP126" s="924">
        <v>4.5100000000000001E-2</v>
      </c>
    </row>
    <row r="127" spans="1:42" x14ac:dyDescent="0.2">
      <c r="A127" s="1"/>
      <c r="B127" s="13">
        <v>45532</v>
      </c>
      <c r="C127" s="14">
        <v>371.34</v>
      </c>
      <c r="D127" s="15">
        <v>239610</v>
      </c>
      <c r="E127" s="14">
        <v>374.78</v>
      </c>
      <c r="F127" s="14">
        <v>376.84500000000003</v>
      </c>
      <c r="G127" s="16">
        <v>369.56</v>
      </c>
      <c r="H127" s="69">
        <f t="shared" si="5"/>
        <v>-8.967173738991252E-3</v>
      </c>
      <c r="M127" s="225">
        <f t="shared" si="6"/>
        <v>45538</v>
      </c>
      <c r="N127" s="1319">
        <f t="shared" si="7"/>
        <v>380.58</v>
      </c>
      <c r="O127" s="1319">
        <f t="shared" si="8"/>
        <v>380.58</v>
      </c>
      <c r="P127" s="1319">
        <f t="shared" si="9"/>
        <v>380.58</v>
      </c>
      <c r="Q127" s="35">
        <v>42501</v>
      </c>
      <c r="R127" s="36">
        <v>1.7299999999999999E-2</v>
      </c>
      <c r="S127" s="37">
        <v>1.2E-2</v>
      </c>
      <c r="Z127" s="843">
        <v>45047</v>
      </c>
      <c r="AA127" s="841">
        <v>4.7699999999999999E-2</v>
      </c>
      <c r="AN127" s="225">
        <v>45597</v>
      </c>
      <c r="AO127" s="923" t="s">
        <v>549</v>
      </c>
      <c r="AP127" s="924">
        <v>4.4199999999999996E-2</v>
      </c>
    </row>
    <row r="128" spans="1:42" x14ac:dyDescent="0.2">
      <c r="A128" s="1"/>
      <c r="B128" s="13">
        <v>45531</v>
      </c>
      <c r="C128" s="14">
        <v>374.7</v>
      </c>
      <c r="D128" s="15">
        <v>345741</v>
      </c>
      <c r="E128" s="14">
        <v>387.98</v>
      </c>
      <c r="F128" s="14">
        <v>387.98</v>
      </c>
      <c r="G128" s="16">
        <v>370.42</v>
      </c>
      <c r="H128" s="69">
        <f t="shared" si="5"/>
        <v>-4.5325995566766086E-2</v>
      </c>
      <c r="M128" s="225">
        <f t="shared" si="6"/>
        <v>45534</v>
      </c>
      <c r="N128" s="1319">
        <f t="shared" si="7"/>
        <v>375.83</v>
      </c>
      <c r="O128" s="1319">
        <f t="shared" si="8"/>
        <v>375.83</v>
      </c>
      <c r="P128" s="1319">
        <f t="shared" si="9"/>
        <v>375.83</v>
      </c>
      <c r="Q128" s="35">
        <v>42502</v>
      </c>
      <c r="R128" s="36">
        <v>1.7500000000000002E-2</v>
      </c>
      <c r="S128" s="37">
        <v>1.24E-2</v>
      </c>
      <c r="Z128" s="843">
        <v>45078</v>
      </c>
      <c r="AA128" s="841">
        <v>4.65E-2</v>
      </c>
      <c r="AN128" s="225">
        <v>45627</v>
      </c>
      <c r="AO128" s="923" t="s">
        <v>550</v>
      </c>
      <c r="AP128" s="924">
        <v>4.2699999999999995E-2</v>
      </c>
    </row>
    <row r="129" spans="1:27" x14ac:dyDescent="0.2">
      <c r="A129" s="1"/>
      <c r="B129" s="13">
        <v>45530</v>
      </c>
      <c r="C129" s="14">
        <v>392.49</v>
      </c>
      <c r="D129" s="15">
        <v>202000</v>
      </c>
      <c r="E129" s="14">
        <v>403.07</v>
      </c>
      <c r="F129" s="14">
        <v>407.92</v>
      </c>
      <c r="G129" s="16">
        <v>392</v>
      </c>
      <c r="H129" s="69">
        <f t="shared" si="5"/>
        <v>-2.4457534859443686E-2</v>
      </c>
      <c r="M129" s="225">
        <f t="shared" si="6"/>
        <v>45533</v>
      </c>
      <c r="N129" s="1319">
        <f t="shared" si="7"/>
        <v>374.27</v>
      </c>
      <c r="O129" s="1319">
        <f t="shared" si="8"/>
        <v>374.27</v>
      </c>
      <c r="P129" s="1319">
        <f t="shared" si="9"/>
        <v>374.27</v>
      </c>
      <c r="Q129" s="35">
        <v>42503</v>
      </c>
      <c r="R129" s="36">
        <v>1.7100000000000001E-2</v>
      </c>
      <c r="S129" s="37">
        <v>1.2199999999999999E-2</v>
      </c>
      <c r="Z129" s="843">
        <v>45108</v>
      </c>
      <c r="AA129" s="841">
        <v>4.5900000000000003E-2</v>
      </c>
    </row>
    <row r="130" spans="1:27" x14ac:dyDescent="0.2">
      <c r="A130" s="1"/>
      <c r="B130" s="13">
        <v>45527</v>
      </c>
      <c r="C130" s="14">
        <v>402.33</v>
      </c>
      <c r="D130" s="15">
        <v>215260</v>
      </c>
      <c r="E130" s="14">
        <v>398</v>
      </c>
      <c r="F130" s="14">
        <v>405.05</v>
      </c>
      <c r="G130" s="16">
        <v>393.91</v>
      </c>
      <c r="H130" s="69">
        <f t="shared" si="5"/>
        <v>2.0442843736525829E-2</v>
      </c>
      <c r="M130" s="225">
        <f t="shared" si="6"/>
        <v>45532</v>
      </c>
      <c r="N130" s="1319">
        <f t="shared" si="7"/>
        <v>371.34</v>
      </c>
      <c r="O130" s="1319">
        <f t="shared" si="8"/>
        <v>371.34</v>
      </c>
      <c r="P130" s="1319">
        <f t="shared" si="9"/>
        <v>371.34</v>
      </c>
      <c r="Q130" s="35">
        <v>42506</v>
      </c>
      <c r="R130" s="36">
        <v>1.7500000000000002E-2</v>
      </c>
      <c r="S130" s="37">
        <v>1.26E-2</v>
      </c>
      <c r="Z130" s="843">
        <v>45139</v>
      </c>
      <c r="AA130" s="841">
        <v>4.3799999999999999E-2</v>
      </c>
    </row>
    <row r="131" spans="1:27" x14ac:dyDescent="0.2">
      <c r="A131" s="1"/>
      <c r="B131" s="13">
        <v>45526</v>
      </c>
      <c r="C131" s="14">
        <v>394.27</v>
      </c>
      <c r="D131" s="15">
        <v>183953</v>
      </c>
      <c r="E131" s="14">
        <v>396.85</v>
      </c>
      <c r="F131" s="14">
        <v>400.17</v>
      </c>
      <c r="G131" s="16">
        <v>391</v>
      </c>
      <c r="H131" s="69">
        <f t="shared" si="5"/>
        <v>-8.1756892734956566E-3</v>
      </c>
      <c r="M131" s="225">
        <f t="shared" si="6"/>
        <v>45531</v>
      </c>
      <c r="N131" s="1319">
        <f t="shared" si="7"/>
        <v>374.7</v>
      </c>
      <c r="O131" s="1319">
        <f t="shared" si="8"/>
        <v>374.7</v>
      </c>
      <c r="P131" s="1319">
        <f t="shared" si="9"/>
        <v>374.7</v>
      </c>
      <c r="Q131" s="35">
        <v>42507</v>
      </c>
      <c r="R131" s="36">
        <v>1.7600000000000001E-2</v>
      </c>
      <c r="S131" s="37">
        <v>1.29E-2</v>
      </c>
      <c r="Z131" s="843">
        <v>45170</v>
      </c>
      <c r="AA131" s="841">
        <v>4.3999999999999997E-2</v>
      </c>
    </row>
    <row r="132" spans="1:27" x14ac:dyDescent="0.2">
      <c r="A132" s="1"/>
      <c r="B132" s="13">
        <v>45525</v>
      </c>
      <c r="C132" s="14">
        <v>397.52</v>
      </c>
      <c r="D132" s="15">
        <v>165280</v>
      </c>
      <c r="E132" s="14">
        <v>391.36</v>
      </c>
      <c r="F132" s="14">
        <v>399.05</v>
      </c>
      <c r="G132" s="16">
        <v>385.625</v>
      </c>
      <c r="H132" s="69">
        <f t="shared" si="5"/>
        <v>3.4696374189853829E-2</v>
      </c>
      <c r="M132" s="225">
        <f t="shared" si="6"/>
        <v>45530</v>
      </c>
      <c r="N132" s="1319">
        <f t="shared" si="7"/>
        <v>392.49</v>
      </c>
      <c r="O132" s="1319">
        <f t="shared" si="8"/>
        <v>392.49</v>
      </c>
      <c r="P132" s="1319">
        <f t="shared" si="9"/>
        <v>392.49</v>
      </c>
      <c r="Q132" s="35">
        <v>42508</v>
      </c>
      <c r="R132" s="36">
        <v>1.8700000000000001E-2</v>
      </c>
      <c r="S132" s="37">
        <v>1.41E-2</v>
      </c>
      <c r="Z132" s="843">
        <v>45200</v>
      </c>
      <c r="AA132" s="841">
        <v>4.4699999999999997E-2</v>
      </c>
    </row>
    <row r="133" spans="1:27" x14ac:dyDescent="0.2">
      <c r="A133" s="1"/>
      <c r="B133" s="13">
        <v>45524</v>
      </c>
      <c r="C133" s="14">
        <v>384.19</v>
      </c>
      <c r="D133" s="15">
        <v>262495</v>
      </c>
      <c r="E133" s="14">
        <v>390</v>
      </c>
      <c r="F133" s="14">
        <v>392.44</v>
      </c>
      <c r="G133" s="16">
        <v>379.16</v>
      </c>
      <c r="H133" s="69">
        <f t="shared" si="5"/>
        <v>-1.4265554842847972E-2</v>
      </c>
      <c r="M133" s="225">
        <f t="shared" si="6"/>
        <v>45527</v>
      </c>
      <c r="N133" s="1319">
        <f t="shared" si="7"/>
        <v>402.33</v>
      </c>
      <c r="O133" s="1319">
        <f t="shared" si="8"/>
        <v>402.33</v>
      </c>
      <c r="P133" s="1319">
        <f t="shared" si="9"/>
        <v>402.33</v>
      </c>
      <c r="Q133" s="35">
        <v>42509</v>
      </c>
      <c r="R133" s="36">
        <v>1.8500000000000003E-2</v>
      </c>
      <c r="S133" s="37">
        <v>1.38E-2</v>
      </c>
      <c r="Z133" s="843">
        <v>45231</v>
      </c>
      <c r="AA133" s="841">
        <v>4.3900000000000002E-2</v>
      </c>
    </row>
    <row r="134" spans="1:27" x14ac:dyDescent="0.2">
      <c r="A134" s="1"/>
      <c r="B134" s="13">
        <v>45523</v>
      </c>
      <c r="C134" s="14">
        <v>389.75</v>
      </c>
      <c r="D134" s="15">
        <v>213760</v>
      </c>
      <c r="E134" s="14">
        <v>392.36</v>
      </c>
      <c r="F134" s="14">
        <v>392.36</v>
      </c>
      <c r="G134" s="16">
        <v>385.6977</v>
      </c>
      <c r="H134" s="69">
        <f t="shared" si="5"/>
        <v>-6.9810695813906642E-3</v>
      </c>
      <c r="M134" s="225">
        <f t="shared" si="6"/>
        <v>45526</v>
      </c>
      <c r="N134" s="1319">
        <f t="shared" si="7"/>
        <v>394.27</v>
      </c>
      <c r="O134" s="1319">
        <f t="shared" si="8"/>
        <v>394.27</v>
      </c>
      <c r="P134" s="1319">
        <f t="shared" si="9"/>
        <v>394.27</v>
      </c>
      <c r="Q134" s="35">
        <v>42510</v>
      </c>
      <c r="R134" s="36">
        <v>1.8500000000000003E-2</v>
      </c>
      <c r="S134" s="37">
        <v>1.38E-2</v>
      </c>
      <c r="Z134" s="843">
        <v>45261</v>
      </c>
      <c r="AA134" s="841">
        <v>4.2500000000000003E-2</v>
      </c>
    </row>
    <row r="135" spans="1:27" x14ac:dyDescent="0.2">
      <c r="A135" s="1"/>
      <c r="B135" s="13">
        <v>45520</v>
      </c>
      <c r="C135" s="14">
        <v>392.49</v>
      </c>
      <c r="D135" s="15">
        <v>347732</v>
      </c>
      <c r="E135" s="14">
        <v>385.49</v>
      </c>
      <c r="F135" s="14">
        <v>395.85500000000002</v>
      </c>
      <c r="G135" s="16">
        <v>382.99</v>
      </c>
      <c r="H135" s="69">
        <f t="shared" si="5"/>
        <v>1.5169738118331777E-2</v>
      </c>
      <c r="M135" s="225">
        <f t="shared" si="6"/>
        <v>45525</v>
      </c>
      <c r="N135" s="1319">
        <f t="shared" si="7"/>
        <v>397.52</v>
      </c>
      <c r="O135" s="1319">
        <f t="shared" si="8"/>
        <v>397.52</v>
      </c>
      <c r="P135" s="1319">
        <f t="shared" si="9"/>
        <v>397.52</v>
      </c>
      <c r="Q135" s="35">
        <v>42513</v>
      </c>
      <c r="R135" s="36">
        <v>1.84E-2</v>
      </c>
      <c r="S135" s="37">
        <v>1.38E-2</v>
      </c>
      <c r="Z135" s="843">
        <v>45292</v>
      </c>
      <c r="AA135" s="841">
        <v>4.5699999999999998E-2</v>
      </c>
    </row>
    <row r="136" spans="1:27" x14ac:dyDescent="0.2">
      <c r="A136" s="1"/>
      <c r="B136" s="13">
        <v>45519</v>
      </c>
      <c r="C136" s="14">
        <v>386.625</v>
      </c>
      <c r="D136" s="15">
        <v>353932</v>
      </c>
      <c r="E136" s="14">
        <v>379.89</v>
      </c>
      <c r="F136" s="14">
        <v>394.21</v>
      </c>
      <c r="G136" s="16">
        <v>379.47500000000002</v>
      </c>
      <c r="H136" s="69">
        <f t="shared" si="5"/>
        <v>3.0175859312549846E-2</v>
      </c>
      <c r="M136" s="225">
        <f t="shared" si="6"/>
        <v>45524</v>
      </c>
      <c r="N136" s="1319">
        <f t="shared" si="7"/>
        <v>384.19</v>
      </c>
      <c r="O136" s="1319">
        <f t="shared" si="8"/>
        <v>384.19</v>
      </c>
      <c r="P136" s="1319">
        <f t="shared" si="9"/>
        <v>384.19</v>
      </c>
      <c r="Q136" s="35">
        <v>42514</v>
      </c>
      <c r="R136" s="36">
        <v>1.8600000000000002E-2</v>
      </c>
      <c r="S136" s="37">
        <v>1.41E-2</v>
      </c>
      <c r="Z136" s="843">
        <v>45323</v>
      </c>
      <c r="AA136" s="841">
        <v>4.4499999999999998E-2</v>
      </c>
    </row>
    <row r="137" spans="1:27" x14ac:dyDescent="0.2">
      <c r="A137" s="1"/>
      <c r="B137" s="13">
        <v>45518</v>
      </c>
      <c r="C137" s="14">
        <v>375.3</v>
      </c>
      <c r="D137" s="15">
        <v>212934</v>
      </c>
      <c r="E137" s="14">
        <v>377.66</v>
      </c>
      <c r="F137" s="14">
        <v>380.01</v>
      </c>
      <c r="G137" s="16">
        <v>369.05</v>
      </c>
      <c r="H137" s="69">
        <f t="shared" si="5"/>
        <v>1.3340448239060887E-3</v>
      </c>
      <c r="M137" s="225">
        <f t="shared" si="6"/>
        <v>45523</v>
      </c>
      <c r="N137" s="1319">
        <f t="shared" si="7"/>
        <v>389.75</v>
      </c>
      <c r="O137" s="1319">
        <f t="shared" si="8"/>
        <v>389.75</v>
      </c>
      <c r="P137" s="1319">
        <f t="shared" si="9"/>
        <v>389.75</v>
      </c>
      <c r="Q137" s="35">
        <v>42515</v>
      </c>
      <c r="R137" s="36">
        <v>1.8700000000000001E-2</v>
      </c>
      <c r="S137" s="37">
        <v>1.3999999999999999E-2</v>
      </c>
      <c r="Z137" s="843">
        <v>45352</v>
      </c>
      <c r="AA137" s="841">
        <v>4.1799999999999997E-2</v>
      </c>
    </row>
    <row r="138" spans="1:27" x14ac:dyDescent="0.2">
      <c r="A138" s="1"/>
      <c r="B138" s="13">
        <v>45517</v>
      </c>
      <c r="C138" s="14">
        <v>374.8</v>
      </c>
      <c r="D138" s="15">
        <v>443384</v>
      </c>
      <c r="E138" s="14">
        <v>370.87</v>
      </c>
      <c r="F138" s="14">
        <v>380.07</v>
      </c>
      <c r="G138" s="16">
        <v>368.01499999999999</v>
      </c>
      <c r="H138" s="69">
        <f t="shared" si="5"/>
        <v>1.9586507072905324E-2</v>
      </c>
      <c r="M138" s="225">
        <f t="shared" si="6"/>
        <v>45520</v>
      </c>
      <c r="N138" s="1319">
        <f t="shared" si="7"/>
        <v>392.49</v>
      </c>
      <c r="O138" s="1319">
        <f t="shared" si="8"/>
        <v>392.49</v>
      </c>
      <c r="P138" s="1319">
        <f t="shared" si="9"/>
        <v>392.49</v>
      </c>
      <c r="Q138" s="35">
        <v>42516</v>
      </c>
      <c r="R138" s="36">
        <v>1.83E-2</v>
      </c>
      <c r="S138" s="37">
        <v>1.3500000000000002E-2</v>
      </c>
      <c r="Z138" s="843">
        <v>45383</v>
      </c>
      <c r="AA138" s="841">
        <v>4.1300000000000003E-2</v>
      </c>
    </row>
    <row r="139" spans="1:27" x14ac:dyDescent="0.2">
      <c r="A139" s="1"/>
      <c r="B139" s="13">
        <v>45516</v>
      </c>
      <c r="C139" s="14">
        <v>367.6</v>
      </c>
      <c r="D139" s="15">
        <v>385071</v>
      </c>
      <c r="E139" s="14">
        <v>369.49</v>
      </c>
      <c r="F139" s="14">
        <v>372.16</v>
      </c>
      <c r="G139" s="16">
        <v>360.90499999999997</v>
      </c>
      <c r="H139" s="69">
        <f t="shared" si="5"/>
        <v>-9.4581121500363352E-3</v>
      </c>
      <c r="M139" s="225">
        <f t="shared" si="6"/>
        <v>45519</v>
      </c>
      <c r="N139" s="1319">
        <f t="shared" si="7"/>
        <v>386.625</v>
      </c>
      <c r="O139" s="1319">
        <f t="shared" si="8"/>
        <v>386.625</v>
      </c>
      <c r="P139" s="1319">
        <f t="shared" si="9"/>
        <v>386.625</v>
      </c>
      <c r="Q139" s="35">
        <v>42517</v>
      </c>
      <c r="R139" s="36">
        <v>1.8500000000000003E-2</v>
      </c>
      <c r="S139" s="37">
        <v>1.3899999999999999E-2</v>
      </c>
      <c r="Z139" s="843">
        <v>45413</v>
      </c>
      <c r="AA139" s="841">
        <v>4.1500000000000002E-2</v>
      </c>
    </row>
    <row r="140" spans="1:27" x14ac:dyDescent="0.2">
      <c r="A140" s="1"/>
      <c r="B140" s="13">
        <v>45513</v>
      </c>
      <c r="C140" s="14">
        <v>371.11</v>
      </c>
      <c r="D140" s="15">
        <v>397371</v>
      </c>
      <c r="E140" s="14">
        <v>384.07</v>
      </c>
      <c r="F140" s="14">
        <v>386.85500000000002</v>
      </c>
      <c r="G140" s="16">
        <v>369.56</v>
      </c>
      <c r="H140" s="69">
        <f t="shared" si="5"/>
        <v>-3.5351303579319371E-2</v>
      </c>
      <c r="M140" s="225">
        <f t="shared" si="6"/>
        <v>45518</v>
      </c>
      <c r="N140" s="1319">
        <f t="shared" si="7"/>
        <v>375.3</v>
      </c>
      <c r="O140" s="1319">
        <f t="shared" si="8"/>
        <v>375.3</v>
      </c>
      <c r="P140" s="1319">
        <f t="shared" si="9"/>
        <v>375.3</v>
      </c>
      <c r="Q140" s="35">
        <v>42521</v>
      </c>
      <c r="R140" s="36">
        <v>1.84E-2</v>
      </c>
      <c r="S140" s="37">
        <v>1.37E-2</v>
      </c>
      <c r="Z140" s="843">
        <v>45444</v>
      </c>
      <c r="AA140" s="841">
        <v>4.1200000000000001E-2</v>
      </c>
    </row>
    <row r="141" spans="1:27" x14ac:dyDescent="0.2">
      <c r="A141" s="1"/>
      <c r="B141" s="13">
        <v>45512</v>
      </c>
      <c r="C141" s="14">
        <v>384.71</v>
      </c>
      <c r="D141" s="15">
        <v>349539</v>
      </c>
      <c r="E141" s="14">
        <v>385.86</v>
      </c>
      <c r="F141" s="14">
        <v>389.17</v>
      </c>
      <c r="G141" s="16">
        <v>378.70499999999998</v>
      </c>
      <c r="H141" s="69">
        <f t="shared" si="5"/>
        <v>9.340154794700295E-3</v>
      </c>
      <c r="M141" s="225">
        <f t="shared" si="6"/>
        <v>45517</v>
      </c>
      <c r="N141" s="1319">
        <f t="shared" si="7"/>
        <v>374.8</v>
      </c>
      <c r="O141" s="1319">
        <f t="shared" si="8"/>
        <v>374.8</v>
      </c>
      <c r="P141" s="1319">
        <f t="shared" si="9"/>
        <v>374.8</v>
      </c>
      <c r="Q141" s="35">
        <v>42522</v>
      </c>
      <c r="R141" s="36">
        <v>1.8500000000000003E-2</v>
      </c>
      <c r="S141" s="37">
        <v>1.3899999999999999E-2</v>
      </c>
      <c r="Z141" s="843">
        <v>45474</v>
      </c>
      <c r="AA141" s="841">
        <v>3.9800000000000002E-2</v>
      </c>
    </row>
    <row r="142" spans="1:27" x14ac:dyDescent="0.2">
      <c r="A142" s="1"/>
      <c r="B142" s="13">
        <v>45511</v>
      </c>
      <c r="C142" s="14">
        <v>381.15</v>
      </c>
      <c r="D142" s="15">
        <v>307454</v>
      </c>
      <c r="E142" s="14">
        <v>394.22</v>
      </c>
      <c r="F142" s="14">
        <v>399.38</v>
      </c>
      <c r="G142" s="16">
        <v>378.76</v>
      </c>
      <c r="H142" s="69">
        <f t="shared" si="5"/>
        <v>-2.2667247878150776E-2</v>
      </c>
      <c r="M142" s="225">
        <f t="shared" si="6"/>
        <v>45516</v>
      </c>
      <c r="N142" s="1319">
        <f t="shared" si="7"/>
        <v>367.6</v>
      </c>
      <c r="O142" s="1319">
        <f t="shared" si="8"/>
        <v>367.6</v>
      </c>
      <c r="P142" s="1319">
        <f t="shared" si="9"/>
        <v>367.6</v>
      </c>
      <c r="Q142" s="35">
        <v>42523</v>
      </c>
      <c r="R142" s="36">
        <v>1.8100000000000002E-2</v>
      </c>
      <c r="S142" s="37">
        <v>1.3600000000000001E-2</v>
      </c>
      <c r="Z142" s="843">
        <v>45505</v>
      </c>
      <c r="AA142" s="841">
        <v>4.0599999999999997E-2</v>
      </c>
    </row>
    <row r="143" spans="1:27" x14ac:dyDescent="0.2">
      <c r="A143" s="1"/>
      <c r="B143" s="13">
        <v>45510</v>
      </c>
      <c r="C143" s="14">
        <v>389.99</v>
      </c>
      <c r="D143" s="15">
        <v>452852</v>
      </c>
      <c r="E143" s="14">
        <v>381.54</v>
      </c>
      <c r="F143" s="14">
        <v>398.84</v>
      </c>
      <c r="G143" s="16">
        <v>375.05</v>
      </c>
      <c r="H143" s="69">
        <f t="shared" si="5"/>
        <v>3.1883367730327627E-2</v>
      </c>
      <c r="M143" s="225">
        <f t="shared" si="6"/>
        <v>45513</v>
      </c>
      <c r="N143" s="1319">
        <f t="shared" si="7"/>
        <v>371.11</v>
      </c>
      <c r="O143" s="1319">
        <f t="shared" si="8"/>
        <v>371.11</v>
      </c>
      <c r="P143" s="1319">
        <f t="shared" si="9"/>
        <v>371.11</v>
      </c>
      <c r="Q143" s="35">
        <v>42524</v>
      </c>
      <c r="R143" s="36">
        <v>1.7100000000000001E-2</v>
      </c>
      <c r="S143" s="37">
        <v>1.23E-2</v>
      </c>
      <c r="Z143" s="843">
        <v>45536</v>
      </c>
      <c r="AA143" s="841" t="s">
        <v>437</v>
      </c>
    </row>
    <row r="144" spans="1:27" x14ac:dyDescent="0.2">
      <c r="A144" s="1"/>
      <c r="B144" s="13">
        <v>45509</v>
      </c>
      <c r="C144" s="14">
        <v>377.94</v>
      </c>
      <c r="D144" s="15">
        <v>495979</v>
      </c>
      <c r="E144" s="14">
        <v>364.43</v>
      </c>
      <c r="F144" s="14">
        <v>393.62</v>
      </c>
      <c r="G144" s="16">
        <v>358.9</v>
      </c>
      <c r="H144" s="69">
        <f t="shared" si="5"/>
        <v>-1.382945412796166E-2</v>
      </c>
      <c r="M144" s="225">
        <f t="shared" si="6"/>
        <v>45512</v>
      </c>
      <c r="N144" s="1319">
        <f t="shared" si="7"/>
        <v>384.71</v>
      </c>
      <c r="O144" s="1319">
        <f t="shared" si="8"/>
        <v>384.71</v>
      </c>
      <c r="P144" s="1319">
        <f t="shared" si="9"/>
        <v>384.71</v>
      </c>
      <c r="Q144" s="35">
        <v>42527</v>
      </c>
      <c r="R144" s="36">
        <v>1.7299999999999999E-2</v>
      </c>
      <c r="S144" s="37">
        <v>1.2500000000000001E-2</v>
      </c>
      <c r="Z144" s="843">
        <v>45566</v>
      </c>
      <c r="AA144" s="841">
        <v>3.9600000000000003E-2</v>
      </c>
    </row>
    <row r="145" spans="1:27" x14ac:dyDescent="0.2">
      <c r="A145" s="1"/>
      <c r="B145" s="13">
        <v>45506</v>
      </c>
      <c r="C145" s="14">
        <v>383.24</v>
      </c>
      <c r="D145" s="15">
        <v>552898</v>
      </c>
      <c r="E145" s="14">
        <v>386</v>
      </c>
      <c r="F145" s="14">
        <v>388.005</v>
      </c>
      <c r="G145" s="16">
        <v>368.75</v>
      </c>
      <c r="H145" s="69">
        <f t="shared" si="5"/>
        <v>-2.9796714007240266E-2</v>
      </c>
      <c r="M145" s="225">
        <f t="shared" si="6"/>
        <v>45511</v>
      </c>
      <c r="N145" s="1319">
        <f t="shared" si="7"/>
        <v>381.15</v>
      </c>
      <c r="O145" s="1319">
        <f t="shared" si="8"/>
        <v>381.15</v>
      </c>
      <c r="P145" s="1319">
        <f t="shared" si="9"/>
        <v>381.15</v>
      </c>
      <c r="Q145" s="35">
        <v>42528</v>
      </c>
      <c r="R145" s="36">
        <v>1.72E-2</v>
      </c>
      <c r="S145" s="37">
        <v>1.23E-2</v>
      </c>
      <c r="Z145" s="843">
        <v>45597</v>
      </c>
      <c r="AA145" s="841">
        <v>4.0599999999999997E-2</v>
      </c>
    </row>
    <row r="146" spans="1:27" x14ac:dyDescent="0.2">
      <c r="A146" s="1"/>
      <c r="B146" s="13">
        <v>45505</v>
      </c>
      <c r="C146" s="14">
        <v>395.01</v>
      </c>
      <c r="D146" s="15">
        <v>657781</v>
      </c>
      <c r="E146" s="14">
        <v>421.8</v>
      </c>
      <c r="F146" s="14">
        <v>425.21</v>
      </c>
      <c r="G146" s="16">
        <v>390.04</v>
      </c>
      <c r="H146" s="69">
        <f t="shared" si="5"/>
        <v>-5.4660763431853554E-2</v>
      </c>
      <c r="M146" s="225">
        <f t="shared" si="6"/>
        <v>45510</v>
      </c>
      <c r="N146" s="1319">
        <f t="shared" si="7"/>
        <v>389.99</v>
      </c>
      <c r="O146" s="1319">
        <f t="shared" si="8"/>
        <v>389.99</v>
      </c>
      <c r="P146" s="1319">
        <f t="shared" si="9"/>
        <v>389.99</v>
      </c>
      <c r="Q146" s="35">
        <v>42529</v>
      </c>
      <c r="R146" s="36">
        <v>1.7100000000000001E-2</v>
      </c>
      <c r="S146" s="37">
        <v>1.23E-2</v>
      </c>
      <c r="Z146" s="843">
        <v>45627</v>
      </c>
      <c r="AA146" s="841">
        <v>3.85E-2</v>
      </c>
    </row>
    <row r="147" spans="1:27" x14ac:dyDescent="0.2">
      <c r="A147" s="1"/>
      <c r="B147" s="13">
        <v>45504</v>
      </c>
      <c r="C147" s="14">
        <v>417.85</v>
      </c>
      <c r="D147" s="15">
        <v>593652</v>
      </c>
      <c r="E147" s="14">
        <v>412.22</v>
      </c>
      <c r="F147" s="14">
        <v>427.78</v>
      </c>
      <c r="G147" s="16">
        <v>409.53</v>
      </c>
      <c r="H147" s="69">
        <f t="shared" si="5"/>
        <v>2.261324979809598E-2</v>
      </c>
      <c r="M147" s="225">
        <f t="shared" si="6"/>
        <v>45509</v>
      </c>
      <c r="N147" s="1319">
        <f t="shared" si="7"/>
        <v>377.94</v>
      </c>
      <c r="O147" s="1319">
        <f t="shared" si="8"/>
        <v>377.94</v>
      </c>
      <c r="P147" s="1319">
        <f t="shared" si="9"/>
        <v>377.94</v>
      </c>
      <c r="Q147" s="35">
        <v>42530</v>
      </c>
      <c r="R147" s="36">
        <v>1.6799999999999999E-2</v>
      </c>
      <c r="S147" s="37">
        <v>1.2199999999999999E-2</v>
      </c>
      <c r="Z147" s="843">
        <v>45658</v>
      </c>
      <c r="AA147" s="841">
        <v>0.04</v>
      </c>
    </row>
    <row r="148" spans="1:27" x14ac:dyDescent="0.2">
      <c r="A148" s="1"/>
      <c r="B148" s="13">
        <v>45503</v>
      </c>
      <c r="C148" s="14">
        <v>408.61</v>
      </c>
      <c r="D148" s="15">
        <v>667536</v>
      </c>
      <c r="E148" s="14">
        <v>389.99</v>
      </c>
      <c r="F148" s="14">
        <v>414.18</v>
      </c>
      <c r="G148" s="16">
        <v>389.99</v>
      </c>
      <c r="H148" s="69">
        <f t="shared" si="5"/>
        <v>5.7999533932316716E-2</v>
      </c>
      <c r="M148" s="225">
        <f t="shared" si="6"/>
        <v>45506</v>
      </c>
      <c r="N148" s="1319">
        <f t="shared" si="7"/>
        <v>383.24</v>
      </c>
      <c r="O148" s="1319">
        <f t="shared" si="8"/>
        <v>383.24</v>
      </c>
      <c r="P148" s="1319">
        <f t="shared" si="9"/>
        <v>383.24</v>
      </c>
      <c r="Q148" s="35">
        <v>42531</v>
      </c>
      <c r="R148" s="36">
        <v>1.6399999999999998E-2</v>
      </c>
      <c r="S148" s="37">
        <v>1.1699999999999999E-2</v>
      </c>
      <c r="Z148" s="225"/>
      <c r="AA148" s="841"/>
    </row>
    <row r="149" spans="1:27" x14ac:dyDescent="0.2">
      <c r="A149" s="1"/>
      <c r="B149" s="13">
        <v>45502</v>
      </c>
      <c r="C149" s="14">
        <v>386.21</v>
      </c>
      <c r="D149" s="15">
        <v>880157</v>
      </c>
      <c r="E149" s="14">
        <v>397.33</v>
      </c>
      <c r="F149" s="14">
        <v>407.14</v>
      </c>
      <c r="G149" s="16">
        <v>381.74</v>
      </c>
      <c r="H149" s="69">
        <f t="shared" si="5"/>
        <v>-2.5780087278964858E-2</v>
      </c>
      <c r="M149" s="225">
        <f t="shared" si="6"/>
        <v>45505</v>
      </c>
      <c r="N149" s="1319">
        <f t="shared" si="7"/>
        <v>395.01</v>
      </c>
      <c r="O149" s="1319">
        <f t="shared" si="8"/>
        <v>395.01</v>
      </c>
      <c r="P149" s="1319">
        <f t="shared" si="9"/>
        <v>395.01</v>
      </c>
      <c r="Q149" s="35">
        <v>42534</v>
      </c>
      <c r="R149" s="36">
        <v>1.6200000000000003E-2</v>
      </c>
      <c r="S149" s="37">
        <v>1.1399999999999999E-2</v>
      </c>
      <c r="Z149" s="225"/>
      <c r="AA149" s="841"/>
    </row>
    <row r="150" spans="1:27" x14ac:dyDescent="0.2">
      <c r="A150" s="1"/>
      <c r="B150" s="13">
        <v>45499</v>
      </c>
      <c r="C150" s="14">
        <v>396.43</v>
      </c>
      <c r="D150" s="15">
        <v>2672005</v>
      </c>
      <c r="E150" s="14">
        <v>396.3</v>
      </c>
      <c r="F150" s="14">
        <v>427.67</v>
      </c>
      <c r="G150" s="16">
        <v>386.01</v>
      </c>
      <c r="H150" s="69">
        <f t="shared" si="5"/>
        <v>-0.18948702745803603</v>
      </c>
      <c r="M150" s="225">
        <f t="shared" si="6"/>
        <v>45504</v>
      </c>
      <c r="N150" s="1319">
        <f t="shared" si="7"/>
        <v>417.85</v>
      </c>
      <c r="O150" s="1319">
        <f t="shared" si="8"/>
        <v>417.85</v>
      </c>
      <c r="P150" s="1319">
        <f t="shared" si="9"/>
        <v>417.85</v>
      </c>
      <c r="Q150" s="35">
        <v>42535</v>
      </c>
      <c r="R150" s="36">
        <v>1.6200000000000003E-2</v>
      </c>
      <c r="S150" s="37">
        <v>1.15E-2</v>
      </c>
      <c r="Z150" s="225"/>
      <c r="AA150" s="842"/>
    </row>
    <row r="151" spans="1:27" x14ac:dyDescent="0.2">
      <c r="A151" s="1"/>
      <c r="B151" s="13">
        <v>45498</v>
      </c>
      <c r="C151" s="14">
        <v>489.11</v>
      </c>
      <c r="D151" s="15">
        <v>1130504</v>
      </c>
      <c r="E151" s="14">
        <v>479.14</v>
      </c>
      <c r="F151" s="14">
        <v>506.48500000000001</v>
      </c>
      <c r="G151" s="16">
        <v>475.43</v>
      </c>
      <c r="H151" s="69">
        <f t="shared" si="5"/>
        <v>1.3573441644562312E-2</v>
      </c>
      <c r="M151" s="225">
        <f t="shared" si="6"/>
        <v>45503</v>
      </c>
      <c r="N151" s="1319">
        <f t="shared" si="7"/>
        <v>408.61</v>
      </c>
      <c r="O151" s="1319">
        <f t="shared" si="8"/>
        <v>408.61</v>
      </c>
      <c r="P151" s="1319">
        <f t="shared" si="9"/>
        <v>408.61</v>
      </c>
      <c r="Q151" s="35">
        <v>42536</v>
      </c>
      <c r="R151" s="36">
        <v>1.6E-2</v>
      </c>
      <c r="S151" s="37">
        <v>1.1000000000000001E-2</v>
      </c>
      <c r="Z151" s="225"/>
      <c r="AA151" s="842"/>
    </row>
    <row r="152" spans="1:27" x14ac:dyDescent="0.2">
      <c r="A152" s="1"/>
      <c r="B152" s="13">
        <v>45497</v>
      </c>
      <c r="C152" s="14">
        <v>482.56</v>
      </c>
      <c r="D152" s="15">
        <v>549034</v>
      </c>
      <c r="E152" s="14">
        <v>482.31</v>
      </c>
      <c r="F152" s="14">
        <v>499.5</v>
      </c>
      <c r="G152" s="16">
        <v>460.05</v>
      </c>
      <c r="H152" s="69">
        <f t="shared" si="5"/>
        <v>5.5982914843766274E-4</v>
      </c>
      <c r="M152" s="225">
        <f t="shared" si="6"/>
        <v>45502</v>
      </c>
      <c r="N152" s="1319">
        <f t="shared" si="7"/>
        <v>386.21</v>
      </c>
      <c r="O152" s="1319">
        <f t="shared" si="8"/>
        <v>386.21</v>
      </c>
      <c r="P152" s="1319">
        <f t="shared" si="9"/>
        <v>386.21</v>
      </c>
      <c r="Q152" s="35">
        <v>42537</v>
      </c>
      <c r="R152" s="36">
        <v>1.5700000000000002E-2</v>
      </c>
      <c r="S152" s="37">
        <v>1.1000000000000001E-2</v>
      </c>
    </row>
    <row r="153" spans="1:27" x14ac:dyDescent="0.2">
      <c r="A153" s="1"/>
      <c r="B153" s="13">
        <v>45496</v>
      </c>
      <c r="C153" s="14">
        <v>482.29</v>
      </c>
      <c r="D153" s="15">
        <v>484646</v>
      </c>
      <c r="E153" s="14">
        <v>488.41</v>
      </c>
      <c r="F153" s="14">
        <v>501.69499999999999</v>
      </c>
      <c r="G153" s="16">
        <v>480.09</v>
      </c>
      <c r="H153" s="69">
        <f t="shared" si="5"/>
        <v>-1.6758068133167492E-2</v>
      </c>
      <c r="M153" s="225">
        <f t="shared" si="6"/>
        <v>45499</v>
      </c>
      <c r="N153" s="1319">
        <f t="shared" si="7"/>
        <v>396.43</v>
      </c>
      <c r="O153" s="1319">
        <f t="shared" si="8"/>
        <v>396.43</v>
      </c>
      <c r="P153" s="1319">
        <f t="shared" si="9"/>
        <v>396.43</v>
      </c>
      <c r="Q153" s="35">
        <v>42538</v>
      </c>
      <c r="R153" s="36">
        <v>1.6200000000000003E-2</v>
      </c>
      <c r="S153" s="37">
        <v>1.1299999999999999E-2</v>
      </c>
    </row>
    <row r="154" spans="1:27" x14ac:dyDescent="0.2">
      <c r="A154" s="1"/>
      <c r="B154" s="13">
        <v>45495</v>
      </c>
      <c r="C154" s="14">
        <v>490.51</v>
      </c>
      <c r="D154" s="15">
        <v>351987</v>
      </c>
      <c r="E154" s="14">
        <v>487.56</v>
      </c>
      <c r="F154" s="14">
        <v>494.44</v>
      </c>
      <c r="G154" s="16">
        <v>475.03</v>
      </c>
      <c r="H154" s="69">
        <f t="shared" si="5"/>
        <v>1.0923105459491822E-2</v>
      </c>
      <c r="M154" s="225">
        <f t="shared" si="6"/>
        <v>45498</v>
      </c>
      <c r="N154" s="1319">
        <f t="shared" si="7"/>
        <v>489.11</v>
      </c>
      <c r="O154" s="1319">
        <f t="shared" si="8"/>
        <v>489.11</v>
      </c>
      <c r="P154" s="1319">
        <f t="shared" si="9"/>
        <v>489.11</v>
      </c>
      <c r="Q154" s="35">
        <v>42541</v>
      </c>
      <c r="R154" s="36">
        <v>1.67E-2</v>
      </c>
      <c r="S154" s="37">
        <v>1.1699999999999999E-2</v>
      </c>
    </row>
    <row r="155" spans="1:27" x14ac:dyDescent="0.2">
      <c r="A155" s="1"/>
      <c r="B155" s="13">
        <v>45492</v>
      </c>
      <c r="C155" s="14">
        <v>485.21</v>
      </c>
      <c r="D155" s="15">
        <v>388028</v>
      </c>
      <c r="E155" s="14">
        <v>482.64</v>
      </c>
      <c r="F155" s="14">
        <v>488.34</v>
      </c>
      <c r="G155" s="16">
        <v>476.09</v>
      </c>
      <c r="H155" s="69">
        <f t="shared" si="5"/>
        <v>5.7833423158242248E-3</v>
      </c>
      <c r="M155" s="225">
        <f t="shared" si="6"/>
        <v>45497</v>
      </c>
      <c r="N155" s="1319">
        <f t="shared" si="7"/>
        <v>482.56</v>
      </c>
      <c r="O155" s="1319">
        <f t="shared" si="8"/>
        <v>482.56</v>
      </c>
      <c r="P155" s="1319">
        <f t="shared" si="9"/>
        <v>482.56</v>
      </c>
      <c r="Q155" s="35">
        <v>42542</v>
      </c>
      <c r="R155" s="36">
        <v>1.7100000000000001E-2</v>
      </c>
      <c r="S155" s="37">
        <v>1.2199999999999999E-2</v>
      </c>
    </row>
    <row r="156" spans="1:27" x14ac:dyDescent="0.2">
      <c r="A156" s="1"/>
      <c r="B156" s="13">
        <v>45491</v>
      </c>
      <c r="C156" s="14">
        <v>482.42</v>
      </c>
      <c r="D156" s="15">
        <v>622390</v>
      </c>
      <c r="E156" s="14">
        <v>483.37</v>
      </c>
      <c r="F156" s="14">
        <v>490.6</v>
      </c>
      <c r="G156" s="16">
        <v>469.7</v>
      </c>
      <c r="H156" s="69">
        <f t="shared" si="5"/>
        <v>-2.7287385785752516E-3</v>
      </c>
      <c r="M156" s="225">
        <f t="shared" si="6"/>
        <v>45496</v>
      </c>
      <c r="N156" s="1319">
        <f t="shared" si="7"/>
        <v>482.29</v>
      </c>
      <c r="O156" s="1319">
        <f t="shared" si="8"/>
        <v>482.29</v>
      </c>
      <c r="P156" s="1319">
        <f t="shared" si="9"/>
        <v>482.29</v>
      </c>
      <c r="Q156" s="35">
        <v>42543</v>
      </c>
      <c r="R156" s="36">
        <v>1.6899999999999998E-2</v>
      </c>
      <c r="S156" s="37">
        <v>1.2E-2</v>
      </c>
    </row>
    <row r="157" spans="1:27" x14ac:dyDescent="0.2">
      <c r="A157" s="1"/>
      <c r="B157" s="13">
        <v>45490</v>
      </c>
      <c r="C157" s="14">
        <v>483.74</v>
      </c>
      <c r="D157" s="15">
        <v>530461</v>
      </c>
      <c r="E157" s="14">
        <v>500.58</v>
      </c>
      <c r="F157" s="14">
        <v>507</v>
      </c>
      <c r="G157" s="16">
        <v>478.32</v>
      </c>
      <c r="H157" s="69">
        <f t="shared" si="5"/>
        <v>-5.0410270503710164E-2</v>
      </c>
      <c r="M157" s="225">
        <f t="shared" si="6"/>
        <v>45495</v>
      </c>
      <c r="N157" s="1319">
        <f t="shared" si="7"/>
        <v>490.51</v>
      </c>
      <c r="O157" s="1319">
        <f t="shared" si="8"/>
        <v>490.51</v>
      </c>
      <c r="P157" s="1319">
        <f t="shared" si="9"/>
        <v>490.51</v>
      </c>
      <c r="Q157" s="35">
        <v>42544</v>
      </c>
      <c r="R157" s="36">
        <v>1.7399999999999999E-2</v>
      </c>
      <c r="S157" s="37">
        <v>1.2500000000000001E-2</v>
      </c>
    </row>
    <row r="158" spans="1:27" x14ac:dyDescent="0.2">
      <c r="A158" s="1"/>
      <c r="B158" s="13">
        <v>45489</v>
      </c>
      <c r="C158" s="14">
        <v>509.42</v>
      </c>
      <c r="D158" s="15">
        <v>428968</v>
      </c>
      <c r="E158" s="14">
        <v>483.8</v>
      </c>
      <c r="F158" s="14">
        <v>510.76</v>
      </c>
      <c r="G158" s="16">
        <v>480.6</v>
      </c>
      <c r="H158" s="69">
        <f t="shared" si="5"/>
        <v>5.9878495339547255E-2</v>
      </c>
      <c r="M158" s="225">
        <f t="shared" si="6"/>
        <v>45492</v>
      </c>
      <c r="N158" s="1319">
        <f t="shared" si="7"/>
        <v>485.21</v>
      </c>
      <c r="O158" s="1319">
        <f t="shared" si="8"/>
        <v>485.21</v>
      </c>
      <c r="P158" s="1319">
        <f t="shared" si="9"/>
        <v>485.21</v>
      </c>
      <c r="Q158" s="35">
        <v>42545</v>
      </c>
      <c r="R158" s="36">
        <v>1.5700000000000002E-2</v>
      </c>
      <c r="S158" s="37">
        <v>1.0800000000000001E-2</v>
      </c>
    </row>
    <row r="159" spans="1:27" x14ac:dyDescent="0.2">
      <c r="A159" s="1"/>
      <c r="B159" s="13">
        <v>45488</v>
      </c>
      <c r="C159" s="14">
        <v>480.64</v>
      </c>
      <c r="D159" s="15">
        <v>338246</v>
      </c>
      <c r="E159" s="14">
        <v>458.75</v>
      </c>
      <c r="F159" s="14">
        <v>482.1</v>
      </c>
      <c r="G159" s="16">
        <v>458.75</v>
      </c>
      <c r="H159" s="69">
        <f t="shared" si="5"/>
        <v>5.6305217353083359E-2</v>
      </c>
      <c r="M159" s="225">
        <f t="shared" si="6"/>
        <v>45491</v>
      </c>
      <c r="N159" s="1319">
        <f t="shared" si="7"/>
        <v>482.42</v>
      </c>
      <c r="O159" s="1319">
        <f t="shared" si="8"/>
        <v>482.42</v>
      </c>
      <c r="P159" s="1319">
        <f t="shared" si="9"/>
        <v>482.42</v>
      </c>
      <c r="Q159" s="35">
        <v>42548</v>
      </c>
      <c r="R159" s="36">
        <v>1.46E-2</v>
      </c>
      <c r="S159" s="37">
        <v>0.01</v>
      </c>
    </row>
    <row r="160" spans="1:27" x14ac:dyDescent="0.2">
      <c r="A160" s="1"/>
      <c r="B160" s="13">
        <v>45485</v>
      </c>
      <c r="C160" s="14">
        <v>455.02</v>
      </c>
      <c r="D160" s="15">
        <v>271247</v>
      </c>
      <c r="E160" s="14">
        <v>453.7</v>
      </c>
      <c r="F160" s="14">
        <v>462.89</v>
      </c>
      <c r="G160" s="16">
        <v>450.41719999999998</v>
      </c>
      <c r="H160" s="69">
        <f t="shared" si="5"/>
        <v>9.6298926067275303E-3</v>
      </c>
      <c r="M160" s="225">
        <f t="shared" si="6"/>
        <v>45490</v>
      </c>
      <c r="N160" s="1319">
        <f t="shared" si="7"/>
        <v>483.74</v>
      </c>
      <c r="O160" s="1319">
        <f t="shared" si="8"/>
        <v>483.74</v>
      </c>
      <c r="P160" s="1319">
        <f t="shared" si="9"/>
        <v>483.74</v>
      </c>
      <c r="Q160" s="35">
        <v>42549</v>
      </c>
      <c r="R160" s="36">
        <v>1.46E-2</v>
      </c>
      <c r="S160" s="37">
        <v>0.01</v>
      </c>
    </row>
    <row r="161" spans="1:19" x14ac:dyDescent="0.2">
      <c r="A161" s="1"/>
      <c r="B161" s="13">
        <v>45484</v>
      </c>
      <c r="C161" s="14">
        <v>450.68</v>
      </c>
      <c r="D161" s="15">
        <v>340557</v>
      </c>
      <c r="E161" s="14">
        <v>446.87</v>
      </c>
      <c r="F161" s="14">
        <v>457.255</v>
      </c>
      <c r="G161" s="16">
        <v>441.36500000000001</v>
      </c>
      <c r="H161" s="69">
        <f t="shared" si="5"/>
        <v>2.3179785229413996E-2</v>
      </c>
      <c r="M161" s="225">
        <f t="shared" si="6"/>
        <v>45489</v>
      </c>
      <c r="N161" s="1319">
        <f t="shared" si="7"/>
        <v>509.42</v>
      </c>
      <c r="O161" s="1319">
        <f t="shared" si="8"/>
        <v>509.42</v>
      </c>
      <c r="P161" s="1319">
        <f t="shared" si="9"/>
        <v>509.42</v>
      </c>
      <c r="Q161" s="35">
        <v>42550</v>
      </c>
      <c r="R161" s="36">
        <v>1.4999999999999999E-2</v>
      </c>
      <c r="S161" s="37">
        <v>1.03E-2</v>
      </c>
    </row>
    <row r="162" spans="1:19" x14ac:dyDescent="0.2">
      <c r="A162" s="1"/>
      <c r="B162" s="13">
        <v>45483</v>
      </c>
      <c r="C162" s="14">
        <v>440.47</v>
      </c>
      <c r="D162" s="15">
        <v>383267</v>
      </c>
      <c r="E162" s="14">
        <v>441.09</v>
      </c>
      <c r="F162" s="14">
        <v>443.26</v>
      </c>
      <c r="G162" s="16">
        <v>432.44</v>
      </c>
      <c r="H162" s="69">
        <f t="shared" si="5"/>
        <v>4.4696814211764302E-3</v>
      </c>
      <c r="M162" s="225">
        <f t="shared" si="6"/>
        <v>45488</v>
      </c>
      <c r="N162" s="1319">
        <f t="shared" si="7"/>
        <v>480.64</v>
      </c>
      <c r="O162" s="1319">
        <f t="shared" si="8"/>
        <v>480.64</v>
      </c>
      <c r="P162" s="1319">
        <f t="shared" si="9"/>
        <v>480.64</v>
      </c>
      <c r="Q162" s="35">
        <v>42551</v>
      </c>
      <c r="R162" s="36">
        <v>1.49E-2</v>
      </c>
      <c r="S162" s="37">
        <v>1.01E-2</v>
      </c>
    </row>
    <row r="163" spans="1:19" x14ac:dyDescent="0.2">
      <c r="A163" s="1"/>
      <c r="B163" s="13">
        <v>45482</v>
      </c>
      <c r="C163" s="14">
        <v>438.51</v>
      </c>
      <c r="D163" s="15">
        <v>520895</v>
      </c>
      <c r="E163" s="14">
        <v>460.43</v>
      </c>
      <c r="F163" s="14">
        <v>460.43</v>
      </c>
      <c r="G163" s="16">
        <v>437.82</v>
      </c>
      <c r="H163" s="69">
        <f t="shared" si="5"/>
        <v>-4.5887728459530042E-2</v>
      </c>
      <c r="M163" s="225">
        <f t="shared" si="6"/>
        <v>45485</v>
      </c>
      <c r="N163" s="1319">
        <f t="shared" si="7"/>
        <v>455.02</v>
      </c>
      <c r="O163" s="1319">
        <f t="shared" si="8"/>
        <v>455.02</v>
      </c>
      <c r="P163" s="1319">
        <f t="shared" si="9"/>
        <v>455.02</v>
      </c>
      <c r="Q163" s="35">
        <v>42552</v>
      </c>
      <c r="R163" s="36">
        <v>1.46E-2</v>
      </c>
      <c r="S163" s="37">
        <v>0.01</v>
      </c>
    </row>
    <row r="164" spans="1:19" x14ac:dyDescent="0.2">
      <c r="A164" s="1"/>
      <c r="B164" s="13">
        <v>45481</v>
      </c>
      <c r="C164" s="14">
        <v>459.6</v>
      </c>
      <c r="D164" s="15">
        <v>440354</v>
      </c>
      <c r="E164" s="14">
        <v>464.02</v>
      </c>
      <c r="F164" s="14">
        <v>468.22</v>
      </c>
      <c r="G164" s="16">
        <v>444.01499999999999</v>
      </c>
      <c r="H164" s="69">
        <f t="shared" si="5"/>
        <v>-9.9735045128491739E-3</v>
      </c>
      <c r="M164" s="225">
        <f t="shared" si="6"/>
        <v>45484</v>
      </c>
      <c r="N164" s="1319">
        <f t="shared" si="7"/>
        <v>450.68</v>
      </c>
      <c r="O164" s="1319">
        <f t="shared" si="8"/>
        <v>450.68</v>
      </c>
      <c r="P164" s="1319">
        <f t="shared" si="9"/>
        <v>450.68</v>
      </c>
      <c r="Q164" s="35">
        <v>42556</v>
      </c>
      <c r="R164" s="36">
        <v>1.37E-2</v>
      </c>
      <c r="S164" s="37">
        <v>9.3999999999999986E-3</v>
      </c>
    </row>
    <row r="165" spans="1:19" x14ac:dyDescent="0.2">
      <c r="A165" s="1"/>
      <c r="B165" s="13">
        <v>45478</v>
      </c>
      <c r="C165" s="14">
        <v>464.23</v>
      </c>
      <c r="D165" s="15">
        <v>221737</v>
      </c>
      <c r="E165" s="14">
        <v>471.38</v>
      </c>
      <c r="F165" s="14">
        <v>471.44</v>
      </c>
      <c r="G165" s="16">
        <v>459.17</v>
      </c>
      <c r="H165" s="69">
        <f t="shared" si="5"/>
        <v>-1.2738718046871655E-2</v>
      </c>
      <c r="M165" s="225">
        <f t="shared" si="6"/>
        <v>45483</v>
      </c>
      <c r="N165" s="1319">
        <f t="shared" si="7"/>
        <v>440.47</v>
      </c>
      <c r="O165" s="1319">
        <f t="shared" si="8"/>
        <v>440.47</v>
      </c>
      <c r="P165" s="1319">
        <f t="shared" si="9"/>
        <v>440.47</v>
      </c>
      <c r="Q165" s="35">
        <v>42557</v>
      </c>
      <c r="R165" s="36">
        <v>1.38E-2</v>
      </c>
      <c r="S165" s="37">
        <v>9.4999999999999998E-3</v>
      </c>
    </row>
    <row r="166" spans="1:19" x14ac:dyDescent="0.2">
      <c r="A166" s="1"/>
      <c r="B166" s="13">
        <v>45476</v>
      </c>
      <c r="C166" s="14">
        <v>470.22</v>
      </c>
      <c r="D166" s="15">
        <v>165972</v>
      </c>
      <c r="E166" s="14">
        <v>464.71</v>
      </c>
      <c r="F166" s="14">
        <v>480.12</v>
      </c>
      <c r="G166" s="16">
        <v>464.71</v>
      </c>
      <c r="H166" s="69">
        <f t="shared" si="5"/>
        <v>8.2552479790725108E-3</v>
      </c>
      <c r="M166" s="225">
        <f t="shared" si="6"/>
        <v>45482</v>
      </c>
      <c r="N166" s="1319">
        <f t="shared" si="7"/>
        <v>438.51</v>
      </c>
      <c r="O166" s="1319">
        <f t="shared" si="8"/>
        <v>438.51</v>
      </c>
      <c r="P166" s="1319">
        <f t="shared" si="9"/>
        <v>438.51</v>
      </c>
      <c r="Q166" s="35">
        <v>42558</v>
      </c>
      <c r="R166" s="36">
        <v>1.3999999999999999E-2</v>
      </c>
      <c r="S166" s="37">
        <v>9.7000000000000003E-3</v>
      </c>
    </row>
    <row r="167" spans="1:19" x14ac:dyDescent="0.2">
      <c r="A167" s="1"/>
      <c r="B167" s="13">
        <v>45475</v>
      </c>
      <c r="C167" s="14">
        <v>466.37</v>
      </c>
      <c r="D167" s="15">
        <v>209244</v>
      </c>
      <c r="E167" s="14">
        <v>472.35</v>
      </c>
      <c r="F167" s="14">
        <v>474.69</v>
      </c>
      <c r="G167" s="16">
        <v>463.78160000000003</v>
      </c>
      <c r="H167" s="69">
        <f t="shared" si="5"/>
        <v>-1.08172312130147E-2</v>
      </c>
      <c r="M167" s="225">
        <f t="shared" si="6"/>
        <v>45481</v>
      </c>
      <c r="N167" s="1319">
        <f t="shared" si="7"/>
        <v>459.6</v>
      </c>
      <c r="O167" s="1319">
        <f t="shared" si="8"/>
        <v>459.6</v>
      </c>
      <c r="P167" s="1319">
        <f t="shared" si="9"/>
        <v>459.6</v>
      </c>
      <c r="Q167" s="35">
        <v>42559</v>
      </c>
      <c r="R167" s="36">
        <v>1.37E-2</v>
      </c>
      <c r="S167" s="37">
        <v>9.4999999999999998E-3</v>
      </c>
    </row>
    <row r="168" spans="1:19" x14ac:dyDescent="0.2">
      <c r="A168" s="1"/>
      <c r="B168" s="13">
        <v>45474</v>
      </c>
      <c r="C168" s="14">
        <v>471.47</v>
      </c>
      <c r="D168" s="15">
        <v>279995</v>
      </c>
      <c r="E168" s="14">
        <v>474.29</v>
      </c>
      <c r="F168" s="14">
        <v>480.2</v>
      </c>
      <c r="G168" s="16">
        <v>468.69</v>
      </c>
      <c r="H168" s="69">
        <f t="shared" ref="H168:H231" si="10">C168/C169-1</f>
        <v>-5.94572940605953E-3</v>
      </c>
      <c r="M168" s="225">
        <f t="shared" si="6"/>
        <v>45478</v>
      </c>
      <c r="N168" s="1319">
        <f t="shared" si="7"/>
        <v>464.23</v>
      </c>
      <c r="O168" s="1319">
        <f t="shared" si="8"/>
        <v>464.23</v>
      </c>
      <c r="P168" s="1319">
        <f t="shared" si="9"/>
        <v>464.23</v>
      </c>
      <c r="Q168" s="35">
        <v>42562</v>
      </c>
      <c r="R168" s="36">
        <v>1.43E-2</v>
      </c>
      <c r="S168" s="37">
        <v>1.03E-2</v>
      </c>
    </row>
    <row r="169" spans="1:19" x14ac:dyDescent="0.2">
      <c r="A169" s="1"/>
      <c r="B169" s="13">
        <v>45471</v>
      </c>
      <c r="C169" s="14">
        <v>474.29</v>
      </c>
      <c r="D169" s="15">
        <v>1001529</v>
      </c>
      <c r="E169" s="14">
        <v>463.13</v>
      </c>
      <c r="F169" s="14">
        <v>477.505</v>
      </c>
      <c r="G169" s="16">
        <v>463.13</v>
      </c>
      <c r="H169" s="69">
        <f t="shared" si="10"/>
        <v>3.3987355570089361E-2</v>
      </c>
      <c r="M169" s="225">
        <f t="shared" si="6"/>
        <v>45476</v>
      </c>
      <c r="N169" s="1319">
        <f t="shared" si="7"/>
        <v>470.22</v>
      </c>
      <c r="O169" s="1319">
        <f t="shared" si="8"/>
        <v>470.22</v>
      </c>
      <c r="P169" s="1319">
        <f t="shared" si="9"/>
        <v>470.22</v>
      </c>
      <c r="Q169" s="35">
        <v>42563</v>
      </c>
      <c r="R169" s="36">
        <v>1.5300000000000001E-2</v>
      </c>
      <c r="S169" s="37">
        <v>1.1000000000000001E-2</v>
      </c>
    </row>
    <row r="170" spans="1:19" x14ac:dyDescent="0.2">
      <c r="A170" s="1"/>
      <c r="B170" s="13">
        <v>45470</v>
      </c>
      <c r="C170" s="14">
        <v>458.7</v>
      </c>
      <c r="D170" s="15">
        <v>365721</v>
      </c>
      <c r="E170" s="14">
        <v>464.65</v>
      </c>
      <c r="F170" s="14">
        <v>473.7</v>
      </c>
      <c r="G170" s="16">
        <v>454.76</v>
      </c>
      <c r="H170" s="69">
        <f t="shared" si="10"/>
        <v>-1.2805337350694002E-2</v>
      </c>
      <c r="M170" s="225">
        <f t="shared" si="6"/>
        <v>45475</v>
      </c>
      <c r="N170" s="1319">
        <f t="shared" si="7"/>
        <v>466.37</v>
      </c>
      <c r="O170" s="1319">
        <f t="shared" si="8"/>
        <v>466.37</v>
      </c>
      <c r="P170" s="1319">
        <f t="shared" si="9"/>
        <v>466.37</v>
      </c>
      <c r="Q170" s="35">
        <v>42564</v>
      </c>
      <c r="R170" s="36">
        <v>1.4800000000000001E-2</v>
      </c>
      <c r="S170" s="37">
        <v>1.0700000000000001E-2</v>
      </c>
    </row>
    <row r="171" spans="1:19" x14ac:dyDescent="0.2">
      <c r="A171" s="1"/>
      <c r="B171" s="13">
        <v>45469</v>
      </c>
      <c r="C171" s="14">
        <v>464.65</v>
      </c>
      <c r="D171" s="15">
        <v>297973</v>
      </c>
      <c r="E171" s="14">
        <v>469.83</v>
      </c>
      <c r="F171" s="14">
        <v>479.84</v>
      </c>
      <c r="G171" s="16">
        <v>462.92500000000001</v>
      </c>
      <c r="H171" s="69">
        <f t="shared" si="10"/>
        <v>-4.9042703559344369E-3</v>
      </c>
      <c r="M171" s="225">
        <f t="shared" si="6"/>
        <v>45474</v>
      </c>
      <c r="N171" s="1319">
        <f t="shared" si="7"/>
        <v>471.47</v>
      </c>
      <c r="O171" s="1319">
        <f t="shared" si="8"/>
        <v>471.47</v>
      </c>
      <c r="P171" s="1319">
        <f t="shared" si="9"/>
        <v>471.47</v>
      </c>
      <c r="Q171" s="35">
        <v>42565</v>
      </c>
      <c r="R171" s="36">
        <v>1.5300000000000001E-2</v>
      </c>
      <c r="S171" s="37">
        <v>1.1000000000000001E-2</v>
      </c>
    </row>
    <row r="172" spans="1:19" x14ac:dyDescent="0.2">
      <c r="A172" s="1"/>
      <c r="B172" s="13">
        <v>45468</v>
      </c>
      <c r="C172" s="14">
        <v>466.94</v>
      </c>
      <c r="D172" s="15">
        <v>215007</v>
      </c>
      <c r="E172" s="14">
        <v>464.35</v>
      </c>
      <c r="F172" s="14">
        <v>468.97</v>
      </c>
      <c r="G172" s="16">
        <v>458.65</v>
      </c>
      <c r="H172" s="69">
        <f t="shared" si="10"/>
        <v>-2.355208221818117E-4</v>
      </c>
      <c r="M172" s="225">
        <f t="shared" si="6"/>
        <v>45471</v>
      </c>
      <c r="N172" s="1319">
        <f t="shared" si="7"/>
        <v>474.29</v>
      </c>
      <c r="O172" s="1319">
        <f t="shared" si="8"/>
        <v>474.29</v>
      </c>
      <c r="P172" s="1319">
        <f t="shared" si="9"/>
        <v>474.29</v>
      </c>
      <c r="Q172" s="35">
        <v>42566</v>
      </c>
      <c r="R172" s="36">
        <v>1.6E-2</v>
      </c>
      <c r="S172" s="37">
        <v>1.15E-2</v>
      </c>
    </row>
    <row r="173" spans="1:19" x14ac:dyDescent="0.2">
      <c r="A173" s="1"/>
      <c r="B173" s="13">
        <v>45467</v>
      </c>
      <c r="C173" s="14">
        <v>467.05</v>
      </c>
      <c r="D173" s="15">
        <v>350409</v>
      </c>
      <c r="E173" s="14">
        <v>461.61</v>
      </c>
      <c r="F173" s="14">
        <v>476.62</v>
      </c>
      <c r="G173" s="16">
        <v>458.29</v>
      </c>
      <c r="H173" s="69">
        <f t="shared" si="10"/>
        <v>1.3981459369097449E-2</v>
      </c>
      <c r="M173" s="225">
        <f t="shared" ref="M173:M236" si="11">B170</f>
        <v>45470</v>
      </c>
      <c r="N173" s="1319">
        <f t="shared" ref="N173:N236" si="12">C170</f>
        <v>458.7</v>
      </c>
      <c r="O173" s="1319">
        <f t="shared" ref="O173:O236" si="13">N173</f>
        <v>458.7</v>
      </c>
      <c r="P173" s="1319">
        <f t="shared" ref="P173:P236" si="14">N173</f>
        <v>458.7</v>
      </c>
      <c r="Q173" s="35">
        <v>42569</v>
      </c>
      <c r="R173" s="36">
        <v>1.5900000000000001E-2</v>
      </c>
      <c r="S173" s="37">
        <v>1.1399999999999999E-2</v>
      </c>
    </row>
    <row r="174" spans="1:19" x14ac:dyDescent="0.2">
      <c r="A174" s="1"/>
      <c r="B174" s="13">
        <v>45464</v>
      </c>
      <c r="C174" s="14">
        <v>460.61</v>
      </c>
      <c r="D174" s="15">
        <v>296586</v>
      </c>
      <c r="E174" s="14">
        <v>460.24</v>
      </c>
      <c r="F174" s="14">
        <v>463.47</v>
      </c>
      <c r="G174" s="16">
        <v>452.33</v>
      </c>
      <c r="H174" s="69">
        <f t="shared" si="10"/>
        <v>8.0392838519038889E-4</v>
      </c>
      <c r="M174" s="225">
        <f t="shared" si="11"/>
        <v>45469</v>
      </c>
      <c r="N174" s="1319">
        <f t="shared" si="12"/>
        <v>464.65</v>
      </c>
      <c r="O174" s="1319">
        <f t="shared" si="13"/>
        <v>464.65</v>
      </c>
      <c r="P174" s="1319">
        <f t="shared" si="14"/>
        <v>464.65</v>
      </c>
      <c r="Q174" s="35">
        <v>42570</v>
      </c>
      <c r="R174" s="36">
        <v>1.5600000000000001E-2</v>
      </c>
      <c r="S174" s="37">
        <v>1.1200000000000002E-2</v>
      </c>
    </row>
    <row r="175" spans="1:19" x14ac:dyDescent="0.2">
      <c r="A175" s="1"/>
      <c r="B175" s="13">
        <v>45463</v>
      </c>
      <c r="C175" s="14">
        <v>460.24</v>
      </c>
      <c r="D175" s="15">
        <v>354559</v>
      </c>
      <c r="E175" s="14">
        <v>454.54</v>
      </c>
      <c r="F175" s="14">
        <v>463.44</v>
      </c>
      <c r="G175" s="16">
        <v>454.54</v>
      </c>
      <c r="H175" s="69">
        <f t="shared" si="10"/>
        <v>1.3744493392070511E-2</v>
      </c>
      <c r="M175" s="225">
        <f t="shared" si="11"/>
        <v>45468</v>
      </c>
      <c r="N175" s="1319">
        <f t="shared" si="12"/>
        <v>466.94</v>
      </c>
      <c r="O175" s="1319">
        <f t="shared" si="13"/>
        <v>466.94</v>
      </c>
      <c r="P175" s="1319">
        <f t="shared" si="14"/>
        <v>466.94</v>
      </c>
      <c r="Q175" s="35">
        <v>42571</v>
      </c>
      <c r="R175" s="36">
        <v>1.5900000000000001E-2</v>
      </c>
      <c r="S175" s="37">
        <v>1.15E-2</v>
      </c>
    </row>
    <row r="176" spans="1:19" x14ac:dyDescent="0.2">
      <c r="A176" s="1"/>
      <c r="B176" s="13">
        <v>45461</v>
      </c>
      <c r="C176" s="14">
        <v>454</v>
      </c>
      <c r="D176" s="15">
        <v>255334</v>
      </c>
      <c r="E176" s="14">
        <v>446.47</v>
      </c>
      <c r="F176" s="14">
        <v>455.15</v>
      </c>
      <c r="G176" s="16">
        <v>443.99</v>
      </c>
      <c r="H176" s="69">
        <f t="shared" si="10"/>
        <v>1.4888004649707298E-2</v>
      </c>
      <c r="M176" s="225">
        <f t="shared" si="11"/>
        <v>45467</v>
      </c>
      <c r="N176" s="1319">
        <f t="shared" si="12"/>
        <v>467.05</v>
      </c>
      <c r="O176" s="1319">
        <f t="shared" si="13"/>
        <v>467.05</v>
      </c>
      <c r="P176" s="1319">
        <f t="shared" si="14"/>
        <v>467.05</v>
      </c>
      <c r="Q176" s="35">
        <v>42572</v>
      </c>
      <c r="R176" s="36">
        <v>1.5700000000000002E-2</v>
      </c>
      <c r="S176" s="37">
        <v>1.11E-2</v>
      </c>
    </row>
    <row r="177" spans="1:19" x14ac:dyDescent="0.2">
      <c r="A177" s="1"/>
      <c r="B177" s="13">
        <v>45460</v>
      </c>
      <c r="C177" s="14">
        <v>447.34</v>
      </c>
      <c r="D177" s="15">
        <v>278401</v>
      </c>
      <c r="E177" s="14">
        <v>450.2</v>
      </c>
      <c r="F177" s="14">
        <v>453.88</v>
      </c>
      <c r="G177" s="16">
        <v>442.26499999999999</v>
      </c>
      <c r="H177" s="69">
        <f t="shared" si="10"/>
        <v>-1.1927375535627616E-2</v>
      </c>
      <c r="M177" s="225">
        <f t="shared" si="11"/>
        <v>45464</v>
      </c>
      <c r="N177" s="1319">
        <f t="shared" si="12"/>
        <v>460.61</v>
      </c>
      <c r="O177" s="1319">
        <f t="shared" si="13"/>
        <v>460.61</v>
      </c>
      <c r="P177" s="1319">
        <f t="shared" si="14"/>
        <v>460.61</v>
      </c>
      <c r="Q177" s="35">
        <v>42573</v>
      </c>
      <c r="R177" s="36">
        <v>1.5700000000000002E-2</v>
      </c>
      <c r="S177" s="37">
        <v>1.1299999999999999E-2</v>
      </c>
    </row>
    <row r="178" spans="1:19" x14ac:dyDescent="0.2">
      <c r="A178" s="1"/>
      <c r="B178" s="13">
        <v>45457</v>
      </c>
      <c r="C178" s="14">
        <v>452.74</v>
      </c>
      <c r="D178" s="15">
        <v>463387</v>
      </c>
      <c r="E178" s="14">
        <v>450.59</v>
      </c>
      <c r="F178" s="14">
        <v>453.02</v>
      </c>
      <c r="G178" s="16">
        <v>429.07</v>
      </c>
      <c r="H178" s="69">
        <f t="shared" si="10"/>
        <v>-6.9313445931125095E-3</v>
      </c>
      <c r="M178" s="225">
        <f t="shared" si="11"/>
        <v>45463</v>
      </c>
      <c r="N178" s="1319">
        <f t="shared" si="12"/>
        <v>460.24</v>
      </c>
      <c r="O178" s="1319">
        <f t="shared" si="13"/>
        <v>460.24</v>
      </c>
      <c r="P178" s="1319">
        <f t="shared" si="14"/>
        <v>460.24</v>
      </c>
      <c r="Q178" s="35">
        <v>42576</v>
      </c>
      <c r="R178" s="36">
        <v>1.5800000000000002E-2</v>
      </c>
      <c r="S178" s="37">
        <v>1.15E-2</v>
      </c>
    </row>
    <row r="179" spans="1:19" x14ac:dyDescent="0.2">
      <c r="A179" s="1"/>
      <c r="B179" s="13">
        <v>45456</v>
      </c>
      <c r="C179" s="14">
        <v>455.9</v>
      </c>
      <c r="D179" s="15">
        <v>245532</v>
      </c>
      <c r="E179" s="14">
        <v>464.97</v>
      </c>
      <c r="F179" s="14">
        <v>464.97</v>
      </c>
      <c r="G179" s="16">
        <v>451.52</v>
      </c>
      <c r="H179" s="69">
        <f t="shared" si="10"/>
        <v>-1.3224821973550349E-2</v>
      </c>
      <c r="M179" s="225">
        <f t="shared" si="11"/>
        <v>45461</v>
      </c>
      <c r="N179" s="1319">
        <f t="shared" si="12"/>
        <v>454</v>
      </c>
      <c r="O179" s="1319">
        <f t="shared" si="13"/>
        <v>454</v>
      </c>
      <c r="P179" s="1319">
        <f t="shared" si="14"/>
        <v>454</v>
      </c>
      <c r="Q179" s="35">
        <v>42577</v>
      </c>
      <c r="R179" s="36">
        <v>1.5700000000000002E-2</v>
      </c>
      <c r="S179" s="37">
        <v>1.15E-2</v>
      </c>
    </row>
    <row r="180" spans="1:19" x14ac:dyDescent="0.2">
      <c r="A180" s="1"/>
      <c r="B180" s="13">
        <v>45455</v>
      </c>
      <c r="C180" s="14">
        <v>462.01</v>
      </c>
      <c r="D180" s="15">
        <v>332879</v>
      </c>
      <c r="E180" s="14">
        <v>458.06</v>
      </c>
      <c r="F180" s="14">
        <v>470.94</v>
      </c>
      <c r="G180" s="16">
        <v>457.08</v>
      </c>
      <c r="H180" s="69">
        <f t="shared" si="10"/>
        <v>1.7396666006033623E-2</v>
      </c>
      <c r="M180" s="225">
        <f t="shared" si="11"/>
        <v>45460</v>
      </c>
      <c r="N180" s="1319">
        <f t="shared" si="12"/>
        <v>447.34</v>
      </c>
      <c r="O180" s="1319">
        <f t="shared" si="13"/>
        <v>447.34</v>
      </c>
      <c r="P180" s="1319">
        <f t="shared" si="14"/>
        <v>447.34</v>
      </c>
      <c r="Q180" s="35">
        <v>42578</v>
      </c>
      <c r="R180" s="36">
        <v>1.52E-2</v>
      </c>
      <c r="S180" s="37">
        <v>1.1000000000000001E-2</v>
      </c>
    </row>
    <row r="181" spans="1:19" x14ac:dyDescent="0.2">
      <c r="A181" s="1"/>
      <c r="B181" s="13">
        <v>45454</v>
      </c>
      <c r="C181" s="14">
        <v>454.11</v>
      </c>
      <c r="D181" s="15">
        <v>339462</v>
      </c>
      <c r="E181" s="14">
        <v>446.86</v>
      </c>
      <c r="F181" s="14">
        <v>455.96</v>
      </c>
      <c r="G181" s="16">
        <v>439.79</v>
      </c>
      <c r="H181" s="69">
        <f t="shared" si="10"/>
        <v>1.1358321640943414E-2</v>
      </c>
      <c r="M181" s="225">
        <f t="shared" si="11"/>
        <v>45457</v>
      </c>
      <c r="N181" s="1319">
        <f t="shared" si="12"/>
        <v>452.74</v>
      </c>
      <c r="O181" s="1319">
        <f t="shared" si="13"/>
        <v>452.74</v>
      </c>
      <c r="P181" s="1319">
        <f t="shared" si="14"/>
        <v>452.74</v>
      </c>
      <c r="Q181" s="35">
        <v>42579</v>
      </c>
      <c r="R181" s="36">
        <v>1.52E-2</v>
      </c>
      <c r="S181" s="37">
        <v>1.09E-2</v>
      </c>
    </row>
    <row r="182" spans="1:19" x14ac:dyDescent="0.2">
      <c r="A182" s="1"/>
      <c r="B182" s="13">
        <v>45453</v>
      </c>
      <c r="C182" s="14">
        <v>449.01</v>
      </c>
      <c r="D182" s="15">
        <v>398086</v>
      </c>
      <c r="E182" s="14">
        <v>443.58</v>
      </c>
      <c r="F182" s="14">
        <v>454.755</v>
      </c>
      <c r="G182" s="16">
        <v>441.07</v>
      </c>
      <c r="H182" s="69">
        <f t="shared" si="10"/>
        <v>7.4265200807717147E-3</v>
      </c>
      <c r="M182" s="225">
        <f t="shared" si="11"/>
        <v>45456</v>
      </c>
      <c r="N182" s="1319">
        <f t="shared" si="12"/>
        <v>455.9</v>
      </c>
      <c r="O182" s="1319">
        <f t="shared" si="13"/>
        <v>455.9</v>
      </c>
      <c r="P182" s="1319">
        <f t="shared" si="14"/>
        <v>455.9</v>
      </c>
      <c r="Q182" s="35">
        <v>42580</v>
      </c>
      <c r="R182" s="36">
        <v>1.46E-2</v>
      </c>
      <c r="S182" s="37">
        <v>1.03E-2</v>
      </c>
    </row>
    <row r="183" spans="1:19" x14ac:dyDescent="0.2">
      <c r="A183" s="1"/>
      <c r="B183" s="13">
        <v>45450</v>
      </c>
      <c r="C183" s="14">
        <v>445.7</v>
      </c>
      <c r="D183" s="15">
        <v>388145</v>
      </c>
      <c r="E183" s="14">
        <v>446.63</v>
      </c>
      <c r="F183" s="14">
        <v>454.4</v>
      </c>
      <c r="G183" s="16">
        <v>438.11430000000001</v>
      </c>
      <c r="H183" s="69">
        <f t="shared" si="10"/>
        <v>-1.5267006915446024E-2</v>
      </c>
      <c r="M183" s="225">
        <f t="shared" si="11"/>
        <v>45455</v>
      </c>
      <c r="N183" s="1319">
        <f t="shared" si="12"/>
        <v>462.01</v>
      </c>
      <c r="O183" s="1319">
        <f t="shared" si="13"/>
        <v>462.01</v>
      </c>
      <c r="P183" s="1319">
        <f t="shared" si="14"/>
        <v>462.01</v>
      </c>
      <c r="Q183" s="35">
        <v>42583</v>
      </c>
      <c r="R183" s="36">
        <v>1.5100000000000001E-2</v>
      </c>
      <c r="S183" s="37">
        <v>1.06E-2</v>
      </c>
    </row>
    <row r="184" spans="1:19" x14ac:dyDescent="0.2">
      <c r="A184" s="1"/>
      <c r="B184" s="13">
        <v>45449</v>
      </c>
      <c r="C184" s="14">
        <v>452.61</v>
      </c>
      <c r="D184" s="15">
        <v>455650</v>
      </c>
      <c r="E184" s="14">
        <v>444</v>
      </c>
      <c r="F184" s="14">
        <v>453.25</v>
      </c>
      <c r="G184" s="16">
        <v>434.76</v>
      </c>
      <c r="H184" s="69">
        <f t="shared" si="10"/>
        <v>1.6187696452626854E-2</v>
      </c>
      <c r="M184" s="225">
        <f t="shared" si="11"/>
        <v>45454</v>
      </c>
      <c r="N184" s="1319">
        <f t="shared" si="12"/>
        <v>454.11</v>
      </c>
      <c r="O184" s="1319">
        <f t="shared" si="13"/>
        <v>454.11</v>
      </c>
      <c r="P184" s="1319">
        <f t="shared" si="14"/>
        <v>454.11</v>
      </c>
      <c r="Q184" s="35">
        <v>42584</v>
      </c>
      <c r="R184" s="36">
        <v>1.55E-2</v>
      </c>
      <c r="S184" s="37">
        <v>1.0700000000000001E-2</v>
      </c>
    </row>
    <row r="185" spans="1:19" x14ac:dyDescent="0.2">
      <c r="A185" s="1"/>
      <c r="B185" s="13">
        <v>45448</v>
      </c>
      <c r="C185" s="14">
        <v>445.4</v>
      </c>
      <c r="D185" s="15">
        <v>591169</v>
      </c>
      <c r="E185" s="14">
        <v>434.5</v>
      </c>
      <c r="F185" s="14">
        <v>450.8</v>
      </c>
      <c r="G185" s="16">
        <v>432.37130000000002</v>
      </c>
      <c r="H185" s="69">
        <f t="shared" si="10"/>
        <v>3.7430414832413383E-2</v>
      </c>
      <c r="M185" s="225">
        <f t="shared" si="11"/>
        <v>45453</v>
      </c>
      <c r="N185" s="1319">
        <f t="shared" si="12"/>
        <v>449.01</v>
      </c>
      <c r="O185" s="1319">
        <f t="shared" si="13"/>
        <v>449.01</v>
      </c>
      <c r="P185" s="1319">
        <f t="shared" si="14"/>
        <v>449.01</v>
      </c>
      <c r="Q185" s="35">
        <v>42585</v>
      </c>
      <c r="R185" s="36">
        <v>1.55E-2</v>
      </c>
      <c r="S185" s="37">
        <v>1.0700000000000001E-2</v>
      </c>
    </row>
    <row r="186" spans="1:19" x14ac:dyDescent="0.2">
      <c r="A186" s="1"/>
      <c r="B186" s="13">
        <v>45447</v>
      </c>
      <c r="C186" s="14">
        <v>429.33</v>
      </c>
      <c r="D186" s="15">
        <v>865450</v>
      </c>
      <c r="E186" s="14">
        <v>442.24</v>
      </c>
      <c r="F186" s="14">
        <v>460.33</v>
      </c>
      <c r="G186" s="16">
        <v>424.255</v>
      </c>
      <c r="H186" s="69">
        <f t="shared" si="10"/>
        <v>6.6658385093167682E-2</v>
      </c>
      <c r="M186" s="225">
        <f t="shared" si="11"/>
        <v>45450</v>
      </c>
      <c r="N186" s="1319">
        <f t="shared" si="12"/>
        <v>445.7</v>
      </c>
      <c r="O186" s="1319">
        <f t="shared" si="13"/>
        <v>445.7</v>
      </c>
      <c r="P186" s="1319">
        <f t="shared" si="14"/>
        <v>445.7</v>
      </c>
      <c r="Q186" s="35">
        <v>42586</v>
      </c>
      <c r="R186" s="36">
        <v>1.5100000000000001E-2</v>
      </c>
      <c r="S186" s="37">
        <v>1.03E-2</v>
      </c>
    </row>
    <row r="187" spans="1:19" x14ac:dyDescent="0.2">
      <c r="A187" s="1"/>
      <c r="B187" s="13">
        <v>45446</v>
      </c>
      <c r="C187" s="14">
        <v>402.5</v>
      </c>
      <c r="D187" s="15">
        <v>684881</v>
      </c>
      <c r="E187" s="14">
        <v>411.5</v>
      </c>
      <c r="F187" s="14">
        <v>415.22</v>
      </c>
      <c r="G187" s="16">
        <v>396.69</v>
      </c>
      <c r="H187" s="69">
        <f t="shared" si="10"/>
        <v>-1.7046009573117193E-2</v>
      </c>
      <c r="M187" s="225">
        <f t="shared" si="11"/>
        <v>45449</v>
      </c>
      <c r="N187" s="1319">
        <f t="shared" si="12"/>
        <v>452.61</v>
      </c>
      <c r="O187" s="1319">
        <f t="shared" si="13"/>
        <v>452.61</v>
      </c>
      <c r="P187" s="1319">
        <f t="shared" si="14"/>
        <v>452.61</v>
      </c>
      <c r="Q187" s="35">
        <v>42587</v>
      </c>
      <c r="R187" s="36">
        <v>1.5900000000000001E-2</v>
      </c>
      <c r="S187" s="37">
        <v>1.1299999999999999E-2</v>
      </c>
    </row>
    <row r="188" spans="1:19" x14ac:dyDescent="0.2">
      <c r="A188" s="1"/>
      <c r="B188" s="13">
        <v>45443</v>
      </c>
      <c r="C188" s="14">
        <v>409.48</v>
      </c>
      <c r="D188" s="15">
        <v>424433</v>
      </c>
      <c r="E188" s="14">
        <v>404.76</v>
      </c>
      <c r="F188" s="14">
        <v>411.27</v>
      </c>
      <c r="G188" s="16">
        <v>396</v>
      </c>
      <c r="H188" s="69">
        <f t="shared" si="10"/>
        <v>1.4217070391836284E-2</v>
      </c>
      <c r="M188" s="225">
        <f t="shared" si="11"/>
        <v>45448</v>
      </c>
      <c r="N188" s="1319">
        <f t="shared" si="12"/>
        <v>445.4</v>
      </c>
      <c r="O188" s="1319">
        <f t="shared" si="13"/>
        <v>445.4</v>
      </c>
      <c r="P188" s="1319">
        <f t="shared" si="14"/>
        <v>445.4</v>
      </c>
      <c r="Q188" s="35">
        <v>42590</v>
      </c>
      <c r="R188" s="36">
        <v>1.5900000000000001E-2</v>
      </c>
      <c r="S188" s="37">
        <v>1.15E-2</v>
      </c>
    </row>
    <row r="189" spans="1:19" x14ac:dyDescent="0.2">
      <c r="A189" s="1"/>
      <c r="B189" s="13">
        <v>45442</v>
      </c>
      <c r="C189" s="14">
        <v>403.74</v>
      </c>
      <c r="D189" s="15">
        <v>374559</v>
      </c>
      <c r="E189" s="14">
        <v>396.63</v>
      </c>
      <c r="F189" s="14">
        <v>409.95</v>
      </c>
      <c r="G189" s="16">
        <v>396.25</v>
      </c>
      <c r="H189" s="69">
        <f t="shared" si="10"/>
        <v>1.7105428895326957E-2</v>
      </c>
      <c r="M189" s="225">
        <f t="shared" si="11"/>
        <v>45447</v>
      </c>
      <c r="N189" s="1319">
        <f t="shared" si="12"/>
        <v>429.33</v>
      </c>
      <c r="O189" s="1319">
        <f t="shared" si="13"/>
        <v>429.33</v>
      </c>
      <c r="P189" s="1319">
        <f t="shared" si="14"/>
        <v>429.33</v>
      </c>
      <c r="Q189" s="35">
        <v>42591</v>
      </c>
      <c r="R189" s="36">
        <v>1.55E-2</v>
      </c>
      <c r="S189" s="37">
        <v>1.11E-2</v>
      </c>
    </row>
    <row r="190" spans="1:19" x14ac:dyDescent="0.2">
      <c r="A190" s="1"/>
      <c r="B190" s="13">
        <v>45441</v>
      </c>
      <c r="C190" s="14">
        <v>396.95</v>
      </c>
      <c r="D190" s="15">
        <v>519424</v>
      </c>
      <c r="E190" s="14">
        <v>391.68</v>
      </c>
      <c r="F190" s="14">
        <v>401.55</v>
      </c>
      <c r="G190" s="16">
        <v>384.61</v>
      </c>
      <c r="H190" s="69">
        <f t="shared" si="10"/>
        <v>1.6654470211208139E-3</v>
      </c>
      <c r="M190" s="225">
        <f t="shared" si="11"/>
        <v>45446</v>
      </c>
      <c r="N190" s="1319">
        <f t="shared" si="12"/>
        <v>402.5</v>
      </c>
      <c r="O190" s="1319">
        <f t="shared" si="13"/>
        <v>402.5</v>
      </c>
      <c r="P190" s="1319">
        <f t="shared" si="14"/>
        <v>402.5</v>
      </c>
      <c r="Q190" s="35">
        <v>42592</v>
      </c>
      <c r="R190" s="36">
        <v>1.4999999999999999E-2</v>
      </c>
      <c r="S190" s="37">
        <v>1.0700000000000001E-2</v>
      </c>
    </row>
    <row r="191" spans="1:19" x14ac:dyDescent="0.2">
      <c r="A191" s="1"/>
      <c r="B191" s="13">
        <v>45440</v>
      </c>
      <c r="C191" s="14">
        <v>396.29</v>
      </c>
      <c r="D191" s="15">
        <v>781805</v>
      </c>
      <c r="E191" s="14">
        <v>400</v>
      </c>
      <c r="F191" s="14">
        <v>405.89</v>
      </c>
      <c r="G191" s="16">
        <v>395.14</v>
      </c>
      <c r="H191" s="69">
        <f t="shared" si="10"/>
        <v>-9.2749999999999222E-3</v>
      </c>
      <c r="M191" s="225">
        <f t="shared" si="11"/>
        <v>45443</v>
      </c>
      <c r="N191" s="1319">
        <f t="shared" si="12"/>
        <v>409.48</v>
      </c>
      <c r="O191" s="1319">
        <f t="shared" si="13"/>
        <v>409.48</v>
      </c>
      <c r="P191" s="1319">
        <f t="shared" si="14"/>
        <v>409.48</v>
      </c>
      <c r="Q191" s="35">
        <v>42593</v>
      </c>
      <c r="R191" s="36">
        <v>1.5700000000000002E-2</v>
      </c>
      <c r="S191" s="37">
        <v>1.1599999999999999E-2</v>
      </c>
    </row>
    <row r="192" spans="1:19" x14ac:dyDescent="0.2">
      <c r="A192" s="1"/>
      <c r="B192" s="13">
        <v>45436</v>
      </c>
      <c r="C192" s="14">
        <v>400</v>
      </c>
      <c r="D192" s="15">
        <v>650729</v>
      </c>
      <c r="E192" s="14">
        <v>385.76</v>
      </c>
      <c r="F192" s="14">
        <v>400.17</v>
      </c>
      <c r="G192" s="16">
        <v>379.07</v>
      </c>
      <c r="H192" s="69">
        <f t="shared" si="10"/>
        <v>5.1939513477974986E-2</v>
      </c>
      <c r="M192" s="225">
        <f t="shared" si="11"/>
        <v>45442</v>
      </c>
      <c r="N192" s="1319">
        <f t="shared" si="12"/>
        <v>403.74</v>
      </c>
      <c r="O192" s="1319">
        <f t="shared" si="13"/>
        <v>403.74</v>
      </c>
      <c r="P192" s="1319">
        <f t="shared" si="14"/>
        <v>403.74</v>
      </c>
      <c r="Q192" s="35">
        <v>42594</v>
      </c>
      <c r="R192" s="36">
        <v>1.5100000000000001E-2</v>
      </c>
      <c r="S192" s="37">
        <v>1.1000000000000001E-2</v>
      </c>
    </row>
    <row r="193" spans="1:19" x14ac:dyDescent="0.2">
      <c r="A193" s="1"/>
      <c r="B193" s="13">
        <v>45435</v>
      </c>
      <c r="C193" s="14">
        <v>380.25</v>
      </c>
      <c r="D193" s="15">
        <v>559395</v>
      </c>
      <c r="E193" s="14">
        <v>379.57</v>
      </c>
      <c r="F193" s="14">
        <v>382.44499999999999</v>
      </c>
      <c r="G193" s="16">
        <v>371.71</v>
      </c>
      <c r="H193" s="69">
        <f t="shared" si="10"/>
        <v>7.9255685733976566E-3</v>
      </c>
      <c r="M193" s="225">
        <f t="shared" si="11"/>
        <v>45441</v>
      </c>
      <c r="N193" s="1319">
        <f t="shared" si="12"/>
        <v>396.95</v>
      </c>
      <c r="O193" s="1319">
        <f t="shared" si="13"/>
        <v>396.95</v>
      </c>
      <c r="P193" s="1319">
        <f t="shared" si="14"/>
        <v>396.95</v>
      </c>
      <c r="Q193" s="35">
        <v>42597</v>
      </c>
      <c r="R193" s="36">
        <v>1.55E-2</v>
      </c>
      <c r="S193" s="37">
        <v>1.1399999999999999E-2</v>
      </c>
    </row>
    <row r="194" spans="1:19" x14ac:dyDescent="0.2">
      <c r="A194" s="1"/>
      <c r="B194" s="13">
        <v>45434</v>
      </c>
      <c r="C194" s="14">
        <v>377.26</v>
      </c>
      <c r="D194" s="15">
        <v>974896</v>
      </c>
      <c r="E194" s="14">
        <v>379.52</v>
      </c>
      <c r="F194" s="14">
        <v>379.95</v>
      </c>
      <c r="G194" s="16">
        <v>370.65</v>
      </c>
      <c r="H194" s="69">
        <f t="shared" si="10"/>
        <v>-5.954890387858347E-3</v>
      </c>
      <c r="M194" s="225">
        <f t="shared" si="11"/>
        <v>45440</v>
      </c>
      <c r="N194" s="1319">
        <f t="shared" si="12"/>
        <v>396.29</v>
      </c>
      <c r="O194" s="1319">
        <f t="shared" si="13"/>
        <v>396.29</v>
      </c>
      <c r="P194" s="1319">
        <f t="shared" si="14"/>
        <v>396.29</v>
      </c>
      <c r="Q194" s="35">
        <v>42598</v>
      </c>
      <c r="R194" s="36">
        <v>1.5700000000000002E-2</v>
      </c>
      <c r="S194" s="37">
        <v>1.1599999999999999E-2</v>
      </c>
    </row>
    <row r="195" spans="1:19" x14ac:dyDescent="0.2">
      <c r="A195" s="1"/>
      <c r="B195" s="13">
        <v>45433</v>
      </c>
      <c r="C195" s="14">
        <v>379.52</v>
      </c>
      <c r="D195" s="15">
        <v>563693</v>
      </c>
      <c r="E195" s="14">
        <v>398.62</v>
      </c>
      <c r="F195" s="14">
        <v>400.72500000000002</v>
      </c>
      <c r="G195" s="16">
        <v>379.03</v>
      </c>
      <c r="H195" s="69">
        <f t="shared" si="10"/>
        <v>-4.7102540925981651E-2</v>
      </c>
      <c r="M195" s="225">
        <f t="shared" si="11"/>
        <v>45436</v>
      </c>
      <c r="N195" s="1319">
        <f t="shared" si="12"/>
        <v>400</v>
      </c>
      <c r="O195" s="1319">
        <f t="shared" si="13"/>
        <v>400</v>
      </c>
      <c r="P195" s="1319">
        <f t="shared" si="14"/>
        <v>400</v>
      </c>
      <c r="Q195" s="35">
        <v>42599</v>
      </c>
      <c r="R195" s="36">
        <v>1.5600000000000001E-2</v>
      </c>
      <c r="S195" s="37">
        <v>1.15E-2</v>
      </c>
    </row>
    <row r="196" spans="1:19" x14ac:dyDescent="0.2">
      <c r="A196" s="1"/>
      <c r="B196" s="13">
        <v>45432</v>
      </c>
      <c r="C196" s="14">
        <v>398.28</v>
      </c>
      <c r="D196" s="15">
        <v>328521</v>
      </c>
      <c r="E196" s="14">
        <v>399.8</v>
      </c>
      <c r="F196" s="14">
        <v>406.71</v>
      </c>
      <c r="G196" s="16">
        <v>396.06</v>
      </c>
      <c r="H196" s="69">
        <f t="shared" si="10"/>
        <v>-2.1546324597885302E-3</v>
      </c>
      <c r="M196" s="225">
        <f t="shared" si="11"/>
        <v>45435</v>
      </c>
      <c r="N196" s="1319">
        <f t="shared" si="12"/>
        <v>380.25</v>
      </c>
      <c r="O196" s="1319">
        <f t="shared" si="13"/>
        <v>380.25</v>
      </c>
      <c r="P196" s="1319">
        <f t="shared" si="14"/>
        <v>380.25</v>
      </c>
      <c r="Q196" s="35">
        <v>42600</v>
      </c>
      <c r="R196" s="36">
        <v>1.5300000000000001E-2</v>
      </c>
      <c r="S196" s="37">
        <v>1.1200000000000002E-2</v>
      </c>
    </row>
    <row r="197" spans="1:19" x14ac:dyDescent="0.2">
      <c r="A197" s="1"/>
      <c r="B197" s="13">
        <v>45429</v>
      </c>
      <c r="C197" s="14">
        <v>399.14</v>
      </c>
      <c r="D197" s="15">
        <v>312606</v>
      </c>
      <c r="E197" s="14">
        <v>408.55</v>
      </c>
      <c r="F197" s="14">
        <v>409.97500000000002</v>
      </c>
      <c r="G197" s="16">
        <v>398.71</v>
      </c>
      <c r="H197" s="69">
        <f t="shared" si="10"/>
        <v>-2.125990044383419E-2</v>
      </c>
      <c r="M197" s="225">
        <f t="shared" si="11"/>
        <v>45434</v>
      </c>
      <c r="N197" s="1319">
        <f t="shared" si="12"/>
        <v>377.26</v>
      </c>
      <c r="O197" s="1319">
        <f t="shared" si="13"/>
        <v>377.26</v>
      </c>
      <c r="P197" s="1319">
        <f t="shared" si="14"/>
        <v>377.26</v>
      </c>
      <c r="Q197" s="35">
        <v>42601</v>
      </c>
      <c r="R197" s="36">
        <v>1.5800000000000002E-2</v>
      </c>
      <c r="S197" s="37">
        <v>1.1699999999999999E-2</v>
      </c>
    </row>
    <row r="198" spans="1:19" x14ac:dyDescent="0.2">
      <c r="A198" s="1"/>
      <c r="B198" s="13">
        <v>45428</v>
      </c>
      <c r="C198" s="14">
        <v>407.81</v>
      </c>
      <c r="D198" s="15">
        <v>258710</v>
      </c>
      <c r="E198" s="14">
        <v>408.43</v>
      </c>
      <c r="F198" s="14">
        <v>409.42</v>
      </c>
      <c r="G198" s="16">
        <v>403.86</v>
      </c>
      <c r="H198" s="69">
        <f t="shared" si="10"/>
        <v>-5.0502586122767035E-3</v>
      </c>
      <c r="M198" s="225">
        <f t="shared" si="11"/>
        <v>45433</v>
      </c>
      <c r="N198" s="1319">
        <f t="shared" si="12"/>
        <v>379.52</v>
      </c>
      <c r="O198" s="1319">
        <f t="shared" si="13"/>
        <v>379.52</v>
      </c>
      <c r="P198" s="1319">
        <f t="shared" si="14"/>
        <v>379.52</v>
      </c>
      <c r="Q198" s="35">
        <v>42604</v>
      </c>
      <c r="R198" s="36">
        <v>1.55E-2</v>
      </c>
      <c r="S198" s="37">
        <v>1.15E-2</v>
      </c>
    </row>
    <row r="199" spans="1:19" x14ac:dyDescent="0.2">
      <c r="A199" s="1"/>
      <c r="B199" s="13">
        <v>45427</v>
      </c>
      <c r="C199" s="14">
        <v>409.88</v>
      </c>
      <c r="D199" s="15">
        <v>291933</v>
      </c>
      <c r="E199" s="14">
        <v>409.79</v>
      </c>
      <c r="F199" s="14">
        <v>414.33</v>
      </c>
      <c r="G199" s="16">
        <v>406.23500000000001</v>
      </c>
      <c r="H199" s="69">
        <f t="shared" si="10"/>
        <v>1.1524888329508265E-2</v>
      </c>
      <c r="M199" s="225">
        <f t="shared" si="11"/>
        <v>45432</v>
      </c>
      <c r="N199" s="1319">
        <f t="shared" si="12"/>
        <v>398.28</v>
      </c>
      <c r="O199" s="1319">
        <f t="shared" si="13"/>
        <v>398.28</v>
      </c>
      <c r="P199" s="1319">
        <f t="shared" si="14"/>
        <v>398.28</v>
      </c>
      <c r="Q199" s="35">
        <v>42605</v>
      </c>
      <c r="R199" s="36">
        <v>1.55E-2</v>
      </c>
      <c r="S199" s="37">
        <v>1.15E-2</v>
      </c>
    </row>
    <row r="200" spans="1:19" x14ac:dyDescent="0.2">
      <c r="A200" s="1"/>
      <c r="B200" s="13">
        <v>45426</v>
      </c>
      <c r="C200" s="14">
        <v>405.21</v>
      </c>
      <c r="D200" s="15">
        <v>282709</v>
      </c>
      <c r="E200" s="14">
        <v>405.44</v>
      </c>
      <c r="F200" s="14">
        <v>408.68</v>
      </c>
      <c r="G200" s="16">
        <v>397.06</v>
      </c>
      <c r="H200" s="69">
        <f t="shared" si="10"/>
        <v>5.4339735000743516E-3</v>
      </c>
      <c r="M200" s="225">
        <f t="shared" si="11"/>
        <v>45429</v>
      </c>
      <c r="N200" s="1319">
        <f t="shared" si="12"/>
        <v>399.14</v>
      </c>
      <c r="O200" s="1319">
        <f t="shared" si="13"/>
        <v>399.14</v>
      </c>
      <c r="P200" s="1319">
        <f t="shared" si="14"/>
        <v>399.14</v>
      </c>
      <c r="Q200" s="35">
        <v>42606</v>
      </c>
      <c r="R200" s="36">
        <v>1.5600000000000001E-2</v>
      </c>
      <c r="S200" s="37">
        <v>1.1299999999999999E-2</v>
      </c>
    </row>
    <row r="201" spans="1:19" x14ac:dyDescent="0.2">
      <c r="A201" s="1"/>
      <c r="B201" s="13">
        <v>45425</v>
      </c>
      <c r="C201" s="14">
        <v>403.02</v>
      </c>
      <c r="D201" s="15">
        <v>250017</v>
      </c>
      <c r="E201" s="14">
        <v>410.94</v>
      </c>
      <c r="F201" s="14">
        <v>413.28</v>
      </c>
      <c r="G201" s="16">
        <v>401.53</v>
      </c>
      <c r="H201" s="69">
        <f t="shared" si="10"/>
        <v>-1.8580299525143062E-2</v>
      </c>
      <c r="M201" s="225">
        <f t="shared" si="11"/>
        <v>45428</v>
      </c>
      <c r="N201" s="1319">
        <f t="shared" si="12"/>
        <v>407.81</v>
      </c>
      <c r="O201" s="1319">
        <f t="shared" si="13"/>
        <v>407.81</v>
      </c>
      <c r="P201" s="1319">
        <f t="shared" si="14"/>
        <v>407.81</v>
      </c>
      <c r="Q201" s="35">
        <v>42607</v>
      </c>
      <c r="R201" s="36">
        <v>1.5800000000000002E-2</v>
      </c>
      <c r="S201" s="37">
        <v>1.1599999999999999E-2</v>
      </c>
    </row>
    <row r="202" spans="1:19" x14ac:dyDescent="0.2">
      <c r="A202" s="1"/>
      <c r="B202" s="13">
        <v>45422</v>
      </c>
      <c r="C202" s="14">
        <v>410.65</v>
      </c>
      <c r="D202" s="15">
        <v>264258</v>
      </c>
      <c r="E202" s="14">
        <v>410.8</v>
      </c>
      <c r="F202" s="14">
        <v>417.935</v>
      </c>
      <c r="G202" s="16">
        <v>409.83499999999998</v>
      </c>
      <c r="H202" s="69">
        <f t="shared" si="10"/>
        <v>3.6540803897677776E-4</v>
      </c>
      <c r="M202" s="225">
        <f t="shared" si="11"/>
        <v>45427</v>
      </c>
      <c r="N202" s="1319">
        <f t="shared" si="12"/>
        <v>409.88</v>
      </c>
      <c r="O202" s="1319">
        <f t="shared" si="13"/>
        <v>409.88</v>
      </c>
      <c r="P202" s="1319">
        <f t="shared" si="14"/>
        <v>409.88</v>
      </c>
      <c r="Q202" s="35">
        <v>42608</v>
      </c>
      <c r="R202" s="36">
        <v>1.6200000000000003E-2</v>
      </c>
      <c r="S202" s="37">
        <v>1.23E-2</v>
      </c>
    </row>
    <row r="203" spans="1:19" x14ac:dyDescent="0.2">
      <c r="A203" s="1"/>
      <c r="B203" s="13">
        <v>45421</v>
      </c>
      <c r="C203" s="14">
        <v>410.5</v>
      </c>
      <c r="D203" s="15">
        <v>419530</v>
      </c>
      <c r="E203" s="14">
        <v>411.5</v>
      </c>
      <c r="F203" s="14">
        <v>423.9</v>
      </c>
      <c r="G203" s="16">
        <v>409.08</v>
      </c>
      <c r="H203" s="69">
        <f t="shared" si="10"/>
        <v>-6.7987708983571205E-3</v>
      </c>
      <c r="M203" s="225">
        <f t="shared" si="11"/>
        <v>45426</v>
      </c>
      <c r="N203" s="1319">
        <f t="shared" si="12"/>
        <v>405.21</v>
      </c>
      <c r="O203" s="1319">
        <f t="shared" si="13"/>
        <v>405.21</v>
      </c>
      <c r="P203" s="1319">
        <f t="shared" si="14"/>
        <v>405.21</v>
      </c>
      <c r="Q203" s="35">
        <v>42611</v>
      </c>
      <c r="R203" s="36">
        <v>1.5700000000000002E-2</v>
      </c>
      <c r="S203" s="37">
        <v>1.18E-2</v>
      </c>
    </row>
    <row r="204" spans="1:19" x14ac:dyDescent="0.2">
      <c r="A204" s="1"/>
      <c r="B204" s="13">
        <v>45420</v>
      </c>
      <c r="C204" s="14">
        <v>413.31</v>
      </c>
      <c r="D204" s="15">
        <v>464459</v>
      </c>
      <c r="E204" s="14">
        <v>401.13</v>
      </c>
      <c r="F204" s="14">
        <v>415.94</v>
      </c>
      <c r="G204" s="16">
        <v>400</v>
      </c>
      <c r="H204" s="69">
        <f t="shared" si="10"/>
        <v>1.6852826846430302E-2</v>
      </c>
      <c r="M204" s="225">
        <f t="shared" si="11"/>
        <v>45425</v>
      </c>
      <c r="N204" s="1319">
        <f t="shared" si="12"/>
        <v>403.02</v>
      </c>
      <c r="O204" s="1319">
        <f t="shared" si="13"/>
        <v>403.02</v>
      </c>
      <c r="P204" s="1319">
        <f t="shared" si="14"/>
        <v>403.02</v>
      </c>
      <c r="Q204" s="35">
        <v>42612</v>
      </c>
      <c r="R204" s="36">
        <v>1.5700000000000002E-2</v>
      </c>
      <c r="S204" s="37">
        <v>1.18E-2</v>
      </c>
    </row>
    <row r="205" spans="1:19" x14ac:dyDescent="0.2">
      <c r="A205" s="1"/>
      <c r="B205" s="13">
        <v>45419</v>
      </c>
      <c r="C205" s="14">
        <v>406.46</v>
      </c>
      <c r="D205" s="15">
        <v>506026</v>
      </c>
      <c r="E205" s="14">
        <v>395.86</v>
      </c>
      <c r="F205" s="14">
        <v>408.81</v>
      </c>
      <c r="G205" s="16">
        <v>391.65</v>
      </c>
      <c r="H205" s="69">
        <f t="shared" si="10"/>
        <v>3.356558002339427E-2</v>
      </c>
      <c r="M205" s="225">
        <f t="shared" si="11"/>
        <v>45422</v>
      </c>
      <c r="N205" s="1319">
        <f t="shared" si="12"/>
        <v>410.65</v>
      </c>
      <c r="O205" s="1319">
        <f t="shared" si="13"/>
        <v>410.65</v>
      </c>
      <c r="P205" s="1319">
        <f t="shared" si="14"/>
        <v>410.65</v>
      </c>
      <c r="Q205" s="35">
        <v>42613</v>
      </c>
      <c r="R205" s="36">
        <v>1.5800000000000002E-2</v>
      </c>
      <c r="S205" s="37">
        <v>1.1899999999999999E-2</v>
      </c>
    </row>
    <row r="206" spans="1:19" x14ac:dyDescent="0.2">
      <c r="A206" s="1"/>
      <c r="B206" s="13">
        <v>45418</v>
      </c>
      <c r="C206" s="14">
        <v>393.26</v>
      </c>
      <c r="D206" s="15">
        <v>533208</v>
      </c>
      <c r="E206" s="14">
        <v>406.84</v>
      </c>
      <c r="F206" s="14">
        <v>406.84</v>
      </c>
      <c r="G206" s="16">
        <v>388.37</v>
      </c>
      <c r="H206" s="69">
        <f t="shared" si="10"/>
        <v>-1.7046590681863649E-2</v>
      </c>
      <c r="M206" s="225">
        <f t="shared" si="11"/>
        <v>45421</v>
      </c>
      <c r="N206" s="1319">
        <f t="shared" si="12"/>
        <v>410.5</v>
      </c>
      <c r="O206" s="1319">
        <f t="shared" si="13"/>
        <v>410.5</v>
      </c>
      <c r="P206" s="1319">
        <f t="shared" si="14"/>
        <v>410.5</v>
      </c>
      <c r="Q206" s="35">
        <v>42614</v>
      </c>
      <c r="R206" s="36">
        <v>1.5700000000000002E-2</v>
      </c>
      <c r="S206" s="37">
        <v>1.18E-2</v>
      </c>
    </row>
    <row r="207" spans="1:19" x14ac:dyDescent="0.2">
      <c r="A207" s="1"/>
      <c r="B207" s="13">
        <v>45415</v>
      </c>
      <c r="C207" s="14">
        <v>400.08</v>
      </c>
      <c r="D207" s="15">
        <v>631703</v>
      </c>
      <c r="E207" s="14">
        <v>415.79</v>
      </c>
      <c r="F207" s="14">
        <v>428</v>
      </c>
      <c r="G207" s="16">
        <v>399.44</v>
      </c>
      <c r="H207" s="69">
        <f t="shared" si="10"/>
        <v>-1.445990885577042E-2</v>
      </c>
      <c r="M207" s="225">
        <f t="shared" si="11"/>
        <v>45420</v>
      </c>
      <c r="N207" s="1319">
        <f t="shared" si="12"/>
        <v>413.31</v>
      </c>
      <c r="O207" s="1319">
        <f t="shared" si="13"/>
        <v>413.31</v>
      </c>
      <c r="P207" s="1319">
        <f t="shared" si="14"/>
        <v>413.31</v>
      </c>
      <c r="Q207" s="35">
        <v>42615</v>
      </c>
      <c r="R207" s="36">
        <v>1.6E-2</v>
      </c>
      <c r="S207" s="37">
        <v>1.2E-2</v>
      </c>
    </row>
    <row r="208" spans="1:19" x14ac:dyDescent="0.2">
      <c r="A208" s="1"/>
      <c r="B208" s="13">
        <v>45414</v>
      </c>
      <c r="C208" s="14">
        <v>405.95</v>
      </c>
      <c r="D208" s="15">
        <v>638786</v>
      </c>
      <c r="E208" s="14">
        <v>400.83</v>
      </c>
      <c r="F208" s="14">
        <v>409.935</v>
      </c>
      <c r="G208" s="16">
        <v>387.99</v>
      </c>
      <c r="H208" s="69">
        <f t="shared" si="10"/>
        <v>2.5126262626262497E-2</v>
      </c>
      <c r="M208" s="225">
        <f t="shared" si="11"/>
        <v>45419</v>
      </c>
      <c r="N208" s="1319">
        <f t="shared" si="12"/>
        <v>406.46</v>
      </c>
      <c r="O208" s="1319">
        <f t="shared" si="13"/>
        <v>406.46</v>
      </c>
      <c r="P208" s="1319">
        <f t="shared" si="14"/>
        <v>406.46</v>
      </c>
      <c r="Q208" s="35">
        <v>42619</v>
      </c>
      <c r="R208" s="36">
        <v>1.55E-2</v>
      </c>
      <c r="S208" s="37">
        <v>1.1299999999999999E-2</v>
      </c>
    </row>
    <row r="209" spans="1:19" x14ac:dyDescent="0.2">
      <c r="A209" s="1"/>
      <c r="B209" s="13">
        <v>45413</v>
      </c>
      <c r="C209" s="14">
        <v>396</v>
      </c>
      <c r="D209" s="15">
        <v>528656</v>
      </c>
      <c r="E209" s="14">
        <v>396</v>
      </c>
      <c r="F209" s="14">
        <v>407.21</v>
      </c>
      <c r="G209" s="16">
        <v>393.35</v>
      </c>
      <c r="H209" s="69">
        <f t="shared" si="10"/>
        <v>-2.0915757377214517E-3</v>
      </c>
      <c r="M209" s="225">
        <f t="shared" si="11"/>
        <v>45418</v>
      </c>
      <c r="N209" s="1319">
        <f t="shared" si="12"/>
        <v>393.26</v>
      </c>
      <c r="O209" s="1319">
        <f t="shared" si="13"/>
        <v>393.26</v>
      </c>
      <c r="P209" s="1319">
        <f t="shared" si="14"/>
        <v>393.26</v>
      </c>
      <c r="Q209" s="35">
        <v>42620</v>
      </c>
      <c r="R209" s="36">
        <v>1.54E-2</v>
      </c>
      <c r="S209" s="37">
        <v>1.1200000000000002E-2</v>
      </c>
    </row>
    <row r="210" spans="1:19" x14ac:dyDescent="0.2">
      <c r="A210" s="1"/>
      <c r="B210" s="13">
        <v>45412</v>
      </c>
      <c r="C210" s="14">
        <v>396.83</v>
      </c>
      <c r="D210" s="15">
        <v>864111</v>
      </c>
      <c r="E210" s="14">
        <v>415.53</v>
      </c>
      <c r="F210" s="14">
        <v>415.53</v>
      </c>
      <c r="G210" s="16">
        <v>396</v>
      </c>
      <c r="H210" s="69">
        <f t="shared" si="10"/>
        <v>-4.6310982936794143E-2</v>
      </c>
      <c r="M210" s="225">
        <f t="shared" si="11"/>
        <v>45415</v>
      </c>
      <c r="N210" s="1319">
        <f t="shared" si="12"/>
        <v>400.08</v>
      </c>
      <c r="O210" s="1319">
        <f t="shared" si="13"/>
        <v>400.08</v>
      </c>
      <c r="P210" s="1319">
        <f t="shared" si="14"/>
        <v>400.08</v>
      </c>
      <c r="Q210" s="35">
        <v>42621</v>
      </c>
      <c r="R210" s="36">
        <v>1.61E-2</v>
      </c>
      <c r="S210" s="37">
        <v>1.1899999999999999E-2</v>
      </c>
    </row>
    <row r="211" spans="1:19" x14ac:dyDescent="0.2">
      <c r="A211" s="1"/>
      <c r="B211" s="13">
        <v>45411</v>
      </c>
      <c r="C211" s="14">
        <v>416.1</v>
      </c>
      <c r="D211" s="15">
        <v>1106300</v>
      </c>
      <c r="E211" s="14">
        <v>425.61</v>
      </c>
      <c r="F211" s="14">
        <v>433.08</v>
      </c>
      <c r="G211" s="16">
        <v>406.06</v>
      </c>
      <c r="H211" s="69">
        <f t="shared" si="10"/>
        <v>-2.9640166973717963E-2</v>
      </c>
      <c r="M211" s="225">
        <f t="shared" si="11"/>
        <v>45414</v>
      </c>
      <c r="N211" s="1319">
        <f t="shared" si="12"/>
        <v>405.95</v>
      </c>
      <c r="O211" s="1319">
        <f t="shared" si="13"/>
        <v>405.95</v>
      </c>
      <c r="P211" s="1319">
        <f t="shared" si="14"/>
        <v>405.95</v>
      </c>
      <c r="Q211" s="35">
        <v>42622</v>
      </c>
      <c r="R211" s="36">
        <v>1.67E-2</v>
      </c>
      <c r="S211" s="37">
        <v>1.23E-2</v>
      </c>
    </row>
    <row r="212" spans="1:19" x14ac:dyDescent="0.2">
      <c r="A212" s="1"/>
      <c r="B212" s="13">
        <v>45408</v>
      </c>
      <c r="C212" s="14">
        <v>428.81</v>
      </c>
      <c r="D212" s="15">
        <v>2210639</v>
      </c>
      <c r="E212" s="14">
        <v>452.09</v>
      </c>
      <c r="F212" s="14">
        <v>479.83</v>
      </c>
      <c r="G212" s="16">
        <v>425.15769999999998</v>
      </c>
      <c r="H212" s="69">
        <f t="shared" si="10"/>
        <v>-0.21032374498176865</v>
      </c>
      <c r="M212" s="225">
        <f t="shared" si="11"/>
        <v>45413</v>
      </c>
      <c r="N212" s="1319">
        <f t="shared" si="12"/>
        <v>396</v>
      </c>
      <c r="O212" s="1319">
        <f t="shared" si="13"/>
        <v>396</v>
      </c>
      <c r="P212" s="1319">
        <f t="shared" si="14"/>
        <v>396</v>
      </c>
      <c r="Q212" s="35">
        <v>42625</v>
      </c>
      <c r="R212" s="36">
        <v>1.6799999999999999E-2</v>
      </c>
      <c r="S212" s="37">
        <v>1.21E-2</v>
      </c>
    </row>
    <row r="213" spans="1:19" x14ac:dyDescent="0.2">
      <c r="A213" s="1"/>
      <c r="B213" s="13">
        <v>45407</v>
      </c>
      <c r="C213" s="14">
        <v>543.02</v>
      </c>
      <c r="D213" s="15">
        <v>638366</v>
      </c>
      <c r="E213" s="14">
        <v>520.4</v>
      </c>
      <c r="F213" s="14">
        <v>549.67999999999995</v>
      </c>
      <c r="G213" s="16">
        <v>517.18499999999995</v>
      </c>
      <c r="H213" s="69">
        <f t="shared" si="10"/>
        <v>2.8778205103915822E-2</v>
      </c>
      <c r="M213" s="225">
        <f t="shared" si="11"/>
        <v>45412</v>
      </c>
      <c r="N213" s="1319">
        <f t="shared" si="12"/>
        <v>396.83</v>
      </c>
      <c r="O213" s="1319">
        <f t="shared" si="13"/>
        <v>396.83</v>
      </c>
      <c r="P213" s="1319">
        <f t="shared" si="14"/>
        <v>396.83</v>
      </c>
      <c r="Q213" s="35">
        <v>42626</v>
      </c>
      <c r="R213" s="36">
        <v>1.7299999999999999E-2</v>
      </c>
      <c r="S213" s="37">
        <v>1.26E-2</v>
      </c>
    </row>
    <row r="214" spans="1:19" x14ac:dyDescent="0.2">
      <c r="A214" s="1"/>
      <c r="B214" s="13">
        <v>45406</v>
      </c>
      <c r="C214" s="14">
        <v>527.83000000000004</v>
      </c>
      <c r="D214" s="15">
        <v>774352</v>
      </c>
      <c r="E214" s="14">
        <v>542.30999999999995</v>
      </c>
      <c r="F214" s="14">
        <v>549.72</v>
      </c>
      <c r="G214" s="16">
        <v>504.65</v>
      </c>
      <c r="H214" s="69">
        <f t="shared" si="10"/>
        <v>-3.3773888848209532E-2</v>
      </c>
      <c r="M214" s="225">
        <f t="shared" si="11"/>
        <v>45411</v>
      </c>
      <c r="N214" s="1319">
        <f t="shared" si="12"/>
        <v>416.1</v>
      </c>
      <c r="O214" s="1319">
        <f t="shared" si="13"/>
        <v>416.1</v>
      </c>
      <c r="P214" s="1319">
        <f t="shared" si="14"/>
        <v>416.1</v>
      </c>
      <c r="Q214" s="35">
        <v>42627</v>
      </c>
      <c r="R214" s="36">
        <v>1.7000000000000001E-2</v>
      </c>
      <c r="S214" s="37">
        <v>1.21E-2</v>
      </c>
    </row>
    <row r="215" spans="1:19" x14ac:dyDescent="0.2">
      <c r="A215" s="1"/>
      <c r="B215" s="13">
        <v>45405</v>
      </c>
      <c r="C215" s="14">
        <v>546.28</v>
      </c>
      <c r="D215" s="15">
        <v>330140</v>
      </c>
      <c r="E215" s="14">
        <v>526.37</v>
      </c>
      <c r="F215" s="14">
        <v>552.4</v>
      </c>
      <c r="G215" s="16">
        <v>526.12</v>
      </c>
      <c r="H215" s="69">
        <f t="shared" si="10"/>
        <v>4.527189927672115E-2</v>
      </c>
      <c r="M215" s="225">
        <f t="shared" si="11"/>
        <v>45408</v>
      </c>
      <c r="N215" s="1319">
        <f t="shared" si="12"/>
        <v>428.81</v>
      </c>
      <c r="O215" s="1319">
        <f t="shared" si="13"/>
        <v>428.81</v>
      </c>
      <c r="P215" s="1319">
        <f t="shared" si="14"/>
        <v>428.81</v>
      </c>
      <c r="Q215" s="35">
        <v>42628</v>
      </c>
      <c r="R215" s="36">
        <v>1.7100000000000001E-2</v>
      </c>
      <c r="S215" s="37">
        <v>1.2E-2</v>
      </c>
    </row>
    <row r="216" spans="1:19" x14ac:dyDescent="0.2">
      <c r="A216" s="1"/>
      <c r="B216" s="13">
        <v>45404</v>
      </c>
      <c r="C216" s="14">
        <v>522.62</v>
      </c>
      <c r="D216" s="15">
        <v>240594</v>
      </c>
      <c r="E216" s="14">
        <v>522.39</v>
      </c>
      <c r="F216" s="14">
        <v>534.15499999999997</v>
      </c>
      <c r="G216" s="16">
        <v>519</v>
      </c>
      <c r="H216" s="69">
        <f t="shared" si="10"/>
        <v>9.8742053293656706E-3</v>
      </c>
      <c r="M216" s="225">
        <f t="shared" si="11"/>
        <v>45407</v>
      </c>
      <c r="N216" s="1319">
        <f t="shared" si="12"/>
        <v>543.02</v>
      </c>
      <c r="O216" s="1319">
        <f t="shared" si="13"/>
        <v>543.02</v>
      </c>
      <c r="P216" s="1319">
        <f t="shared" si="14"/>
        <v>543.02</v>
      </c>
      <c r="Q216" s="35">
        <v>42629</v>
      </c>
      <c r="R216" s="36">
        <v>1.7000000000000001E-2</v>
      </c>
      <c r="S216" s="37">
        <v>1.21E-2</v>
      </c>
    </row>
    <row r="217" spans="1:19" x14ac:dyDescent="0.2">
      <c r="A217" s="1"/>
      <c r="B217" s="13">
        <v>45401</v>
      </c>
      <c r="C217" s="14">
        <v>517.51</v>
      </c>
      <c r="D217" s="15">
        <v>246123</v>
      </c>
      <c r="E217" s="14">
        <v>520</v>
      </c>
      <c r="F217" s="14">
        <v>528.30999999999995</v>
      </c>
      <c r="G217" s="16">
        <v>514.19000000000005</v>
      </c>
      <c r="H217" s="69">
        <f t="shared" si="10"/>
        <v>-9.6071038983407409E-3</v>
      </c>
      <c r="M217" s="225">
        <f t="shared" si="11"/>
        <v>45406</v>
      </c>
      <c r="N217" s="1319">
        <f t="shared" si="12"/>
        <v>527.83000000000004</v>
      </c>
      <c r="O217" s="1319">
        <f t="shared" si="13"/>
        <v>527.83000000000004</v>
      </c>
      <c r="P217" s="1319">
        <f t="shared" si="14"/>
        <v>527.83000000000004</v>
      </c>
      <c r="Q217" s="35">
        <v>42632</v>
      </c>
      <c r="R217" s="36">
        <v>1.7000000000000001E-2</v>
      </c>
      <c r="S217" s="37">
        <v>1.2199999999999999E-2</v>
      </c>
    </row>
    <row r="218" spans="1:19" x14ac:dyDescent="0.2">
      <c r="A218" s="1"/>
      <c r="B218" s="13">
        <v>45400</v>
      </c>
      <c r="C218" s="14">
        <v>522.53</v>
      </c>
      <c r="D218" s="15">
        <v>341305</v>
      </c>
      <c r="E218" s="14">
        <v>545.46</v>
      </c>
      <c r="F218" s="14">
        <v>545.46</v>
      </c>
      <c r="G218" s="16">
        <v>522.11</v>
      </c>
      <c r="H218" s="69">
        <f t="shared" si="10"/>
        <v>-3.4657946756821656E-2</v>
      </c>
      <c r="M218" s="225">
        <f t="shared" si="11"/>
        <v>45405</v>
      </c>
      <c r="N218" s="1319">
        <f t="shared" si="12"/>
        <v>546.28</v>
      </c>
      <c r="O218" s="1319">
        <f t="shared" si="13"/>
        <v>546.28</v>
      </c>
      <c r="P218" s="1319">
        <f t="shared" si="14"/>
        <v>546.28</v>
      </c>
      <c r="Q218" s="35">
        <v>42633</v>
      </c>
      <c r="R218" s="36">
        <v>1.6899999999999998E-2</v>
      </c>
      <c r="S218" s="37">
        <v>1.2E-2</v>
      </c>
    </row>
    <row r="219" spans="1:19" x14ac:dyDescent="0.2">
      <c r="A219" s="1"/>
      <c r="B219" s="13">
        <v>45399</v>
      </c>
      <c r="C219" s="14">
        <v>541.29</v>
      </c>
      <c r="D219" s="15">
        <v>275715</v>
      </c>
      <c r="E219" s="14">
        <v>547.16999999999996</v>
      </c>
      <c r="F219" s="14">
        <v>552.38499999999999</v>
      </c>
      <c r="G219" s="16">
        <v>532.41999999999996</v>
      </c>
      <c r="H219" s="69">
        <f t="shared" si="10"/>
        <v>-2.692936883168251E-2</v>
      </c>
      <c r="M219" s="225">
        <f t="shared" si="11"/>
        <v>45404</v>
      </c>
      <c r="N219" s="1319">
        <f t="shared" si="12"/>
        <v>522.62</v>
      </c>
      <c r="O219" s="1319">
        <f t="shared" si="13"/>
        <v>522.62</v>
      </c>
      <c r="P219" s="1319">
        <f t="shared" si="14"/>
        <v>522.62</v>
      </c>
      <c r="Q219" s="35">
        <v>42634</v>
      </c>
      <c r="R219" s="36">
        <v>1.66E-2</v>
      </c>
      <c r="S219" s="37">
        <v>1.2E-2</v>
      </c>
    </row>
    <row r="220" spans="1:19" x14ac:dyDescent="0.2">
      <c r="A220" s="1"/>
      <c r="B220" s="13">
        <v>45398</v>
      </c>
      <c r="C220" s="14">
        <v>556.27</v>
      </c>
      <c r="D220" s="15">
        <v>302377</v>
      </c>
      <c r="E220" s="14">
        <v>576.11</v>
      </c>
      <c r="F220" s="14">
        <v>576.96</v>
      </c>
      <c r="G220" s="16">
        <v>554.44000000000005</v>
      </c>
      <c r="H220" s="69">
        <f t="shared" si="10"/>
        <v>-3.5877081997330973E-2</v>
      </c>
      <c r="M220" s="225">
        <f t="shared" si="11"/>
        <v>45401</v>
      </c>
      <c r="N220" s="1319">
        <f t="shared" si="12"/>
        <v>517.51</v>
      </c>
      <c r="O220" s="1319">
        <f t="shared" si="13"/>
        <v>517.51</v>
      </c>
      <c r="P220" s="1319">
        <f t="shared" si="14"/>
        <v>517.51</v>
      </c>
      <c r="Q220" s="35">
        <v>42635</v>
      </c>
      <c r="R220" s="36">
        <v>1.6299999999999999E-2</v>
      </c>
      <c r="S220" s="37">
        <v>1.18E-2</v>
      </c>
    </row>
    <row r="221" spans="1:19" x14ac:dyDescent="0.2">
      <c r="A221" s="1"/>
      <c r="B221" s="13">
        <v>45397</v>
      </c>
      <c r="C221" s="14">
        <v>576.97</v>
      </c>
      <c r="D221" s="15">
        <v>254873</v>
      </c>
      <c r="E221" s="14">
        <v>584.33000000000004</v>
      </c>
      <c r="F221" s="14">
        <v>591.34</v>
      </c>
      <c r="G221" s="16">
        <v>572.6</v>
      </c>
      <c r="H221" s="69">
        <f t="shared" si="10"/>
        <v>-1.2982067437512512E-3</v>
      </c>
      <c r="M221" s="225">
        <f t="shared" si="11"/>
        <v>45400</v>
      </c>
      <c r="N221" s="1319">
        <f t="shared" si="12"/>
        <v>522.53</v>
      </c>
      <c r="O221" s="1319">
        <f t="shared" si="13"/>
        <v>522.53</v>
      </c>
      <c r="P221" s="1319">
        <f t="shared" si="14"/>
        <v>522.53</v>
      </c>
      <c r="Q221" s="35">
        <v>42636</v>
      </c>
      <c r="R221" s="36">
        <v>1.6200000000000003E-2</v>
      </c>
      <c r="S221" s="37">
        <v>1.1599999999999999E-2</v>
      </c>
    </row>
    <row r="222" spans="1:19" x14ac:dyDescent="0.2">
      <c r="A222" s="1"/>
      <c r="B222" s="13">
        <v>45394</v>
      </c>
      <c r="C222" s="14">
        <v>577.72</v>
      </c>
      <c r="D222" s="15">
        <v>237235</v>
      </c>
      <c r="E222" s="14">
        <v>581.64</v>
      </c>
      <c r="F222" s="14">
        <v>585.64</v>
      </c>
      <c r="G222" s="16">
        <v>571.46</v>
      </c>
      <c r="H222" s="69">
        <f t="shared" si="10"/>
        <v>-1.7332584919460325E-2</v>
      </c>
      <c r="M222" s="225">
        <f t="shared" si="11"/>
        <v>45399</v>
      </c>
      <c r="N222" s="1319">
        <f t="shared" si="12"/>
        <v>541.29</v>
      </c>
      <c r="O222" s="1319">
        <f t="shared" si="13"/>
        <v>541.29</v>
      </c>
      <c r="P222" s="1319">
        <f t="shared" si="14"/>
        <v>541.29</v>
      </c>
      <c r="Q222" s="35">
        <v>42639</v>
      </c>
      <c r="R222" s="36">
        <v>1.5900000000000001E-2</v>
      </c>
      <c r="S222" s="37">
        <v>1.1299999999999999E-2</v>
      </c>
    </row>
    <row r="223" spans="1:19" x14ac:dyDescent="0.2">
      <c r="A223" s="1"/>
      <c r="B223" s="13">
        <v>45393</v>
      </c>
      <c r="C223" s="14">
        <v>587.91</v>
      </c>
      <c r="D223" s="15">
        <v>216479</v>
      </c>
      <c r="E223" s="14">
        <v>574.78</v>
      </c>
      <c r="F223" s="14">
        <v>588.77</v>
      </c>
      <c r="G223" s="16">
        <v>572.05999999999995</v>
      </c>
      <c r="H223" s="69">
        <f t="shared" si="10"/>
        <v>1.1893287435456035E-2</v>
      </c>
      <c r="M223" s="225">
        <f t="shared" si="11"/>
        <v>45398</v>
      </c>
      <c r="N223" s="1319">
        <f t="shared" si="12"/>
        <v>556.27</v>
      </c>
      <c r="O223" s="1319">
        <f t="shared" si="13"/>
        <v>556.27</v>
      </c>
      <c r="P223" s="1319">
        <f t="shared" si="14"/>
        <v>556.27</v>
      </c>
      <c r="Q223" s="35">
        <v>42640</v>
      </c>
      <c r="R223" s="36">
        <v>1.5600000000000001E-2</v>
      </c>
      <c r="S223" s="37">
        <v>1.1200000000000002E-2</v>
      </c>
    </row>
    <row r="224" spans="1:19" x14ac:dyDescent="0.2">
      <c r="A224" s="1"/>
      <c r="B224" s="13">
        <v>45392</v>
      </c>
      <c r="C224" s="14">
        <v>581</v>
      </c>
      <c r="D224" s="15">
        <v>222584</v>
      </c>
      <c r="E224" s="14">
        <v>582.96</v>
      </c>
      <c r="F224" s="14">
        <v>588.23</v>
      </c>
      <c r="G224" s="16">
        <v>573.41999999999996</v>
      </c>
      <c r="H224" s="69">
        <f t="shared" si="10"/>
        <v>-1.8116676806597787E-2</v>
      </c>
      <c r="M224" s="225">
        <f t="shared" si="11"/>
        <v>45397</v>
      </c>
      <c r="N224" s="1319">
        <f t="shared" si="12"/>
        <v>576.97</v>
      </c>
      <c r="O224" s="1319">
        <f t="shared" si="13"/>
        <v>576.97</v>
      </c>
      <c r="P224" s="1319">
        <f t="shared" si="14"/>
        <v>576.97</v>
      </c>
      <c r="Q224" s="35">
        <v>42641</v>
      </c>
      <c r="R224" s="36">
        <v>1.5700000000000002E-2</v>
      </c>
      <c r="S224" s="37">
        <v>1.1299999999999999E-2</v>
      </c>
    </row>
    <row r="225" spans="1:19" x14ac:dyDescent="0.2">
      <c r="A225" s="1"/>
      <c r="B225" s="13">
        <v>45391</v>
      </c>
      <c r="C225" s="14">
        <v>591.72</v>
      </c>
      <c r="D225" s="15">
        <v>264243</v>
      </c>
      <c r="E225" s="14">
        <v>596.95000000000005</v>
      </c>
      <c r="F225" s="14">
        <v>596.95000000000005</v>
      </c>
      <c r="G225" s="16">
        <v>573.29</v>
      </c>
      <c r="H225" s="69">
        <f t="shared" si="10"/>
        <v>-1.0501672240802673E-2</v>
      </c>
      <c r="M225" s="225">
        <f t="shared" si="11"/>
        <v>45394</v>
      </c>
      <c r="N225" s="1319">
        <f t="shared" si="12"/>
        <v>577.72</v>
      </c>
      <c r="O225" s="1319">
        <f t="shared" si="13"/>
        <v>577.72</v>
      </c>
      <c r="P225" s="1319">
        <f t="shared" si="14"/>
        <v>577.72</v>
      </c>
      <c r="Q225" s="35">
        <v>42642</v>
      </c>
      <c r="R225" s="36">
        <v>1.5600000000000001E-2</v>
      </c>
      <c r="S225" s="37">
        <v>1.1200000000000002E-2</v>
      </c>
    </row>
    <row r="226" spans="1:19" x14ac:dyDescent="0.2">
      <c r="A226" s="1"/>
      <c r="B226" s="13">
        <v>45390</v>
      </c>
      <c r="C226" s="14">
        <v>598</v>
      </c>
      <c r="D226" s="15">
        <v>255309</v>
      </c>
      <c r="E226" s="14">
        <v>596.57000000000005</v>
      </c>
      <c r="F226" s="14">
        <v>605.88499999999999</v>
      </c>
      <c r="G226" s="16">
        <v>591.15</v>
      </c>
      <c r="H226" s="69">
        <f t="shared" si="10"/>
        <v>8.4317032040472917E-3</v>
      </c>
      <c r="M226" s="225">
        <f t="shared" si="11"/>
        <v>45393</v>
      </c>
      <c r="N226" s="1319">
        <f t="shared" si="12"/>
        <v>587.91</v>
      </c>
      <c r="O226" s="1319">
        <f t="shared" si="13"/>
        <v>587.91</v>
      </c>
      <c r="P226" s="1319">
        <f t="shared" si="14"/>
        <v>587.91</v>
      </c>
      <c r="Q226" s="35">
        <v>42643</v>
      </c>
      <c r="R226" s="36">
        <v>1.6E-2</v>
      </c>
      <c r="S226" s="37">
        <v>1.1399999999999999E-2</v>
      </c>
    </row>
    <row r="227" spans="1:19" x14ac:dyDescent="0.2">
      <c r="A227" s="1"/>
      <c r="B227" s="13">
        <v>45387</v>
      </c>
      <c r="C227" s="14">
        <v>593</v>
      </c>
      <c r="D227" s="15">
        <v>210791</v>
      </c>
      <c r="E227" s="14">
        <v>574.61</v>
      </c>
      <c r="F227" s="14">
        <v>597.80989999999997</v>
      </c>
      <c r="G227" s="16">
        <v>570</v>
      </c>
      <c r="H227" s="69">
        <f t="shared" si="10"/>
        <v>3.7329881398033837E-2</v>
      </c>
      <c r="M227" s="225">
        <f t="shared" si="11"/>
        <v>45392</v>
      </c>
      <c r="N227" s="1319">
        <f t="shared" si="12"/>
        <v>581</v>
      </c>
      <c r="O227" s="1319">
        <f t="shared" si="13"/>
        <v>581</v>
      </c>
      <c r="P227" s="1319">
        <f t="shared" si="14"/>
        <v>581</v>
      </c>
      <c r="Q227" s="35">
        <v>42646</v>
      </c>
      <c r="R227" s="36">
        <v>1.6299999999999999E-2</v>
      </c>
      <c r="S227" s="37">
        <v>1.18E-2</v>
      </c>
    </row>
    <row r="228" spans="1:19" x14ac:dyDescent="0.2">
      <c r="A228" s="1"/>
      <c r="B228" s="13">
        <v>45386</v>
      </c>
      <c r="C228" s="14">
        <v>571.66</v>
      </c>
      <c r="D228" s="15">
        <v>279241</v>
      </c>
      <c r="E228" s="14">
        <v>578.37</v>
      </c>
      <c r="F228" s="14">
        <v>594.69000000000005</v>
      </c>
      <c r="G228" s="16">
        <v>571.07000000000005</v>
      </c>
      <c r="H228" s="69">
        <f t="shared" si="10"/>
        <v>-1.1601569929284072E-2</v>
      </c>
      <c r="M228" s="225">
        <f t="shared" si="11"/>
        <v>45391</v>
      </c>
      <c r="N228" s="1319">
        <f t="shared" si="12"/>
        <v>591.72</v>
      </c>
      <c r="O228" s="1319">
        <f t="shared" si="13"/>
        <v>591.72</v>
      </c>
      <c r="P228" s="1319">
        <f t="shared" si="14"/>
        <v>591.72</v>
      </c>
      <c r="Q228" s="35">
        <v>42647</v>
      </c>
      <c r="R228" s="36">
        <v>1.6899999999999998E-2</v>
      </c>
      <c r="S228" s="37">
        <v>1.2199999999999999E-2</v>
      </c>
    </row>
    <row r="229" spans="1:19" x14ac:dyDescent="0.2">
      <c r="A229" s="1"/>
      <c r="B229" s="13">
        <v>45385</v>
      </c>
      <c r="C229" s="14">
        <v>578.37</v>
      </c>
      <c r="D229" s="15">
        <v>209670</v>
      </c>
      <c r="E229" s="14">
        <v>574.77</v>
      </c>
      <c r="F229" s="14">
        <v>590.40049999999997</v>
      </c>
      <c r="G229" s="16">
        <v>574.77</v>
      </c>
      <c r="H229" s="69">
        <f t="shared" si="10"/>
        <v>2.6176195264016044E-3</v>
      </c>
      <c r="M229" s="225">
        <f t="shared" si="11"/>
        <v>45390</v>
      </c>
      <c r="N229" s="1319">
        <f t="shared" si="12"/>
        <v>598</v>
      </c>
      <c r="O229" s="1319">
        <f t="shared" si="13"/>
        <v>598</v>
      </c>
      <c r="P229" s="1319">
        <f t="shared" si="14"/>
        <v>598</v>
      </c>
      <c r="Q229" s="35">
        <v>42648</v>
      </c>
      <c r="R229" s="36">
        <v>1.72E-2</v>
      </c>
      <c r="S229" s="37">
        <v>1.26E-2</v>
      </c>
    </row>
    <row r="230" spans="1:19" x14ac:dyDescent="0.2">
      <c r="A230" s="1"/>
      <c r="B230" s="13">
        <v>45384</v>
      </c>
      <c r="C230" s="14">
        <v>576.86</v>
      </c>
      <c r="D230" s="15">
        <v>235691</v>
      </c>
      <c r="E230" s="14">
        <v>580.79</v>
      </c>
      <c r="F230" s="14">
        <v>583.6</v>
      </c>
      <c r="G230" s="16">
        <v>567.53</v>
      </c>
      <c r="H230" s="69">
        <f t="shared" si="10"/>
        <v>-1.521074824589852E-2</v>
      </c>
      <c r="M230" s="225">
        <f t="shared" si="11"/>
        <v>45387</v>
      </c>
      <c r="N230" s="1319">
        <f t="shared" si="12"/>
        <v>593</v>
      </c>
      <c r="O230" s="1319">
        <f t="shared" si="13"/>
        <v>593</v>
      </c>
      <c r="P230" s="1319">
        <f t="shared" si="14"/>
        <v>593</v>
      </c>
      <c r="Q230" s="35">
        <v>42649</v>
      </c>
      <c r="R230" s="36">
        <v>1.7500000000000002E-2</v>
      </c>
      <c r="S230" s="37">
        <v>1.2800000000000001E-2</v>
      </c>
    </row>
    <row r="231" spans="1:19" x14ac:dyDescent="0.2">
      <c r="A231" s="1"/>
      <c r="B231" s="13">
        <v>45383</v>
      </c>
      <c r="C231" s="14">
        <v>585.77</v>
      </c>
      <c r="D231" s="15">
        <v>189936</v>
      </c>
      <c r="E231" s="14">
        <v>583.94000000000005</v>
      </c>
      <c r="F231" s="14">
        <v>590</v>
      </c>
      <c r="G231" s="16">
        <v>578.44000000000005</v>
      </c>
      <c r="H231" s="69">
        <f t="shared" si="10"/>
        <v>1.3162393162393649E-3</v>
      </c>
      <c r="M231" s="225">
        <f t="shared" si="11"/>
        <v>45386</v>
      </c>
      <c r="N231" s="1319">
        <f t="shared" si="12"/>
        <v>571.66</v>
      </c>
      <c r="O231" s="1319">
        <f t="shared" si="13"/>
        <v>571.66</v>
      </c>
      <c r="P231" s="1319">
        <f t="shared" si="14"/>
        <v>571.66</v>
      </c>
      <c r="Q231" s="35">
        <v>42650</v>
      </c>
      <c r="R231" s="36">
        <v>1.7299999999999999E-2</v>
      </c>
      <c r="S231" s="37">
        <v>1.26E-2</v>
      </c>
    </row>
    <row r="232" spans="1:19" x14ac:dyDescent="0.2">
      <c r="A232" s="1"/>
      <c r="B232" s="13">
        <v>45379</v>
      </c>
      <c r="C232" s="14">
        <v>585</v>
      </c>
      <c r="D232" s="15">
        <v>209063</v>
      </c>
      <c r="E232" s="14">
        <v>581.28</v>
      </c>
      <c r="F232" s="14">
        <v>586.66999999999996</v>
      </c>
      <c r="G232" s="16">
        <v>574.1</v>
      </c>
      <c r="H232" s="69">
        <f t="shared" ref="H232:H295" si="15">C232/C233-1</f>
        <v>7.8213830410363006E-3</v>
      </c>
      <c r="M232" s="225">
        <f t="shared" si="11"/>
        <v>45385</v>
      </c>
      <c r="N232" s="1319">
        <f t="shared" si="12"/>
        <v>578.37</v>
      </c>
      <c r="O232" s="1319">
        <f t="shared" si="13"/>
        <v>578.37</v>
      </c>
      <c r="P232" s="1319">
        <f t="shared" si="14"/>
        <v>578.37</v>
      </c>
      <c r="Q232" s="35">
        <v>42654</v>
      </c>
      <c r="R232" s="36">
        <v>1.77E-2</v>
      </c>
      <c r="S232" s="37">
        <v>1.3000000000000001E-2</v>
      </c>
    </row>
    <row r="233" spans="1:19" x14ac:dyDescent="0.2">
      <c r="A233" s="1"/>
      <c r="B233" s="13">
        <v>45378</v>
      </c>
      <c r="C233" s="14">
        <v>580.46</v>
      </c>
      <c r="D233" s="15">
        <v>187786</v>
      </c>
      <c r="E233" s="14">
        <v>592.09</v>
      </c>
      <c r="F233" s="14">
        <v>592.34500000000003</v>
      </c>
      <c r="G233" s="16">
        <v>572.76</v>
      </c>
      <c r="H233" s="69">
        <f t="shared" si="15"/>
        <v>-1.1949342956355968E-2</v>
      </c>
      <c r="M233" s="225">
        <f t="shared" si="11"/>
        <v>45384</v>
      </c>
      <c r="N233" s="1319">
        <f t="shared" si="12"/>
        <v>576.86</v>
      </c>
      <c r="O233" s="1319">
        <f t="shared" si="13"/>
        <v>576.86</v>
      </c>
      <c r="P233" s="1319">
        <f t="shared" si="14"/>
        <v>576.86</v>
      </c>
      <c r="Q233" s="35">
        <v>42655</v>
      </c>
      <c r="R233" s="36">
        <v>1.7899999999999999E-2</v>
      </c>
      <c r="S233" s="37">
        <v>1.3100000000000001E-2</v>
      </c>
    </row>
    <row r="234" spans="1:19" x14ac:dyDescent="0.2">
      <c r="A234" s="1"/>
      <c r="B234" s="13">
        <v>45377</v>
      </c>
      <c r="C234" s="14">
        <v>587.48</v>
      </c>
      <c r="D234" s="15">
        <v>231434</v>
      </c>
      <c r="E234" s="14">
        <v>590.28</v>
      </c>
      <c r="F234" s="14">
        <v>594.44000000000005</v>
      </c>
      <c r="G234" s="16">
        <v>581.54499999999996</v>
      </c>
      <c r="H234" s="69">
        <f t="shared" si="15"/>
        <v>1.7563304629550913E-3</v>
      </c>
      <c r="M234" s="225">
        <f t="shared" si="11"/>
        <v>45383</v>
      </c>
      <c r="N234" s="1319">
        <f t="shared" si="12"/>
        <v>585.77</v>
      </c>
      <c r="O234" s="1319">
        <f t="shared" si="13"/>
        <v>585.77</v>
      </c>
      <c r="P234" s="1319">
        <f t="shared" si="14"/>
        <v>585.77</v>
      </c>
      <c r="Q234" s="35">
        <v>42656</v>
      </c>
      <c r="R234" s="36">
        <v>1.7500000000000002E-2</v>
      </c>
      <c r="S234" s="37">
        <v>1.2699999999999999E-2</v>
      </c>
    </row>
    <row r="235" spans="1:19" x14ac:dyDescent="0.2">
      <c r="A235" s="1"/>
      <c r="B235" s="13">
        <v>45376</v>
      </c>
      <c r="C235" s="14">
        <v>586.45000000000005</v>
      </c>
      <c r="D235" s="15">
        <v>142310</v>
      </c>
      <c r="E235" s="14">
        <v>585.75</v>
      </c>
      <c r="F235" s="14">
        <v>587.14499999999998</v>
      </c>
      <c r="G235" s="16">
        <v>579.40499999999997</v>
      </c>
      <c r="H235" s="69">
        <f t="shared" si="15"/>
        <v>8.8747802638566853E-4</v>
      </c>
      <c r="M235" s="225">
        <f t="shared" si="11"/>
        <v>45379</v>
      </c>
      <c r="N235" s="1319">
        <f t="shared" si="12"/>
        <v>585</v>
      </c>
      <c r="O235" s="1319">
        <f t="shared" si="13"/>
        <v>585</v>
      </c>
      <c r="P235" s="1319">
        <f t="shared" si="14"/>
        <v>585</v>
      </c>
      <c r="Q235" s="35">
        <v>42657</v>
      </c>
      <c r="R235" s="36">
        <v>1.8000000000000002E-2</v>
      </c>
      <c r="S235" s="37">
        <v>1.2800000000000001E-2</v>
      </c>
    </row>
    <row r="236" spans="1:19" x14ac:dyDescent="0.2">
      <c r="A236" s="1"/>
      <c r="B236" s="13">
        <v>45373</v>
      </c>
      <c r="C236" s="14">
        <v>585.92999999999995</v>
      </c>
      <c r="D236" s="15">
        <v>166485</v>
      </c>
      <c r="E236" s="14">
        <v>585.49</v>
      </c>
      <c r="F236" s="14">
        <v>586.61</v>
      </c>
      <c r="G236" s="16">
        <v>576.33000000000004</v>
      </c>
      <c r="H236" s="69">
        <f t="shared" si="15"/>
        <v>7.0023227216831074E-4</v>
      </c>
      <c r="M236" s="225">
        <f t="shared" si="11"/>
        <v>45378</v>
      </c>
      <c r="N236" s="1319">
        <f t="shared" si="12"/>
        <v>580.46</v>
      </c>
      <c r="O236" s="1319">
        <f t="shared" si="13"/>
        <v>580.46</v>
      </c>
      <c r="P236" s="1319">
        <f t="shared" si="14"/>
        <v>580.46</v>
      </c>
      <c r="Q236" s="35">
        <v>42660</v>
      </c>
      <c r="R236" s="36">
        <v>1.77E-2</v>
      </c>
      <c r="S236" s="37">
        <v>1.26E-2</v>
      </c>
    </row>
    <row r="237" spans="1:19" x14ac:dyDescent="0.2">
      <c r="A237" s="1"/>
      <c r="B237" s="13">
        <v>45372</v>
      </c>
      <c r="C237" s="14">
        <v>585.52</v>
      </c>
      <c r="D237" s="15">
        <v>203368</v>
      </c>
      <c r="E237" s="14">
        <v>576.44000000000005</v>
      </c>
      <c r="F237" s="14">
        <v>587.69500000000005</v>
      </c>
      <c r="G237" s="16">
        <v>570.19000000000005</v>
      </c>
      <c r="H237" s="69">
        <f t="shared" si="15"/>
        <v>3.0845070422535148E-2</v>
      </c>
      <c r="M237" s="225">
        <f t="shared" ref="M237:M296" si="16">B234</f>
        <v>45377</v>
      </c>
      <c r="N237" s="1319">
        <f t="shared" ref="N237:N296" si="17">C234</f>
        <v>587.48</v>
      </c>
      <c r="O237" s="1319">
        <f t="shared" ref="O237:O296" si="18">N237</f>
        <v>587.48</v>
      </c>
      <c r="P237" s="1319">
        <f t="shared" ref="P237:P296" si="19">N237</f>
        <v>587.48</v>
      </c>
      <c r="Q237" s="35">
        <v>42661</v>
      </c>
      <c r="R237" s="36">
        <v>1.7500000000000002E-2</v>
      </c>
      <c r="S237" s="37">
        <v>1.24E-2</v>
      </c>
    </row>
    <row r="238" spans="1:19" x14ac:dyDescent="0.2">
      <c r="A238" s="1"/>
      <c r="B238" s="13">
        <v>45371</v>
      </c>
      <c r="C238" s="14">
        <v>568</v>
      </c>
      <c r="D238" s="15">
        <v>463993</v>
      </c>
      <c r="E238" s="14">
        <v>557.39</v>
      </c>
      <c r="F238" s="14">
        <v>572.63499999999999</v>
      </c>
      <c r="G238" s="16">
        <v>556.66999999999996</v>
      </c>
      <c r="H238" s="69">
        <f t="shared" si="15"/>
        <v>1.4285714285714235E-2</v>
      </c>
      <c r="M238" s="225">
        <f t="shared" si="16"/>
        <v>45376</v>
      </c>
      <c r="N238" s="1319">
        <f t="shared" si="17"/>
        <v>586.45000000000005</v>
      </c>
      <c r="O238" s="1319">
        <f t="shared" si="18"/>
        <v>586.45000000000005</v>
      </c>
      <c r="P238" s="1319">
        <f t="shared" si="19"/>
        <v>586.45000000000005</v>
      </c>
      <c r="Q238" s="35">
        <v>42662</v>
      </c>
      <c r="R238" s="36">
        <v>1.7600000000000001E-2</v>
      </c>
      <c r="S238" s="37">
        <v>1.24E-2</v>
      </c>
    </row>
    <row r="239" spans="1:19" x14ac:dyDescent="0.2">
      <c r="A239" s="1"/>
      <c r="B239" s="13">
        <v>45370</v>
      </c>
      <c r="C239" s="14">
        <v>560</v>
      </c>
      <c r="D239" s="15">
        <v>234099</v>
      </c>
      <c r="E239" s="14">
        <v>554.64</v>
      </c>
      <c r="F239" s="14">
        <v>562.68499999999995</v>
      </c>
      <c r="G239" s="16">
        <v>551.66</v>
      </c>
      <c r="H239" s="69">
        <f t="shared" si="15"/>
        <v>-1.3374944271065115E-3</v>
      </c>
      <c r="M239" s="225">
        <f t="shared" si="16"/>
        <v>45373</v>
      </c>
      <c r="N239" s="1319">
        <f t="shared" si="17"/>
        <v>585.92999999999995</v>
      </c>
      <c r="O239" s="1319">
        <f t="shared" si="18"/>
        <v>585.92999999999995</v>
      </c>
      <c r="P239" s="1319">
        <f t="shared" si="19"/>
        <v>585.92999999999995</v>
      </c>
      <c r="Q239" s="35">
        <v>42663</v>
      </c>
      <c r="R239" s="36">
        <v>1.7600000000000001E-2</v>
      </c>
      <c r="S239" s="37">
        <v>1.26E-2</v>
      </c>
    </row>
    <row r="240" spans="1:19" x14ac:dyDescent="0.2">
      <c r="A240" s="1"/>
      <c r="B240" s="13">
        <v>45369</v>
      </c>
      <c r="C240" s="14">
        <v>560.75</v>
      </c>
      <c r="D240" s="15">
        <v>308834</v>
      </c>
      <c r="E240" s="14">
        <v>573</v>
      </c>
      <c r="F240" s="14">
        <v>582.22</v>
      </c>
      <c r="G240" s="16">
        <v>558.98</v>
      </c>
      <c r="H240" s="69">
        <f t="shared" si="15"/>
        <v>-2.9978549681704991E-2</v>
      </c>
      <c r="M240" s="225">
        <f t="shared" si="16"/>
        <v>45372</v>
      </c>
      <c r="N240" s="1319">
        <f t="shared" si="17"/>
        <v>585.52</v>
      </c>
      <c r="O240" s="1319">
        <f t="shared" si="18"/>
        <v>585.52</v>
      </c>
      <c r="P240" s="1319">
        <f t="shared" si="19"/>
        <v>585.52</v>
      </c>
      <c r="Q240" s="35">
        <v>42664</v>
      </c>
      <c r="R240" s="36">
        <v>1.7399999999999999E-2</v>
      </c>
      <c r="S240" s="37">
        <v>1.2500000000000001E-2</v>
      </c>
    </row>
    <row r="241" spans="1:19" x14ac:dyDescent="0.2">
      <c r="A241" s="1"/>
      <c r="B241" s="13">
        <v>45366</v>
      </c>
      <c r="C241" s="14">
        <v>578.08000000000004</v>
      </c>
      <c r="D241" s="15">
        <v>400077</v>
      </c>
      <c r="E241" s="14">
        <v>585.29999999999995</v>
      </c>
      <c r="F241" s="14">
        <v>592.1</v>
      </c>
      <c r="G241" s="16">
        <v>576.65</v>
      </c>
      <c r="H241" s="69">
        <f t="shared" si="15"/>
        <v>-1.803974859860713E-2</v>
      </c>
      <c r="M241" s="225">
        <f t="shared" si="16"/>
        <v>45371</v>
      </c>
      <c r="N241" s="1319">
        <f t="shared" si="17"/>
        <v>568</v>
      </c>
      <c r="O241" s="1319">
        <f t="shared" si="18"/>
        <v>568</v>
      </c>
      <c r="P241" s="1319">
        <f t="shared" si="19"/>
        <v>568</v>
      </c>
      <c r="Q241" s="35">
        <v>42667</v>
      </c>
      <c r="R241" s="36">
        <v>1.77E-2</v>
      </c>
      <c r="S241" s="37">
        <v>1.2699999999999999E-2</v>
      </c>
    </row>
    <row r="242" spans="1:19" x14ac:dyDescent="0.2">
      <c r="A242" s="1"/>
      <c r="B242" s="13">
        <v>45365</v>
      </c>
      <c r="C242" s="14">
        <v>588.70000000000005</v>
      </c>
      <c r="D242" s="15">
        <v>237612</v>
      </c>
      <c r="E242" s="14">
        <v>594.83000000000004</v>
      </c>
      <c r="F242" s="14">
        <v>596.37</v>
      </c>
      <c r="G242" s="16">
        <v>579.92499999999995</v>
      </c>
      <c r="H242" s="69">
        <f t="shared" si="15"/>
        <v>-6.9330814257517748E-3</v>
      </c>
      <c r="M242" s="225">
        <f t="shared" si="16"/>
        <v>45370</v>
      </c>
      <c r="N242" s="1319">
        <f t="shared" si="17"/>
        <v>560</v>
      </c>
      <c r="O242" s="1319">
        <f t="shared" si="18"/>
        <v>560</v>
      </c>
      <c r="P242" s="1319">
        <f t="shared" si="19"/>
        <v>560</v>
      </c>
      <c r="Q242" s="35">
        <v>42668</v>
      </c>
      <c r="R242" s="36">
        <v>1.77E-2</v>
      </c>
      <c r="S242" s="37">
        <v>1.29E-2</v>
      </c>
    </row>
    <row r="243" spans="1:19" x14ac:dyDescent="0.2">
      <c r="A243" s="1"/>
      <c r="B243" s="13">
        <v>45364</v>
      </c>
      <c r="C243" s="14">
        <v>592.80999999999995</v>
      </c>
      <c r="D243" s="15">
        <v>199670</v>
      </c>
      <c r="E243" s="14">
        <v>595.62</v>
      </c>
      <c r="F243" s="14">
        <v>600.30999999999995</v>
      </c>
      <c r="G243" s="16">
        <v>591.01</v>
      </c>
      <c r="H243" s="69">
        <f t="shared" si="15"/>
        <v>-5.535891026824058E-3</v>
      </c>
      <c r="M243" s="225">
        <f t="shared" si="16"/>
        <v>45369</v>
      </c>
      <c r="N243" s="1319">
        <f t="shared" si="17"/>
        <v>560.75</v>
      </c>
      <c r="O243" s="1319">
        <f t="shared" si="18"/>
        <v>560.75</v>
      </c>
      <c r="P243" s="1319">
        <f t="shared" si="19"/>
        <v>560.75</v>
      </c>
      <c r="Q243" s="35">
        <v>42669</v>
      </c>
      <c r="R243" s="36">
        <v>1.7899999999999999E-2</v>
      </c>
      <c r="S243" s="37">
        <v>1.3000000000000001E-2</v>
      </c>
    </row>
    <row r="244" spans="1:19" x14ac:dyDescent="0.2">
      <c r="A244" s="1"/>
      <c r="B244" s="13">
        <v>45363</v>
      </c>
      <c r="C244" s="14">
        <v>596.11</v>
      </c>
      <c r="D244" s="15">
        <v>178775</v>
      </c>
      <c r="E244" s="14">
        <v>580.98</v>
      </c>
      <c r="F244" s="14">
        <v>598.76499999999999</v>
      </c>
      <c r="G244" s="16">
        <v>578.66</v>
      </c>
      <c r="H244" s="69">
        <f t="shared" si="15"/>
        <v>2.9213211554066865E-2</v>
      </c>
      <c r="M244" s="225">
        <f t="shared" si="16"/>
        <v>45366</v>
      </c>
      <c r="N244" s="1319">
        <f t="shared" si="17"/>
        <v>578.08000000000004</v>
      </c>
      <c r="O244" s="1319">
        <f t="shared" si="18"/>
        <v>578.08000000000004</v>
      </c>
      <c r="P244" s="1319">
        <f t="shared" si="19"/>
        <v>578.08000000000004</v>
      </c>
      <c r="Q244" s="35">
        <v>42670</v>
      </c>
      <c r="R244" s="36">
        <v>1.8500000000000003E-2</v>
      </c>
      <c r="S244" s="37">
        <v>1.3300000000000001E-2</v>
      </c>
    </row>
    <row r="245" spans="1:19" x14ac:dyDescent="0.2">
      <c r="A245" s="1"/>
      <c r="B245" s="13">
        <v>45362</v>
      </c>
      <c r="C245" s="14">
        <v>579.19000000000005</v>
      </c>
      <c r="D245" s="15">
        <v>250736</v>
      </c>
      <c r="E245" s="14">
        <v>582.88</v>
      </c>
      <c r="F245" s="14">
        <v>585.66</v>
      </c>
      <c r="G245" s="16">
        <v>568.29</v>
      </c>
      <c r="H245" s="69">
        <f t="shared" si="15"/>
        <v>-7.6755700995423393E-3</v>
      </c>
      <c r="M245" s="225">
        <f t="shared" si="16"/>
        <v>45365</v>
      </c>
      <c r="N245" s="1319">
        <f t="shared" si="17"/>
        <v>588.70000000000005</v>
      </c>
      <c r="O245" s="1319">
        <f t="shared" si="18"/>
        <v>588.70000000000005</v>
      </c>
      <c r="P245" s="1319">
        <f t="shared" si="19"/>
        <v>588.70000000000005</v>
      </c>
      <c r="Q245" s="35">
        <v>42671</v>
      </c>
      <c r="R245" s="36">
        <v>1.8600000000000002E-2</v>
      </c>
      <c r="S245" s="37">
        <v>1.3300000000000001E-2</v>
      </c>
    </row>
    <row r="246" spans="1:19" x14ac:dyDescent="0.2">
      <c r="A246" s="1"/>
      <c r="B246" s="13">
        <v>45359</v>
      </c>
      <c r="C246" s="14">
        <v>583.66999999999996</v>
      </c>
      <c r="D246" s="15">
        <v>261200</v>
      </c>
      <c r="E246" s="14">
        <v>604</v>
      </c>
      <c r="F246" s="14">
        <v>606.79999999999995</v>
      </c>
      <c r="G246" s="16">
        <v>582.62</v>
      </c>
      <c r="H246" s="69">
        <f t="shared" si="15"/>
        <v>-2.9416655580683848E-2</v>
      </c>
      <c r="M246" s="225">
        <f t="shared" si="16"/>
        <v>45364</v>
      </c>
      <c r="N246" s="1319">
        <f t="shared" si="17"/>
        <v>592.80999999999995</v>
      </c>
      <c r="O246" s="1319">
        <f t="shared" si="18"/>
        <v>592.80999999999995</v>
      </c>
      <c r="P246" s="1319">
        <f t="shared" si="19"/>
        <v>592.80999999999995</v>
      </c>
      <c r="Q246" s="35">
        <v>42674</v>
      </c>
      <c r="R246" s="36">
        <v>1.84E-2</v>
      </c>
      <c r="S246" s="37">
        <v>1.3100000000000001E-2</v>
      </c>
    </row>
    <row r="247" spans="1:19" x14ac:dyDescent="0.2">
      <c r="A247" s="1"/>
      <c r="B247" s="13">
        <v>45358</v>
      </c>
      <c r="C247" s="14">
        <v>601.36</v>
      </c>
      <c r="D247" s="15">
        <v>338206</v>
      </c>
      <c r="E247" s="14">
        <v>606.41</v>
      </c>
      <c r="F247" s="14">
        <v>609.61500000000001</v>
      </c>
      <c r="G247" s="16">
        <v>599.84</v>
      </c>
      <c r="H247" s="69">
        <f t="shared" si="15"/>
        <v>-7.5257459730656562E-3</v>
      </c>
      <c r="M247" s="225">
        <f t="shared" si="16"/>
        <v>45363</v>
      </c>
      <c r="N247" s="1319">
        <f t="shared" si="17"/>
        <v>596.11</v>
      </c>
      <c r="O247" s="1319">
        <f t="shared" si="18"/>
        <v>596.11</v>
      </c>
      <c r="P247" s="1319">
        <f t="shared" si="19"/>
        <v>596.11</v>
      </c>
      <c r="Q247" s="35">
        <v>42675</v>
      </c>
      <c r="R247" s="36">
        <v>1.83E-2</v>
      </c>
      <c r="S247" s="37">
        <v>1.3000000000000001E-2</v>
      </c>
    </row>
    <row r="248" spans="1:19" x14ac:dyDescent="0.2">
      <c r="A248" s="1"/>
      <c r="B248" s="13">
        <v>45357</v>
      </c>
      <c r="C248" s="14">
        <v>605.91999999999996</v>
      </c>
      <c r="D248" s="15">
        <v>392610</v>
      </c>
      <c r="E248" s="14">
        <v>605.38</v>
      </c>
      <c r="F248" s="14">
        <v>628.33500000000004</v>
      </c>
      <c r="G248" s="16">
        <v>605.01</v>
      </c>
      <c r="H248" s="69">
        <f t="shared" si="15"/>
        <v>1.9015493493392821E-3</v>
      </c>
      <c r="M248" s="225">
        <f t="shared" si="16"/>
        <v>45362</v>
      </c>
      <c r="N248" s="1319">
        <f t="shared" si="17"/>
        <v>579.19000000000005</v>
      </c>
      <c r="O248" s="1319">
        <f t="shared" si="18"/>
        <v>579.19000000000005</v>
      </c>
      <c r="P248" s="1319">
        <f t="shared" si="19"/>
        <v>579.19000000000005</v>
      </c>
      <c r="Q248" s="35">
        <v>42676</v>
      </c>
      <c r="R248" s="36">
        <v>1.8100000000000002E-2</v>
      </c>
      <c r="S248" s="37">
        <v>1.26E-2</v>
      </c>
    </row>
    <row r="249" spans="1:19" x14ac:dyDescent="0.2">
      <c r="A249" s="1"/>
      <c r="B249" s="13">
        <v>45356</v>
      </c>
      <c r="C249" s="14">
        <v>604.77</v>
      </c>
      <c r="D249" s="15">
        <v>517650</v>
      </c>
      <c r="E249" s="14">
        <v>584.36</v>
      </c>
      <c r="F249" s="14">
        <v>617.20000000000005</v>
      </c>
      <c r="G249" s="16">
        <v>583.46500000000003</v>
      </c>
      <c r="H249" s="69">
        <f t="shared" si="15"/>
        <v>3.5547336518210182E-2</v>
      </c>
      <c r="M249" s="225">
        <f t="shared" si="16"/>
        <v>45359</v>
      </c>
      <c r="N249" s="1319">
        <f t="shared" si="17"/>
        <v>583.66999999999996</v>
      </c>
      <c r="O249" s="1319">
        <f t="shared" si="18"/>
        <v>583.66999999999996</v>
      </c>
      <c r="P249" s="1319">
        <f t="shared" si="19"/>
        <v>583.66999999999996</v>
      </c>
      <c r="Q249" s="35">
        <v>42677</v>
      </c>
      <c r="R249" s="36">
        <v>1.8200000000000001E-2</v>
      </c>
      <c r="S249" s="37">
        <v>1.26E-2</v>
      </c>
    </row>
    <row r="250" spans="1:19" x14ac:dyDescent="0.2">
      <c r="A250" s="1"/>
      <c r="B250" s="13">
        <v>45355</v>
      </c>
      <c r="C250" s="14">
        <v>584.01</v>
      </c>
      <c r="D250" s="15">
        <v>199708</v>
      </c>
      <c r="E250" s="14">
        <v>582.28</v>
      </c>
      <c r="F250" s="14">
        <v>595.68359999999996</v>
      </c>
      <c r="G250" s="16">
        <v>581.66999999999996</v>
      </c>
      <c r="H250" s="69">
        <f t="shared" si="15"/>
        <v>7.6782386638138966E-3</v>
      </c>
      <c r="M250" s="225">
        <f t="shared" si="16"/>
        <v>45358</v>
      </c>
      <c r="N250" s="1319">
        <f t="shared" si="17"/>
        <v>601.36</v>
      </c>
      <c r="O250" s="1319">
        <f t="shared" si="18"/>
        <v>601.36</v>
      </c>
      <c r="P250" s="1319">
        <f t="shared" si="19"/>
        <v>601.36</v>
      </c>
      <c r="Q250" s="35">
        <v>42678</v>
      </c>
      <c r="R250" s="36">
        <v>1.7899999999999999E-2</v>
      </c>
      <c r="S250" s="37">
        <v>1.24E-2</v>
      </c>
    </row>
    <row r="251" spans="1:19" x14ac:dyDescent="0.2">
      <c r="A251" s="1"/>
      <c r="B251" s="13">
        <v>45352</v>
      </c>
      <c r="C251" s="14">
        <v>579.55999999999995</v>
      </c>
      <c r="D251" s="15">
        <v>333244</v>
      </c>
      <c r="E251" s="14">
        <v>576.5</v>
      </c>
      <c r="F251" s="14">
        <v>588.4</v>
      </c>
      <c r="G251" s="16">
        <v>574.66</v>
      </c>
      <c r="H251" s="69">
        <f t="shared" si="15"/>
        <v>7.2297532151546218E-3</v>
      </c>
      <c r="M251" s="225">
        <f t="shared" si="16"/>
        <v>45357</v>
      </c>
      <c r="N251" s="1319">
        <f t="shared" si="17"/>
        <v>605.91999999999996</v>
      </c>
      <c r="O251" s="1319">
        <f t="shared" si="18"/>
        <v>605.91999999999996</v>
      </c>
      <c r="P251" s="1319">
        <f t="shared" si="19"/>
        <v>605.91999999999996</v>
      </c>
      <c r="Q251" s="35">
        <v>42681</v>
      </c>
      <c r="R251" s="36">
        <v>1.83E-2</v>
      </c>
      <c r="S251" s="37">
        <v>1.29E-2</v>
      </c>
    </row>
    <row r="252" spans="1:19" x14ac:dyDescent="0.2">
      <c r="A252" s="1"/>
      <c r="B252" s="13">
        <v>45351</v>
      </c>
      <c r="C252" s="14">
        <v>575.4</v>
      </c>
      <c r="D252" s="15">
        <v>409612</v>
      </c>
      <c r="E252" s="14">
        <v>566.58000000000004</v>
      </c>
      <c r="F252" s="14">
        <v>581.54</v>
      </c>
      <c r="G252" s="16">
        <v>564.98</v>
      </c>
      <c r="H252" s="69">
        <f t="shared" si="15"/>
        <v>2.2769690182903979E-2</v>
      </c>
      <c r="M252" s="225">
        <f t="shared" si="16"/>
        <v>45356</v>
      </c>
      <c r="N252" s="1319">
        <f t="shared" si="17"/>
        <v>604.77</v>
      </c>
      <c r="O252" s="1319">
        <f t="shared" si="18"/>
        <v>604.77</v>
      </c>
      <c r="P252" s="1319">
        <f t="shared" si="19"/>
        <v>604.77</v>
      </c>
      <c r="Q252" s="35">
        <v>42682</v>
      </c>
      <c r="R252" s="36">
        <v>1.8799999999999997E-2</v>
      </c>
      <c r="S252" s="37">
        <v>1.34E-2</v>
      </c>
    </row>
    <row r="253" spans="1:19" x14ac:dyDescent="0.2">
      <c r="A253" s="1"/>
      <c r="B253" s="13">
        <v>45350</v>
      </c>
      <c r="C253" s="14">
        <v>562.59</v>
      </c>
      <c r="D253" s="15">
        <v>205932</v>
      </c>
      <c r="E253" s="14">
        <v>565.72</v>
      </c>
      <c r="F253" s="14">
        <v>570.98</v>
      </c>
      <c r="G253" s="16">
        <v>556.36</v>
      </c>
      <c r="H253" s="69">
        <f t="shared" si="15"/>
        <v>-1.3692145862552518E-2</v>
      </c>
      <c r="M253" s="225">
        <f t="shared" si="16"/>
        <v>45355</v>
      </c>
      <c r="N253" s="1319">
        <f t="shared" si="17"/>
        <v>584.01</v>
      </c>
      <c r="O253" s="1319">
        <f t="shared" si="18"/>
        <v>584.01</v>
      </c>
      <c r="P253" s="1319">
        <f t="shared" si="19"/>
        <v>584.01</v>
      </c>
      <c r="Q253" s="35">
        <v>42683</v>
      </c>
      <c r="R253" s="36">
        <v>2.07E-2</v>
      </c>
      <c r="S253" s="37">
        <v>1.49E-2</v>
      </c>
    </row>
    <row r="254" spans="1:19" x14ac:dyDescent="0.2">
      <c r="A254" s="1"/>
      <c r="B254" s="13">
        <v>45349</v>
      </c>
      <c r="C254" s="14">
        <v>570.4</v>
      </c>
      <c r="D254" s="15">
        <v>234702</v>
      </c>
      <c r="E254" s="14">
        <v>575</v>
      </c>
      <c r="F254" s="14">
        <v>580</v>
      </c>
      <c r="G254" s="16">
        <v>566.67999999999995</v>
      </c>
      <c r="H254" s="69">
        <f t="shared" si="15"/>
        <v>-6.8946305453027046E-3</v>
      </c>
      <c r="M254" s="225">
        <f t="shared" si="16"/>
        <v>45352</v>
      </c>
      <c r="N254" s="1319">
        <f t="shared" si="17"/>
        <v>579.55999999999995</v>
      </c>
      <c r="O254" s="1319">
        <f t="shared" si="18"/>
        <v>579.55999999999995</v>
      </c>
      <c r="P254" s="1319">
        <f t="shared" si="19"/>
        <v>579.55999999999995</v>
      </c>
      <c r="Q254" s="35">
        <v>42684</v>
      </c>
      <c r="R254" s="36">
        <v>2.1499999999999998E-2</v>
      </c>
      <c r="S254" s="37">
        <v>1.5600000000000001E-2</v>
      </c>
    </row>
    <row r="255" spans="1:19" x14ac:dyDescent="0.2">
      <c r="A255" s="1"/>
      <c r="B255" s="13">
        <v>45348</v>
      </c>
      <c r="C255" s="14">
        <v>574.36</v>
      </c>
      <c r="D255" s="15">
        <v>242649</v>
      </c>
      <c r="E255" s="14">
        <v>561.03</v>
      </c>
      <c r="F255" s="14">
        <v>580</v>
      </c>
      <c r="G255" s="16">
        <v>561.03</v>
      </c>
      <c r="H255" s="69">
        <f t="shared" si="15"/>
        <v>1.9109636437836031E-2</v>
      </c>
      <c r="M255" s="225">
        <f t="shared" si="16"/>
        <v>45351</v>
      </c>
      <c r="N255" s="1319">
        <f t="shared" si="17"/>
        <v>575.4</v>
      </c>
      <c r="O255" s="1319">
        <f t="shared" si="18"/>
        <v>575.4</v>
      </c>
      <c r="P255" s="1319">
        <f t="shared" si="19"/>
        <v>575.4</v>
      </c>
      <c r="Q255" s="35">
        <v>42688</v>
      </c>
      <c r="R255" s="36">
        <v>2.23E-2</v>
      </c>
      <c r="S255" s="37">
        <v>1.66E-2</v>
      </c>
    </row>
    <row r="256" spans="1:19" x14ac:dyDescent="0.2">
      <c r="A256" s="1"/>
      <c r="B256" s="13">
        <v>45345</v>
      </c>
      <c r="C256" s="14">
        <v>563.59</v>
      </c>
      <c r="D256" s="15">
        <v>180296</v>
      </c>
      <c r="E256" s="14">
        <v>562.57000000000005</v>
      </c>
      <c r="F256" s="14">
        <v>566.99</v>
      </c>
      <c r="G256" s="16">
        <v>557.94500000000005</v>
      </c>
      <c r="H256" s="69">
        <f t="shared" si="15"/>
        <v>7.958650785134358E-3</v>
      </c>
      <c r="M256" s="225">
        <f t="shared" si="16"/>
        <v>45350</v>
      </c>
      <c r="N256" s="1319">
        <f t="shared" si="17"/>
        <v>562.59</v>
      </c>
      <c r="O256" s="1319">
        <f t="shared" si="18"/>
        <v>562.59</v>
      </c>
      <c r="P256" s="1319">
        <f t="shared" si="19"/>
        <v>562.59</v>
      </c>
      <c r="Q256" s="35">
        <v>42689</v>
      </c>
      <c r="R256" s="36">
        <v>2.23E-2</v>
      </c>
      <c r="S256" s="37">
        <v>1.6799999999999999E-2</v>
      </c>
    </row>
    <row r="257" spans="1:19" x14ac:dyDescent="0.2">
      <c r="A257" s="1"/>
      <c r="B257" s="13">
        <v>45344</v>
      </c>
      <c r="C257" s="14">
        <v>559.14</v>
      </c>
      <c r="D257" s="15">
        <v>250168</v>
      </c>
      <c r="E257" s="14">
        <v>556.66</v>
      </c>
      <c r="F257" s="14">
        <v>562.875</v>
      </c>
      <c r="G257" s="16">
        <v>555</v>
      </c>
      <c r="H257" s="69">
        <f t="shared" si="15"/>
        <v>2.1577476111303895E-2</v>
      </c>
      <c r="M257" s="225">
        <f t="shared" si="16"/>
        <v>45349</v>
      </c>
      <c r="N257" s="1319">
        <f t="shared" si="17"/>
        <v>570.4</v>
      </c>
      <c r="O257" s="1319">
        <f t="shared" si="18"/>
        <v>570.4</v>
      </c>
      <c r="P257" s="1319">
        <f t="shared" si="19"/>
        <v>570.4</v>
      </c>
      <c r="Q257" s="35">
        <v>42690</v>
      </c>
      <c r="R257" s="36">
        <v>2.2200000000000001E-2</v>
      </c>
      <c r="S257" s="37">
        <v>1.6799999999999999E-2</v>
      </c>
    </row>
    <row r="258" spans="1:19" x14ac:dyDescent="0.2">
      <c r="A258" s="1"/>
      <c r="B258" s="13">
        <v>45343</v>
      </c>
      <c r="C258" s="14">
        <v>547.33000000000004</v>
      </c>
      <c r="D258" s="15">
        <v>274877</v>
      </c>
      <c r="E258" s="14">
        <v>526.99</v>
      </c>
      <c r="F258" s="14">
        <v>549.02</v>
      </c>
      <c r="G258" s="16">
        <v>525.41999999999996</v>
      </c>
      <c r="H258" s="69">
        <f t="shared" si="15"/>
        <v>3.3849001718894822E-2</v>
      </c>
      <c r="M258" s="225">
        <f t="shared" si="16"/>
        <v>45348</v>
      </c>
      <c r="N258" s="1319">
        <f t="shared" si="17"/>
        <v>574.36</v>
      </c>
      <c r="O258" s="1319">
        <f t="shared" si="18"/>
        <v>574.36</v>
      </c>
      <c r="P258" s="1319">
        <f t="shared" si="19"/>
        <v>574.36</v>
      </c>
      <c r="Q258" s="35">
        <v>42691</v>
      </c>
      <c r="R258" s="36">
        <v>2.29E-2</v>
      </c>
      <c r="S258" s="37">
        <v>1.7299999999999999E-2</v>
      </c>
    </row>
    <row r="259" spans="1:19" x14ac:dyDescent="0.2">
      <c r="A259" s="1"/>
      <c r="B259" s="13">
        <v>45342</v>
      </c>
      <c r="C259" s="14">
        <v>529.41</v>
      </c>
      <c r="D259" s="15">
        <v>364853</v>
      </c>
      <c r="E259" s="14">
        <v>536.16</v>
      </c>
      <c r="F259" s="14">
        <v>542.14</v>
      </c>
      <c r="G259" s="16">
        <v>519.79</v>
      </c>
      <c r="H259" s="69">
        <f t="shared" si="15"/>
        <v>-2.0934662400828641E-2</v>
      </c>
      <c r="M259" s="225">
        <f t="shared" si="16"/>
        <v>45345</v>
      </c>
      <c r="N259" s="1319">
        <f t="shared" si="17"/>
        <v>563.59</v>
      </c>
      <c r="O259" s="1319">
        <f t="shared" si="18"/>
        <v>563.59</v>
      </c>
      <c r="P259" s="1319">
        <f t="shared" si="19"/>
        <v>563.59</v>
      </c>
      <c r="Q259" s="35">
        <v>42692</v>
      </c>
      <c r="R259" s="36">
        <v>2.3399999999999997E-2</v>
      </c>
      <c r="S259" s="37">
        <v>1.8000000000000002E-2</v>
      </c>
    </row>
    <row r="260" spans="1:19" x14ac:dyDescent="0.2">
      <c r="A260" s="1"/>
      <c r="B260" s="13">
        <v>45338</v>
      </c>
      <c r="C260" s="14">
        <v>540.73</v>
      </c>
      <c r="D260" s="15">
        <v>289277</v>
      </c>
      <c r="E260" s="14">
        <v>548.07000000000005</v>
      </c>
      <c r="F260" s="14">
        <v>554.79999999999995</v>
      </c>
      <c r="G260" s="16">
        <v>538.54</v>
      </c>
      <c r="H260" s="69">
        <f t="shared" si="15"/>
        <v>-2.1356306444898832E-2</v>
      </c>
      <c r="M260" s="225">
        <f t="shared" si="16"/>
        <v>45344</v>
      </c>
      <c r="N260" s="1319">
        <f t="shared" si="17"/>
        <v>559.14</v>
      </c>
      <c r="O260" s="1319">
        <f t="shared" si="18"/>
        <v>559.14</v>
      </c>
      <c r="P260" s="1319">
        <f t="shared" si="19"/>
        <v>559.14</v>
      </c>
      <c r="Q260" s="35">
        <v>42695</v>
      </c>
      <c r="R260" s="36">
        <v>2.3300000000000001E-2</v>
      </c>
      <c r="S260" s="37">
        <v>1.7899999999999999E-2</v>
      </c>
    </row>
    <row r="261" spans="1:19" x14ac:dyDescent="0.2">
      <c r="A261" s="1"/>
      <c r="B261" s="13">
        <v>45337</v>
      </c>
      <c r="C261" s="14">
        <v>552.53</v>
      </c>
      <c r="D261" s="15">
        <v>340172</v>
      </c>
      <c r="E261" s="14">
        <v>567.94000000000005</v>
      </c>
      <c r="F261" s="14">
        <v>569.20000000000005</v>
      </c>
      <c r="G261" s="16">
        <v>549.34</v>
      </c>
      <c r="H261" s="69">
        <f t="shared" si="15"/>
        <v>-1.7672053620637618E-2</v>
      </c>
      <c r="M261" s="225">
        <f t="shared" si="16"/>
        <v>45343</v>
      </c>
      <c r="N261" s="1319">
        <f t="shared" si="17"/>
        <v>547.33000000000004</v>
      </c>
      <c r="O261" s="1319">
        <f t="shared" si="18"/>
        <v>547.33000000000004</v>
      </c>
      <c r="P261" s="1319">
        <f t="shared" si="19"/>
        <v>547.33000000000004</v>
      </c>
      <c r="Q261" s="35">
        <v>42696</v>
      </c>
      <c r="R261" s="36">
        <v>2.3099999999999999E-2</v>
      </c>
      <c r="S261" s="37">
        <v>1.77E-2</v>
      </c>
    </row>
    <row r="262" spans="1:19" x14ac:dyDescent="0.2">
      <c r="A262" s="1"/>
      <c r="B262" s="13">
        <v>45336</v>
      </c>
      <c r="C262" s="14">
        <v>562.47</v>
      </c>
      <c r="D262" s="15">
        <v>251910</v>
      </c>
      <c r="E262" s="14">
        <v>556.83000000000004</v>
      </c>
      <c r="F262" s="14">
        <v>568.84709999999995</v>
      </c>
      <c r="G262" s="16">
        <v>556.83000000000004</v>
      </c>
      <c r="H262" s="69">
        <f t="shared" si="15"/>
        <v>1.3459459459459477E-2</v>
      </c>
      <c r="M262" s="225">
        <f t="shared" si="16"/>
        <v>45342</v>
      </c>
      <c r="N262" s="1319">
        <f t="shared" si="17"/>
        <v>529.41</v>
      </c>
      <c r="O262" s="1319">
        <f t="shared" si="18"/>
        <v>529.41</v>
      </c>
      <c r="P262" s="1319">
        <f t="shared" si="19"/>
        <v>529.41</v>
      </c>
      <c r="Q262" s="35">
        <v>42697</v>
      </c>
      <c r="R262" s="36">
        <v>2.3599999999999999E-2</v>
      </c>
      <c r="S262" s="37">
        <v>1.83E-2</v>
      </c>
    </row>
    <row r="263" spans="1:19" x14ac:dyDescent="0.2">
      <c r="A263" s="1"/>
      <c r="B263" s="13">
        <v>45335</v>
      </c>
      <c r="C263" s="14">
        <v>555</v>
      </c>
      <c r="D263" s="15">
        <v>338852</v>
      </c>
      <c r="E263" s="14">
        <v>545.66999999999996</v>
      </c>
      <c r="F263" s="14">
        <v>567.04999999999995</v>
      </c>
      <c r="G263" s="16">
        <v>543.42999999999995</v>
      </c>
      <c r="H263" s="69">
        <f t="shared" si="15"/>
        <v>-9.6359743040684842E-3</v>
      </c>
      <c r="M263" s="225">
        <f t="shared" si="16"/>
        <v>45338</v>
      </c>
      <c r="N263" s="1319">
        <f t="shared" si="17"/>
        <v>540.73</v>
      </c>
      <c r="O263" s="1319">
        <f t="shared" si="18"/>
        <v>540.73</v>
      </c>
      <c r="P263" s="1319">
        <f t="shared" si="19"/>
        <v>540.73</v>
      </c>
      <c r="Q263" s="35">
        <v>42699</v>
      </c>
      <c r="R263" s="36">
        <v>2.3599999999999999E-2</v>
      </c>
      <c r="S263" s="37">
        <v>1.83E-2</v>
      </c>
    </row>
    <row r="264" spans="1:19" x14ac:dyDescent="0.2">
      <c r="A264" s="1"/>
      <c r="B264" s="13">
        <v>45334</v>
      </c>
      <c r="C264" s="14">
        <v>560.4</v>
      </c>
      <c r="D264" s="15">
        <v>290915</v>
      </c>
      <c r="E264" s="14">
        <v>571.64</v>
      </c>
      <c r="F264" s="14">
        <v>571.64</v>
      </c>
      <c r="G264" s="16">
        <v>552.42999999999995</v>
      </c>
      <c r="H264" s="69">
        <f t="shared" si="15"/>
        <v>-8.606582753221903E-3</v>
      </c>
      <c r="M264" s="225">
        <f t="shared" si="16"/>
        <v>45337</v>
      </c>
      <c r="N264" s="1319">
        <f t="shared" si="17"/>
        <v>552.53</v>
      </c>
      <c r="O264" s="1319">
        <f t="shared" si="18"/>
        <v>552.53</v>
      </c>
      <c r="P264" s="1319">
        <f t="shared" si="19"/>
        <v>552.53</v>
      </c>
      <c r="Q264" s="35">
        <v>42702</v>
      </c>
      <c r="R264" s="36">
        <v>2.3199999999999998E-2</v>
      </c>
      <c r="S264" s="37">
        <v>1.8000000000000002E-2</v>
      </c>
    </row>
    <row r="265" spans="1:19" x14ac:dyDescent="0.2">
      <c r="A265" s="1"/>
      <c r="B265" s="13">
        <v>45331</v>
      </c>
      <c r="C265" s="14">
        <v>565.26499999999999</v>
      </c>
      <c r="D265" s="15">
        <v>379479</v>
      </c>
      <c r="E265" s="14">
        <v>558.66999999999996</v>
      </c>
      <c r="F265" s="14">
        <v>568.71</v>
      </c>
      <c r="G265" s="16">
        <v>549.35</v>
      </c>
      <c r="H265" s="69">
        <f t="shared" si="15"/>
        <v>2.199421442777072E-2</v>
      </c>
      <c r="M265" s="225">
        <f t="shared" si="16"/>
        <v>45336</v>
      </c>
      <c r="N265" s="1319">
        <f t="shared" si="17"/>
        <v>562.47</v>
      </c>
      <c r="O265" s="1319">
        <f t="shared" si="18"/>
        <v>562.47</v>
      </c>
      <c r="P265" s="1319">
        <f t="shared" si="19"/>
        <v>562.47</v>
      </c>
      <c r="Q265" s="35">
        <v>42703</v>
      </c>
      <c r="R265" s="36">
        <v>2.3E-2</v>
      </c>
      <c r="S265" s="37">
        <v>1.78E-2</v>
      </c>
    </row>
    <row r="266" spans="1:19" x14ac:dyDescent="0.2">
      <c r="A266" s="1"/>
      <c r="B266" s="13">
        <v>45330</v>
      </c>
      <c r="C266" s="14">
        <v>553.1</v>
      </c>
      <c r="D266" s="15">
        <v>315120</v>
      </c>
      <c r="E266" s="14">
        <v>535.75</v>
      </c>
      <c r="F266" s="14">
        <v>553.68299999999999</v>
      </c>
      <c r="G266" s="16">
        <v>533.86500000000001</v>
      </c>
      <c r="H266" s="69">
        <f t="shared" si="15"/>
        <v>3.1864482668557237E-2</v>
      </c>
      <c r="M266" s="225">
        <f t="shared" si="16"/>
        <v>45335</v>
      </c>
      <c r="N266" s="1319">
        <f t="shared" si="17"/>
        <v>555</v>
      </c>
      <c r="O266" s="1319">
        <f t="shared" si="18"/>
        <v>555</v>
      </c>
      <c r="P266" s="1319">
        <f t="shared" si="19"/>
        <v>555</v>
      </c>
      <c r="Q266" s="35">
        <v>42704</v>
      </c>
      <c r="R266" s="36">
        <v>2.3700000000000002E-2</v>
      </c>
      <c r="S266" s="37">
        <v>1.83E-2</v>
      </c>
    </row>
    <row r="267" spans="1:19" x14ac:dyDescent="0.2">
      <c r="A267" s="1"/>
      <c r="B267" s="13">
        <v>45329</v>
      </c>
      <c r="C267" s="14">
        <v>536.02</v>
      </c>
      <c r="D267" s="15">
        <v>496777</v>
      </c>
      <c r="E267" s="14">
        <v>536.07000000000005</v>
      </c>
      <c r="F267" s="14">
        <v>556.94349999999997</v>
      </c>
      <c r="G267" s="16">
        <v>532.89750000000004</v>
      </c>
      <c r="H267" s="69">
        <f t="shared" si="15"/>
        <v>9.9103172808803208E-3</v>
      </c>
      <c r="M267" s="225">
        <f t="shared" si="16"/>
        <v>45334</v>
      </c>
      <c r="N267" s="1319">
        <f t="shared" si="17"/>
        <v>560.4</v>
      </c>
      <c r="O267" s="1319">
        <f t="shared" si="18"/>
        <v>560.4</v>
      </c>
      <c r="P267" s="1319">
        <f t="shared" si="19"/>
        <v>560.4</v>
      </c>
      <c r="Q267" s="35">
        <v>42705</v>
      </c>
      <c r="R267" s="36">
        <v>2.4500000000000001E-2</v>
      </c>
      <c r="S267" s="37">
        <v>1.9E-2</v>
      </c>
    </row>
    <row r="268" spans="1:19" x14ac:dyDescent="0.2">
      <c r="A268" s="1"/>
      <c r="B268" s="13">
        <v>45328</v>
      </c>
      <c r="C268" s="14">
        <v>530.76</v>
      </c>
      <c r="D268" s="15">
        <v>343129</v>
      </c>
      <c r="E268" s="14">
        <v>530.04999999999995</v>
      </c>
      <c r="F268" s="14">
        <v>540.45000000000005</v>
      </c>
      <c r="G268" s="16">
        <v>521</v>
      </c>
      <c r="H268" s="69">
        <f t="shared" si="15"/>
        <v>-1.8617771509168435E-3</v>
      </c>
      <c r="M268" s="225">
        <f t="shared" si="16"/>
        <v>45331</v>
      </c>
      <c r="N268" s="1319">
        <f t="shared" si="17"/>
        <v>565.26499999999999</v>
      </c>
      <c r="O268" s="1319">
        <f t="shared" si="18"/>
        <v>565.26499999999999</v>
      </c>
      <c r="P268" s="1319">
        <f t="shared" si="19"/>
        <v>565.26499999999999</v>
      </c>
      <c r="Q268" s="35">
        <v>42706</v>
      </c>
      <c r="R268" s="36">
        <v>2.4E-2</v>
      </c>
      <c r="S268" s="37">
        <v>1.84E-2</v>
      </c>
    </row>
    <row r="269" spans="1:19" x14ac:dyDescent="0.2">
      <c r="A269" s="1"/>
      <c r="B269" s="13">
        <v>45327</v>
      </c>
      <c r="C269" s="14">
        <v>531.75</v>
      </c>
      <c r="D269" s="15">
        <v>398439</v>
      </c>
      <c r="E269" s="14">
        <v>534.99</v>
      </c>
      <c r="F269" s="14">
        <v>545.45000000000005</v>
      </c>
      <c r="G269" s="16">
        <v>520.11</v>
      </c>
      <c r="H269" s="69">
        <f t="shared" si="15"/>
        <v>-5.1636077903125521E-3</v>
      </c>
      <c r="M269" s="225">
        <f t="shared" si="16"/>
        <v>45330</v>
      </c>
      <c r="N269" s="1319">
        <f t="shared" si="17"/>
        <v>553.1</v>
      </c>
      <c r="O269" s="1319">
        <f t="shared" si="18"/>
        <v>553.1</v>
      </c>
      <c r="P269" s="1319">
        <f t="shared" si="19"/>
        <v>553.1</v>
      </c>
      <c r="Q269" s="35">
        <v>42709</v>
      </c>
      <c r="R269" s="36">
        <v>2.3900000000000001E-2</v>
      </c>
      <c r="S269" s="37">
        <v>1.84E-2</v>
      </c>
    </row>
    <row r="270" spans="1:19" x14ac:dyDescent="0.2">
      <c r="A270" s="1"/>
      <c r="B270" s="13">
        <v>45324</v>
      </c>
      <c r="C270" s="14">
        <v>534.51</v>
      </c>
      <c r="D270" s="15">
        <v>1005158</v>
      </c>
      <c r="E270" s="14">
        <v>486.56</v>
      </c>
      <c r="F270" s="14">
        <v>535.57000000000005</v>
      </c>
      <c r="G270" s="16">
        <v>444.34</v>
      </c>
      <c r="H270" s="69">
        <f t="shared" si="15"/>
        <v>0.14345919349663072</v>
      </c>
      <c r="M270" s="225">
        <f t="shared" si="16"/>
        <v>45329</v>
      </c>
      <c r="N270" s="1319">
        <f t="shared" si="17"/>
        <v>536.02</v>
      </c>
      <c r="O270" s="1319">
        <f t="shared" si="18"/>
        <v>536.02</v>
      </c>
      <c r="P270" s="1319">
        <f t="shared" si="19"/>
        <v>536.02</v>
      </c>
      <c r="Q270" s="35">
        <v>42710</v>
      </c>
      <c r="R270" s="36">
        <v>2.3900000000000001E-2</v>
      </c>
      <c r="S270" s="37">
        <v>1.84E-2</v>
      </c>
    </row>
    <row r="271" spans="1:19" x14ac:dyDescent="0.2">
      <c r="A271" s="1"/>
      <c r="B271" s="13">
        <v>45323</v>
      </c>
      <c r="C271" s="14">
        <v>467.45</v>
      </c>
      <c r="D271" s="15">
        <v>406477</v>
      </c>
      <c r="E271" s="14">
        <v>450.58</v>
      </c>
      <c r="F271" s="14">
        <v>469.34750000000003</v>
      </c>
      <c r="G271" s="16">
        <v>441.23989999999998</v>
      </c>
      <c r="H271" s="69">
        <f t="shared" si="15"/>
        <v>3.7440632074215552E-2</v>
      </c>
      <c r="M271" s="225">
        <f t="shared" si="16"/>
        <v>45328</v>
      </c>
      <c r="N271" s="1319">
        <f t="shared" si="17"/>
        <v>530.76</v>
      </c>
      <c r="O271" s="1319">
        <f t="shared" si="18"/>
        <v>530.76</v>
      </c>
      <c r="P271" s="1319">
        <f t="shared" si="19"/>
        <v>530.76</v>
      </c>
      <c r="Q271" s="35">
        <v>42711</v>
      </c>
      <c r="R271" s="36">
        <v>2.3399999999999997E-2</v>
      </c>
      <c r="S271" s="37">
        <v>1.8000000000000002E-2</v>
      </c>
    </row>
    <row r="272" spans="1:19" x14ac:dyDescent="0.2">
      <c r="A272" s="1"/>
      <c r="B272" s="13">
        <v>45322</v>
      </c>
      <c r="C272" s="14">
        <v>450.58</v>
      </c>
      <c r="D272" s="15">
        <v>499761</v>
      </c>
      <c r="E272" s="14">
        <v>455</v>
      </c>
      <c r="F272" s="14">
        <v>468.83</v>
      </c>
      <c r="G272" s="16">
        <v>436.66</v>
      </c>
      <c r="H272" s="69">
        <f t="shared" si="15"/>
        <v>-5.4080303732644275E-3</v>
      </c>
      <c r="M272" s="225">
        <f t="shared" si="16"/>
        <v>45327</v>
      </c>
      <c r="N272" s="1319">
        <f t="shared" si="17"/>
        <v>531.75</v>
      </c>
      <c r="O272" s="1319">
        <f t="shared" si="18"/>
        <v>531.75</v>
      </c>
      <c r="P272" s="1319">
        <f t="shared" si="19"/>
        <v>531.75</v>
      </c>
      <c r="Q272" s="35">
        <v>42712</v>
      </c>
      <c r="R272" s="36">
        <v>2.4E-2</v>
      </c>
      <c r="S272" s="37">
        <v>1.83E-2</v>
      </c>
    </row>
    <row r="273" spans="1:19" x14ac:dyDescent="0.2">
      <c r="A273" s="1"/>
      <c r="B273" s="13">
        <v>45321</v>
      </c>
      <c r="C273" s="14">
        <v>453.03</v>
      </c>
      <c r="D273" s="15">
        <v>263810</v>
      </c>
      <c r="E273" s="14">
        <v>455.67</v>
      </c>
      <c r="F273" s="14">
        <v>459.11500000000001</v>
      </c>
      <c r="G273" s="16">
        <v>452.11</v>
      </c>
      <c r="H273" s="69">
        <f t="shared" si="15"/>
        <v>-1.3393440480857222E-2</v>
      </c>
      <c r="M273" s="225">
        <f t="shared" si="16"/>
        <v>45324</v>
      </c>
      <c r="N273" s="1319">
        <f t="shared" si="17"/>
        <v>534.51</v>
      </c>
      <c r="O273" s="1319">
        <f t="shared" si="18"/>
        <v>534.51</v>
      </c>
      <c r="P273" s="1319">
        <f t="shared" si="19"/>
        <v>534.51</v>
      </c>
      <c r="Q273" s="35">
        <v>42713</v>
      </c>
      <c r="R273" s="36">
        <v>2.4700000000000003E-2</v>
      </c>
      <c r="S273" s="37">
        <v>1.89E-2</v>
      </c>
    </row>
    <row r="274" spans="1:19" x14ac:dyDescent="0.2">
      <c r="A274" s="1"/>
      <c r="B274" s="13">
        <v>45320</v>
      </c>
      <c r="C274" s="14">
        <v>459.18</v>
      </c>
      <c r="D274" s="15">
        <v>200453</v>
      </c>
      <c r="E274" s="14">
        <v>448.82</v>
      </c>
      <c r="F274" s="14">
        <v>460.45</v>
      </c>
      <c r="G274" s="16">
        <v>448.41</v>
      </c>
      <c r="H274" s="69">
        <f t="shared" si="15"/>
        <v>2.0059980006664535E-2</v>
      </c>
      <c r="M274" s="225">
        <f t="shared" si="16"/>
        <v>45323</v>
      </c>
      <c r="N274" s="1319">
        <f t="shared" si="17"/>
        <v>467.45</v>
      </c>
      <c r="O274" s="1319">
        <f t="shared" si="18"/>
        <v>467.45</v>
      </c>
      <c r="P274" s="1319">
        <f t="shared" si="19"/>
        <v>467.45</v>
      </c>
      <c r="Q274" s="35">
        <v>42716</v>
      </c>
      <c r="R274" s="36">
        <v>2.4900000000000002E-2</v>
      </c>
      <c r="S274" s="37">
        <v>1.9E-2</v>
      </c>
    </row>
    <row r="275" spans="1:19" x14ac:dyDescent="0.2">
      <c r="A275" s="1"/>
      <c r="B275" s="13">
        <v>45317</v>
      </c>
      <c r="C275" s="14">
        <v>450.15</v>
      </c>
      <c r="D275" s="15">
        <v>157187</v>
      </c>
      <c r="E275" s="14">
        <v>452.52</v>
      </c>
      <c r="F275" s="14">
        <v>453.48</v>
      </c>
      <c r="G275" s="16">
        <v>444.98</v>
      </c>
      <c r="H275" s="69">
        <f t="shared" si="15"/>
        <v>-5.2373375762397867E-3</v>
      </c>
      <c r="M275" s="225">
        <f t="shared" si="16"/>
        <v>45322</v>
      </c>
      <c r="N275" s="1319">
        <f t="shared" si="17"/>
        <v>450.58</v>
      </c>
      <c r="O275" s="1319">
        <f t="shared" si="18"/>
        <v>450.58</v>
      </c>
      <c r="P275" s="1319">
        <f t="shared" si="19"/>
        <v>450.58</v>
      </c>
      <c r="Q275" s="35">
        <v>42717</v>
      </c>
      <c r="R275" s="36">
        <v>2.4799999999999999E-2</v>
      </c>
      <c r="S275" s="37">
        <v>1.9199999999999998E-2</v>
      </c>
    </row>
    <row r="276" spans="1:19" x14ac:dyDescent="0.2">
      <c r="A276" s="1"/>
      <c r="B276" s="13">
        <v>45316</v>
      </c>
      <c r="C276" s="14">
        <v>452.52</v>
      </c>
      <c r="D276" s="15">
        <v>254085</v>
      </c>
      <c r="E276" s="14">
        <v>457.93</v>
      </c>
      <c r="F276" s="14">
        <v>463.28</v>
      </c>
      <c r="G276" s="16">
        <v>450.16500000000002</v>
      </c>
      <c r="H276" s="69">
        <f t="shared" si="15"/>
        <v>3.3158697526358694E-4</v>
      </c>
      <c r="M276" s="225">
        <f t="shared" si="16"/>
        <v>45321</v>
      </c>
      <c r="N276" s="1319">
        <f t="shared" si="17"/>
        <v>453.03</v>
      </c>
      <c r="O276" s="1319">
        <f t="shared" si="18"/>
        <v>453.03</v>
      </c>
      <c r="P276" s="1319">
        <f t="shared" si="19"/>
        <v>453.03</v>
      </c>
      <c r="Q276" s="35">
        <v>42718</v>
      </c>
      <c r="R276" s="36">
        <v>2.5399999999999999E-2</v>
      </c>
      <c r="S276" s="37">
        <v>2.0199999999999999E-2</v>
      </c>
    </row>
    <row r="277" spans="1:19" x14ac:dyDescent="0.2">
      <c r="A277" s="1"/>
      <c r="B277" s="13">
        <v>45315</v>
      </c>
      <c r="C277" s="14">
        <v>452.37</v>
      </c>
      <c r="D277" s="15">
        <v>149213</v>
      </c>
      <c r="E277" s="14">
        <v>465.13</v>
      </c>
      <c r="F277" s="14">
        <v>466.09</v>
      </c>
      <c r="G277" s="16">
        <v>452.22</v>
      </c>
      <c r="H277" s="69">
        <f t="shared" si="15"/>
        <v>-1.8219699846993564E-2</v>
      </c>
      <c r="M277" s="225">
        <f t="shared" si="16"/>
        <v>45320</v>
      </c>
      <c r="N277" s="1319">
        <f t="shared" si="17"/>
        <v>459.18</v>
      </c>
      <c r="O277" s="1319">
        <f t="shared" si="18"/>
        <v>459.18</v>
      </c>
      <c r="P277" s="1319">
        <f t="shared" si="19"/>
        <v>459.18</v>
      </c>
      <c r="Q277" s="35">
        <v>42719</v>
      </c>
      <c r="R277" s="36">
        <v>2.6000000000000002E-2</v>
      </c>
      <c r="S277" s="37">
        <v>2.1000000000000001E-2</v>
      </c>
    </row>
    <row r="278" spans="1:19" x14ac:dyDescent="0.2">
      <c r="A278" s="1"/>
      <c r="B278" s="13">
        <v>45314</v>
      </c>
      <c r="C278" s="14">
        <v>460.76499999999999</v>
      </c>
      <c r="D278" s="15">
        <v>263953</v>
      </c>
      <c r="E278" s="14">
        <v>469.35</v>
      </c>
      <c r="F278" s="14">
        <v>472.1</v>
      </c>
      <c r="G278" s="16">
        <v>459.9</v>
      </c>
      <c r="H278" s="69">
        <f t="shared" si="15"/>
        <v>-1.7370071015760047E-2</v>
      </c>
      <c r="M278" s="225">
        <f t="shared" si="16"/>
        <v>45317</v>
      </c>
      <c r="N278" s="1319">
        <f t="shared" si="17"/>
        <v>450.15</v>
      </c>
      <c r="O278" s="1319">
        <f t="shared" si="18"/>
        <v>450.15</v>
      </c>
      <c r="P278" s="1319">
        <f t="shared" si="19"/>
        <v>450.15</v>
      </c>
      <c r="Q278" s="35">
        <v>42720</v>
      </c>
      <c r="R278" s="36">
        <v>2.6000000000000002E-2</v>
      </c>
      <c r="S278" s="37">
        <v>2.07E-2</v>
      </c>
    </row>
    <row r="279" spans="1:19" x14ac:dyDescent="0.2">
      <c r="A279" s="1"/>
      <c r="B279" s="13">
        <v>45313</v>
      </c>
      <c r="C279" s="14">
        <v>468.91</v>
      </c>
      <c r="D279" s="15">
        <v>271771</v>
      </c>
      <c r="E279" s="14">
        <v>457.9</v>
      </c>
      <c r="F279" s="14">
        <v>469.87</v>
      </c>
      <c r="G279" s="16">
        <v>457.9</v>
      </c>
      <c r="H279" s="69">
        <f t="shared" si="15"/>
        <v>4.0126879907723678E-2</v>
      </c>
      <c r="M279" s="225">
        <f t="shared" si="16"/>
        <v>45316</v>
      </c>
      <c r="N279" s="1319">
        <f t="shared" si="17"/>
        <v>452.52</v>
      </c>
      <c r="O279" s="1319">
        <f t="shared" si="18"/>
        <v>452.52</v>
      </c>
      <c r="P279" s="1319">
        <f t="shared" si="19"/>
        <v>452.52</v>
      </c>
      <c r="Q279" s="35">
        <v>42723</v>
      </c>
      <c r="R279" s="36">
        <v>2.5399999999999999E-2</v>
      </c>
      <c r="S279" s="37">
        <v>2.0299999999999999E-2</v>
      </c>
    </row>
    <row r="280" spans="1:19" x14ac:dyDescent="0.2">
      <c r="A280" s="1"/>
      <c r="B280" s="13">
        <v>45310</v>
      </c>
      <c r="C280" s="14">
        <v>450.82</v>
      </c>
      <c r="D280" s="15">
        <v>169131</v>
      </c>
      <c r="E280" s="14">
        <v>440.91</v>
      </c>
      <c r="F280" s="14">
        <v>451.16</v>
      </c>
      <c r="G280" s="16">
        <v>438.28</v>
      </c>
      <c r="H280" s="69">
        <f t="shared" si="15"/>
        <v>2.1040472901048712E-2</v>
      </c>
      <c r="M280" s="225">
        <f t="shared" si="16"/>
        <v>45315</v>
      </c>
      <c r="N280" s="1319">
        <f t="shared" si="17"/>
        <v>452.37</v>
      </c>
      <c r="O280" s="1319">
        <f t="shared" si="18"/>
        <v>452.37</v>
      </c>
      <c r="P280" s="1319">
        <f t="shared" si="19"/>
        <v>452.37</v>
      </c>
      <c r="Q280" s="35">
        <v>42724</v>
      </c>
      <c r="R280" s="36">
        <v>2.5699999999999997E-2</v>
      </c>
      <c r="S280" s="37">
        <v>2.06E-2</v>
      </c>
    </row>
    <row r="281" spans="1:19" x14ac:dyDescent="0.2">
      <c r="A281" s="1"/>
      <c r="B281" s="13">
        <v>45309</v>
      </c>
      <c r="C281" s="14">
        <v>441.53</v>
      </c>
      <c r="D281" s="15">
        <v>238952</v>
      </c>
      <c r="E281" s="14">
        <v>435.81</v>
      </c>
      <c r="F281" s="14">
        <v>449.12</v>
      </c>
      <c r="G281" s="16">
        <v>434.29</v>
      </c>
      <c r="H281" s="69">
        <f t="shared" si="15"/>
        <v>2.267568443970891E-2</v>
      </c>
      <c r="M281" s="225">
        <f t="shared" si="16"/>
        <v>45314</v>
      </c>
      <c r="N281" s="1319">
        <f t="shared" si="17"/>
        <v>460.76499999999999</v>
      </c>
      <c r="O281" s="1319">
        <f t="shared" si="18"/>
        <v>460.76499999999999</v>
      </c>
      <c r="P281" s="1319">
        <f t="shared" si="19"/>
        <v>460.76499999999999</v>
      </c>
      <c r="Q281" s="35">
        <v>42725</v>
      </c>
      <c r="R281" s="36">
        <v>2.5499999999999998E-2</v>
      </c>
      <c r="S281" s="37">
        <v>2.0400000000000001E-2</v>
      </c>
    </row>
    <row r="282" spans="1:19" x14ac:dyDescent="0.2">
      <c r="A282" s="1"/>
      <c r="B282" s="13">
        <v>45308</v>
      </c>
      <c r="C282" s="14">
        <v>431.74</v>
      </c>
      <c r="D282" s="15">
        <v>235341</v>
      </c>
      <c r="E282" s="14">
        <v>432.81</v>
      </c>
      <c r="F282" s="14">
        <v>433.53</v>
      </c>
      <c r="G282" s="16">
        <v>420.11</v>
      </c>
      <c r="H282" s="69">
        <f t="shared" si="15"/>
        <v>-1.4269732185666295E-2</v>
      </c>
      <c r="M282" s="225">
        <f t="shared" si="16"/>
        <v>45313</v>
      </c>
      <c r="N282" s="1319">
        <f t="shared" si="17"/>
        <v>468.91</v>
      </c>
      <c r="O282" s="1319">
        <f t="shared" si="18"/>
        <v>468.91</v>
      </c>
      <c r="P282" s="1319">
        <f t="shared" si="19"/>
        <v>468.91</v>
      </c>
      <c r="Q282" s="35">
        <v>42726</v>
      </c>
      <c r="R282" s="36">
        <v>2.5499999999999998E-2</v>
      </c>
      <c r="S282" s="37">
        <v>2.0400000000000001E-2</v>
      </c>
    </row>
    <row r="283" spans="1:19" x14ac:dyDescent="0.2">
      <c r="A283" s="1"/>
      <c r="B283" s="13">
        <v>45307</v>
      </c>
      <c r="C283" s="14">
        <v>437.99</v>
      </c>
      <c r="D283" s="15">
        <v>235009</v>
      </c>
      <c r="E283" s="14">
        <v>436.96</v>
      </c>
      <c r="F283" s="14">
        <v>445.95</v>
      </c>
      <c r="G283" s="16">
        <v>433.46</v>
      </c>
      <c r="H283" s="69">
        <f t="shared" si="15"/>
        <v>-4.2513527031328158E-3</v>
      </c>
      <c r="M283" s="225">
        <f t="shared" si="16"/>
        <v>45310</v>
      </c>
      <c r="N283" s="1319">
        <f t="shared" si="17"/>
        <v>450.82</v>
      </c>
      <c r="O283" s="1319">
        <f t="shared" si="18"/>
        <v>450.82</v>
      </c>
      <c r="P283" s="1319">
        <f t="shared" si="19"/>
        <v>450.82</v>
      </c>
      <c r="Q283" s="35">
        <v>42727</v>
      </c>
      <c r="R283" s="36">
        <v>2.5499999999999998E-2</v>
      </c>
      <c r="S283" s="37">
        <v>2.0400000000000001E-2</v>
      </c>
    </row>
    <row r="284" spans="1:19" x14ac:dyDescent="0.2">
      <c r="A284" s="1"/>
      <c r="B284" s="13">
        <v>45303</v>
      </c>
      <c r="C284" s="14">
        <v>439.86</v>
      </c>
      <c r="D284" s="15">
        <v>269533</v>
      </c>
      <c r="E284" s="14">
        <v>435.22</v>
      </c>
      <c r="F284" s="14">
        <v>443</v>
      </c>
      <c r="G284" s="16">
        <v>431.80500000000001</v>
      </c>
      <c r="H284" s="69">
        <f t="shared" si="15"/>
        <v>1.4320304392943628E-2</v>
      </c>
      <c r="M284" s="225">
        <f t="shared" si="16"/>
        <v>45309</v>
      </c>
      <c r="N284" s="1319">
        <f t="shared" si="17"/>
        <v>441.53</v>
      </c>
      <c r="O284" s="1319">
        <f t="shared" si="18"/>
        <v>441.53</v>
      </c>
      <c r="P284" s="1319">
        <f t="shared" si="19"/>
        <v>441.53</v>
      </c>
      <c r="Q284" s="35">
        <v>42731</v>
      </c>
      <c r="R284" s="36">
        <v>2.5699999999999997E-2</v>
      </c>
      <c r="S284" s="37">
        <v>2.07E-2</v>
      </c>
    </row>
    <row r="285" spans="1:19" x14ac:dyDescent="0.2">
      <c r="A285" s="1"/>
      <c r="B285" s="13">
        <v>45302</v>
      </c>
      <c r="C285" s="14">
        <v>433.65</v>
      </c>
      <c r="D285" s="15">
        <v>203430</v>
      </c>
      <c r="E285" s="14">
        <v>437.75</v>
      </c>
      <c r="F285" s="14">
        <v>437.75</v>
      </c>
      <c r="G285" s="16">
        <v>425.59</v>
      </c>
      <c r="H285" s="69">
        <f t="shared" si="15"/>
        <v>-5.3442818477912324E-3</v>
      </c>
      <c r="M285" s="225">
        <f t="shared" si="16"/>
        <v>45308</v>
      </c>
      <c r="N285" s="1319">
        <f t="shared" si="17"/>
        <v>431.74</v>
      </c>
      <c r="O285" s="1319">
        <f t="shared" si="18"/>
        <v>431.74</v>
      </c>
      <c r="P285" s="1319">
        <f t="shared" si="19"/>
        <v>431.74</v>
      </c>
      <c r="Q285" s="35">
        <v>42732</v>
      </c>
      <c r="R285" s="36">
        <v>2.5099999999999997E-2</v>
      </c>
      <c r="S285" s="37">
        <v>2.0199999999999999E-2</v>
      </c>
    </row>
    <row r="286" spans="1:19" x14ac:dyDescent="0.2">
      <c r="A286" s="1"/>
      <c r="B286" s="13">
        <v>45301</v>
      </c>
      <c r="C286" s="14">
        <v>435.98</v>
      </c>
      <c r="D286" s="15">
        <v>217761</v>
      </c>
      <c r="E286" s="14">
        <v>430.07</v>
      </c>
      <c r="F286" s="14">
        <v>436.36</v>
      </c>
      <c r="G286" s="16">
        <v>424.64</v>
      </c>
      <c r="H286" s="69">
        <f t="shared" si="15"/>
        <v>1.3741948985048991E-2</v>
      </c>
      <c r="M286" s="225">
        <f t="shared" si="16"/>
        <v>45307</v>
      </c>
      <c r="N286" s="1319">
        <f t="shared" si="17"/>
        <v>437.99</v>
      </c>
      <c r="O286" s="1319">
        <f t="shared" si="18"/>
        <v>437.99</v>
      </c>
      <c r="P286" s="1319">
        <f t="shared" si="19"/>
        <v>437.99</v>
      </c>
      <c r="Q286" s="35">
        <v>42733</v>
      </c>
      <c r="R286" s="36">
        <v>2.4900000000000002E-2</v>
      </c>
      <c r="S286" s="37">
        <v>1.9599999999999999E-2</v>
      </c>
    </row>
    <row r="287" spans="1:19" x14ac:dyDescent="0.2">
      <c r="A287" s="1"/>
      <c r="B287" s="13">
        <v>45300</v>
      </c>
      <c r="C287" s="14">
        <v>430.07</v>
      </c>
      <c r="D287" s="15">
        <v>199993</v>
      </c>
      <c r="E287" s="14">
        <v>427.09</v>
      </c>
      <c r="F287" s="14">
        <v>439.02499999999998</v>
      </c>
      <c r="G287" s="16">
        <v>427.01</v>
      </c>
      <c r="H287" s="69">
        <f t="shared" si="15"/>
        <v>-1.7408662550485454E-3</v>
      </c>
      <c r="M287" s="225">
        <f t="shared" si="16"/>
        <v>45303</v>
      </c>
      <c r="N287" s="1319">
        <f t="shared" si="17"/>
        <v>439.86</v>
      </c>
      <c r="O287" s="1319">
        <f t="shared" si="18"/>
        <v>439.86</v>
      </c>
      <c r="P287" s="1319">
        <f t="shared" si="19"/>
        <v>439.86</v>
      </c>
      <c r="Q287" s="35">
        <v>42734</v>
      </c>
      <c r="R287" s="36">
        <v>2.4500000000000001E-2</v>
      </c>
      <c r="S287" s="37">
        <v>1.9299999999999998E-2</v>
      </c>
    </row>
    <row r="288" spans="1:19" x14ac:dyDescent="0.2">
      <c r="A288" s="1"/>
      <c r="B288" s="13">
        <v>45299</v>
      </c>
      <c r="C288" s="14">
        <v>430.82</v>
      </c>
      <c r="D288" s="15">
        <v>206295</v>
      </c>
      <c r="E288" s="14">
        <v>421.61</v>
      </c>
      <c r="F288" s="14">
        <v>430.86</v>
      </c>
      <c r="G288" s="16">
        <v>416.93</v>
      </c>
      <c r="H288" s="69">
        <f t="shared" si="15"/>
        <v>2.7866583957627533E-2</v>
      </c>
      <c r="M288" s="225">
        <f t="shared" si="16"/>
        <v>45302</v>
      </c>
      <c r="N288" s="1319">
        <f t="shared" si="17"/>
        <v>433.65</v>
      </c>
      <c r="O288" s="1319">
        <f t="shared" si="18"/>
        <v>433.65</v>
      </c>
      <c r="P288" s="1319">
        <f t="shared" si="19"/>
        <v>433.65</v>
      </c>
      <c r="Q288" s="35">
        <v>42738</v>
      </c>
      <c r="R288" s="36">
        <v>2.4500000000000001E-2</v>
      </c>
      <c r="S288" s="37">
        <v>1.9400000000000001E-2</v>
      </c>
    </row>
    <row r="289" spans="1:19" x14ac:dyDescent="0.2">
      <c r="A289" s="1"/>
      <c r="B289" s="13">
        <v>45296</v>
      </c>
      <c r="C289" s="14">
        <v>419.14</v>
      </c>
      <c r="D289" s="15">
        <v>164193</v>
      </c>
      <c r="E289" s="14">
        <v>421.23</v>
      </c>
      <c r="F289" s="14">
        <v>426.05500000000001</v>
      </c>
      <c r="G289" s="16">
        <v>417.5</v>
      </c>
      <c r="H289" s="69">
        <f t="shared" si="15"/>
        <v>-4.9380371302408799E-3</v>
      </c>
      <c r="M289" s="225">
        <f t="shared" si="16"/>
        <v>45301</v>
      </c>
      <c r="N289" s="1319">
        <f t="shared" si="17"/>
        <v>435.98</v>
      </c>
      <c r="O289" s="1319">
        <f t="shared" si="18"/>
        <v>435.98</v>
      </c>
      <c r="P289" s="1319">
        <f t="shared" si="19"/>
        <v>435.98</v>
      </c>
      <c r="Q289" s="35">
        <v>42739</v>
      </c>
      <c r="R289" s="36">
        <v>2.46E-2</v>
      </c>
      <c r="S289" s="37">
        <v>1.9400000000000001E-2</v>
      </c>
    </row>
    <row r="290" spans="1:19" x14ac:dyDescent="0.2">
      <c r="A290" s="1"/>
      <c r="B290" s="13">
        <v>45295</v>
      </c>
      <c r="C290" s="14">
        <v>421.22</v>
      </c>
      <c r="D290" s="15">
        <v>266163</v>
      </c>
      <c r="E290" s="14">
        <v>417.84</v>
      </c>
      <c r="F290" s="14">
        <v>426.23</v>
      </c>
      <c r="G290" s="16">
        <v>414.17500000000001</v>
      </c>
      <c r="H290" s="69">
        <f t="shared" si="15"/>
        <v>5.8024308125790292E-3</v>
      </c>
      <c r="M290" s="225">
        <f t="shared" si="16"/>
        <v>45300</v>
      </c>
      <c r="N290" s="1319">
        <f t="shared" si="17"/>
        <v>430.07</v>
      </c>
      <c r="O290" s="1319">
        <f t="shared" si="18"/>
        <v>430.07</v>
      </c>
      <c r="P290" s="1319">
        <f t="shared" si="19"/>
        <v>430.07</v>
      </c>
      <c r="Q290" s="35">
        <v>42740</v>
      </c>
      <c r="R290" s="36">
        <v>2.3700000000000002E-2</v>
      </c>
      <c r="S290" s="37">
        <v>1.8600000000000002E-2</v>
      </c>
    </row>
    <row r="291" spans="1:19" x14ac:dyDescent="0.2">
      <c r="A291" s="1"/>
      <c r="B291" s="13">
        <v>45294</v>
      </c>
      <c r="C291" s="14">
        <v>418.79</v>
      </c>
      <c r="D291" s="15">
        <v>225393</v>
      </c>
      <c r="E291" s="14">
        <v>422.96</v>
      </c>
      <c r="F291" s="14">
        <v>426.77</v>
      </c>
      <c r="G291" s="16">
        <v>417.21</v>
      </c>
      <c r="H291" s="69">
        <f t="shared" si="15"/>
        <v>-2.0374269005847934E-2</v>
      </c>
      <c r="M291" s="225">
        <f t="shared" si="16"/>
        <v>45299</v>
      </c>
      <c r="N291" s="1319">
        <f t="shared" si="17"/>
        <v>430.82</v>
      </c>
      <c r="O291" s="1319">
        <f t="shared" si="18"/>
        <v>430.82</v>
      </c>
      <c r="P291" s="1319">
        <f t="shared" si="19"/>
        <v>430.82</v>
      </c>
      <c r="Q291" s="35">
        <v>42741</v>
      </c>
      <c r="R291" s="36">
        <v>2.4199999999999999E-2</v>
      </c>
      <c r="S291" s="37">
        <v>1.9199999999999998E-2</v>
      </c>
    </row>
    <row r="292" spans="1:19" x14ac:dyDescent="0.2">
      <c r="A292" s="1"/>
      <c r="B292" s="13">
        <v>45293</v>
      </c>
      <c r="C292" s="14">
        <v>427.5</v>
      </c>
      <c r="D292" s="15">
        <v>297392</v>
      </c>
      <c r="E292" s="14">
        <v>436.04</v>
      </c>
      <c r="F292" s="14">
        <v>440.58</v>
      </c>
      <c r="G292" s="16">
        <v>421.36070000000001</v>
      </c>
      <c r="H292" s="69">
        <f t="shared" si="15"/>
        <v>-2.4462598694719562E-2</v>
      </c>
      <c r="M292" s="225">
        <f t="shared" si="16"/>
        <v>45296</v>
      </c>
      <c r="N292" s="1319">
        <f t="shared" si="17"/>
        <v>419.14</v>
      </c>
      <c r="O292" s="1319">
        <f t="shared" si="18"/>
        <v>419.14</v>
      </c>
      <c r="P292" s="1319">
        <f t="shared" si="19"/>
        <v>419.14</v>
      </c>
      <c r="Q292" s="35">
        <v>42744</v>
      </c>
      <c r="R292" s="36">
        <v>2.3799999999999998E-2</v>
      </c>
      <c r="S292" s="37">
        <v>1.89E-2</v>
      </c>
    </row>
    <row r="293" spans="1:19" x14ac:dyDescent="0.2">
      <c r="A293" s="1"/>
      <c r="B293" s="13">
        <v>45289</v>
      </c>
      <c r="C293" s="14">
        <v>438.22</v>
      </c>
      <c r="D293" s="15">
        <v>160996</v>
      </c>
      <c r="E293" s="14">
        <v>446.53</v>
      </c>
      <c r="F293" s="14">
        <v>450.4</v>
      </c>
      <c r="G293" s="16">
        <v>437.315</v>
      </c>
      <c r="H293" s="69">
        <f t="shared" si="15"/>
        <v>-2.2768325045157467E-2</v>
      </c>
      <c r="M293" s="225">
        <f t="shared" si="16"/>
        <v>45295</v>
      </c>
      <c r="N293" s="1319">
        <f t="shared" si="17"/>
        <v>421.22</v>
      </c>
      <c r="O293" s="1319">
        <f t="shared" si="18"/>
        <v>421.22</v>
      </c>
      <c r="P293" s="1319">
        <f t="shared" si="19"/>
        <v>421.22</v>
      </c>
      <c r="Q293" s="35">
        <v>42745</v>
      </c>
      <c r="R293" s="36">
        <v>2.3799999999999998E-2</v>
      </c>
      <c r="S293" s="37">
        <v>1.89E-2</v>
      </c>
    </row>
    <row r="294" spans="1:19" x14ac:dyDescent="0.2">
      <c r="A294" s="1"/>
      <c r="B294" s="13">
        <v>45288</v>
      </c>
      <c r="C294" s="14">
        <v>448.43</v>
      </c>
      <c r="D294" s="15">
        <v>138838</v>
      </c>
      <c r="E294" s="14">
        <v>451.17</v>
      </c>
      <c r="F294" s="14">
        <v>454.54</v>
      </c>
      <c r="G294" s="16">
        <v>446.02</v>
      </c>
      <c r="H294" s="69">
        <f t="shared" si="15"/>
        <v>-7.107430697015249E-3</v>
      </c>
      <c r="M294" s="225">
        <f t="shared" si="16"/>
        <v>45294</v>
      </c>
      <c r="N294" s="1319">
        <f t="shared" si="17"/>
        <v>418.79</v>
      </c>
      <c r="O294" s="1319">
        <f t="shared" si="18"/>
        <v>418.79</v>
      </c>
      <c r="P294" s="1319">
        <f t="shared" si="19"/>
        <v>418.79</v>
      </c>
      <c r="Q294" s="35">
        <v>42746</v>
      </c>
      <c r="R294" s="36">
        <v>2.3799999999999998E-2</v>
      </c>
      <c r="S294" s="37">
        <v>1.89E-2</v>
      </c>
    </row>
    <row r="295" spans="1:19" x14ac:dyDescent="0.2">
      <c r="A295" s="1"/>
      <c r="B295" s="13">
        <v>45287</v>
      </c>
      <c r="C295" s="14">
        <v>451.64</v>
      </c>
      <c r="D295" s="15">
        <v>168277</v>
      </c>
      <c r="E295" s="14">
        <v>457.33</v>
      </c>
      <c r="F295" s="14">
        <v>460.45</v>
      </c>
      <c r="G295" s="16">
        <v>450.27499999999998</v>
      </c>
      <c r="H295" s="69">
        <f t="shared" si="15"/>
        <v>-1.3584938627528076E-2</v>
      </c>
      <c r="M295" s="225">
        <f t="shared" si="16"/>
        <v>45293</v>
      </c>
      <c r="N295" s="1319">
        <f t="shared" si="17"/>
        <v>427.5</v>
      </c>
      <c r="O295" s="1319">
        <f t="shared" si="18"/>
        <v>427.5</v>
      </c>
      <c r="P295" s="1319">
        <f t="shared" si="19"/>
        <v>427.5</v>
      </c>
      <c r="Q295" s="35">
        <v>42747</v>
      </c>
      <c r="R295" s="36">
        <v>2.3599999999999999E-2</v>
      </c>
      <c r="S295" s="37">
        <v>1.8700000000000001E-2</v>
      </c>
    </row>
    <row r="296" spans="1:19" x14ac:dyDescent="0.2">
      <c r="A296" s="1"/>
      <c r="B296" s="13">
        <v>45286</v>
      </c>
      <c r="C296" s="14">
        <v>457.86</v>
      </c>
      <c r="D296" s="15">
        <v>149696</v>
      </c>
      <c r="E296" s="14">
        <v>451.43</v>
      </c>
      <c r="F296" s="14">
        <v>461.92</v>
      </c>
      <c r="G296" s="16">
        <v>451.43</v>
      </c>
      <c r="H296" s="69">
        <f t="shared" ref="H296:H359" si="20">C296/C297-1</f>
        <v>1.3300874183910461E-2</v>
      </c>
      <c r="M296" s="225">
        <f t="shared" si="16"/>
        <v>45289</v>
      </c>
      <c r="N296" s="1319">
        <f t="shared" si="17"/>
        <v>438.22</v>
      </c>
      <c r="O296" s="1319">
        <f t="shared" si="18"/>
        <v>438.22</v>
      </c>
      <c r="P296" s="1319">
        <f t="shared" si="19"/>
        <v>438.22</v>
      </c>
      <c r="Q296" s="35">
        <v>42748</v>
      </c>
      <c r="R296" s="36">
        <v>2.4E-2</v>
      </c>
      <c r="S296" s="37">
        <v>1.9E-2</v>
      </c>
    </row>
    <row r="297" spans="1:19" x14ac:dyDescent="0.2">
      <c r="A297" s="1"/>
      <c r="B297" s="13">
        <v>45282</v>
      </c>
      <c r="C297" s="14">
        <v>451.85</v>
      </c>
      <c r="D297" s="15">
        <v>236781</v>
      </c>
      <c r="E297" s="14">
        <v>453.06</v>
      </c>
      <c r="F297" s="14">
        <v>459.33499999999998</v>
      </c>
      <c r="G297" s="16">
        <v>449.24</v>
      </c>
      <c r="H297" s="69">
        <f t="shared" si="20"/>
        <v>2.6183238289658739E-3</v>
      </c>
      <c r="M297" s="225"/>
      <c r="N297" s="1319"/>
      <c r="O297" s="1319"/>
      <c r="P297" s="1319"/>
      <c r="Q297" s="35">
        <v>42752</v>
      </c>
      <c r="R297" s="36">
        <v>2.3300000000000001E-2</v>
      </c>
      <c r="S297" s="37">
        <v>1.84E-2</v>
      </c>
    </row>
    <row r="298" spans="1:19" x14ac:dyDescent="0.2">
      <c r="A298" s="1"/>
      <c r="B298" s="13">
        <v>45281</v>
      </c>
      <c r="C298" s="14">
        <v>450.67</v>
      </c>
      <c r="D298" s="15">
        <v>225363</v>
      </c>
      <c r="E298" s="14">
        <v>440.57</v>
      </c>
      <c r="F298" s="14">
        <v>452.39949999999999</v>
      </c>
      <c r="G298" s="16">
        <v>439.9</v>
      </c>
      <c r="H298" s="69">
        <f t="shared" si="20"/>
        <v>3.2368167865487685E-2</v>
      </c>
      <c r="M298" s="225"/>
      <c r="N298" s="1319"/>
      <c r="O298" s="1319"/>
      <c r="P298" s="1319"/>
      <c r="Q298" s="35">
        <v>42753</v>
      </c>
      <c r="R298" s="36">
        <v>2.4199999999999999E-2</v>
      </c>
      <c r="S298" s="37">
        <v>1.9299999999999998E-2</v>
      </c>
    </row>
    <row r="299" spans="1:19" x14ac:dyDescent="0.2">
      <c r="A299" s="1"/>
      <c r="B299" s="13">
        <v>45280</v>
      </c>
      <c r="C299" s="14">
        <v>436.54</v>
      </c>
      <c r="D299" s="15">
        <v>475251</v>
      </c>
      <c r="E299" s="14">
        <v>421.09</v>
      </c>
      <c r="F299" s="14">
        <v>450.8</v>
      </c>
      <c r="G299" s="16">
        <v>420.84679999999997</v>
      </c>
      <c r="H299" s="69">
        <f t="shared" si="20"/>
        <v>1.9857957200261733E-2</v>
      </c>
      <c r="M299" s="225"/>
      <c r="N299" s="1319"/>
      <c r="O299" s="1319"/>
      <c r="P299" s="1319"/>
      <c r="Q299" s="35">
        <v>42754</v>
      </c>
      <c r="R299" s="36">
        <v>2.4700000000000003E-2</v>
      </c>
      <c r="S299" s="37">
        <v>1.9699999999999999E-2</v>
      </c>
    </row>
    <row r="300" spans="1:19" x14ac:dyDescent="0.2">
      <c r="A300" s="1"/>
      <c r="B300" s="13">
        <v>45279</v>
      </c>
      <c r="C300" s="14">
        <v>428.04</v>
      </c>
      <c r="D300" s="15">
        <v>206100</v>
      </c>
      <c r="E300" s="14">
        <v>419.5</v>
      </c>
      <c r="F300" s="14">
        <v>431.16500000000002</v>
      </c>
      <c r="G300" s="16">
        <v>419.5</v>
      </c>
      <c r="H300" s="69">
        <f t="shared" si="20"/>
        <v>2.5049092389482386E-2</v>
      </c>
      <c r="M300" s="225"/>
      <c r="N300" s="1319"/>
      <c r="O300" s="1319"/>
      <c r="P300" s="1319"/>
      <c r="Q300" s="35">
        <v>42755</v>
      </c>
      <c r="R300" s="36">
        <v>2.4799999999999999E-2</v>
      </c>
      <c r="S300" s="37">
        <v>1.95E-2</v>
      </c>
    </row>
    <row r="301" spans="1:19" x14ac:dyDescent="0.2">
      <c r="A301" s="1"/>
      <c r="B301" s="13">
        <v>45278</v>
      </c>
      <c r="C301" s="14">
        <v>417.58</v>
      </c>
      <c r="D301" s="15">
        <v>296546</v>
      </c>
      <c r="E301" s="14">
        <v>414.85</v>
      </c>
      <c r="F301" s="14">
        <v>426.81</v>
      </c>
      <c r="G301" s="16">
        <v>413.53500000000003</v>
      </c>
      <c r="H301" s="69">
        <f t="shared" si="20"/>
        <v>6.5806918163191508E-3</v>
      </c>
      <c r="M301" s="225"/>
      <c r="N301" s="1319"/>
      <c r="O301" s="1319"/>
      <c r="P301" s="1319"/>
      <c r="Q301" s="35">
        <v>42758</v>
      </c>
      <c r="R301" s="36">
        <v>2.41E-2</v>
      </c>
      <c r="S301" s="37">
        <v>1.8799999999999997E-2</v>
      </c>
    </row>
    <row r="302" spans="1:19" x14ac:dyDescent="0.2">
      <c r="A302" s="1"/>
      <c r="B302" s="13">
        <v>45275</v>
      </c>
      <c r="C302" s="14">
        <v>414.85</v>
      </c>
      <c r="D302" s="15">
        <v>582794</v>
      </c>
      <c r="E302" s="14">
        <v>409.14</v>
      </c>
      <c r="F302" s="14">
        <v>426.65</v>
      </c>
      <c r="G302" s="16">
        <v>407.73</v>
      </c>
      <c r="H302" s="69">
        <f t="shared" si="20"/>
        <v>2.051610046493324E-2</v>
      </c>
      <c r="M302" s="225"/>
      <c r="N302" s="1319"/>
      <c r="O302" s="1319"/>
      <c r="P302" s="1319"/>
      <c r="Q302" s="35">
        <v>42759</v>
      </c>
      <c r="R302" s="36">
        <v>2.4700000000000003E-2</v>
      </c>
      <c r="S302" s="37">
        <v>1.9400000000000001E-2</v>
      </c>
    </row>
    <row r="303" spans="1:19" x14ac:dyDescent="0.2">
      <c r="A303" s="1"/>
      <c r="B303" s="13">
        <v>45274</v>
      </c>
      <c r="C303" s="14">
        <v>406.51</v>
      </c>
      <c r="D303" s="15">
        <v>347192</v>
      </c>
      <c r="E303" s="14">
        <v>400.17</v>
      </c>
      <c r="F303" s="14">
        <v>411.37</v>
      </c>
      <c r="G303" s="16">
        <v>400.17</v>
      </c>
      <c r="H303" s="69">
        <f t="shared" si="20"/>
        <v>1.9384121570791057E-2</v>
      </c>
      <c r="M303" s="225"/>
      <c r="N303" s="1319"/>
      <c r="O303" s="1319"/>
      <c r="P303" s="1319"/>
      <c r="Q303" s="35">
        <v>42760</v>
      </c>
      <c r="R303" s="36">
        <v>2.53E-2</v>
      </c>
      <c r="S303" s="37">
        <v>1.9900000000000001E-2</v>
      </c>
    </row>
    <row r="304" spans="1:19" x14ac:dyDescent="0.2">
      <c r="A304" s="1"/>
      <c r="B304" s="13">
        <v>45273</v>
      </c>
      <c r="C304" s="14">
        <v>398.78</v>
      </c>
      <c r="D304" s="15">
        <v>371644</v>
      </c>
      <c r="E304" s="14">
        <v>403.47</v>
      </c>
      <c r="F304" s="14">
        <v>403.47</v>
      </c>
      <c r="G304" s="16">
        <v>389.95</v>
      </c>
      <c r="H304" s="69">
        <f t="shared" si="20"/>
        <v>-1.255416615079874E-2</v>
      </c>
      <c r="M304" s="225"/>
      <c r="N304" s="1319"/>
      <c r="O304" s="1319"/>
      <c r="P304" s="1319"/>
      <c r="Q304" s="35">
        <v>42761</v>
      </c>
      <c r="R304" s="36">
        <v>2.5099999999999997E-2</v>
      </c>
      <c r="S304" s="37">
        <v>1.95E-2</v>
      </c>
    </row>
    <row r="305" spans="1:19" x14ac:dyDescent="0.2">
      <c r="A305" s="1"/>
      <c r="B305" s="13">
        <v>45272</v>
      </c>
      <c r="C305" s="14">
        <v>403.85</v>
      </c>
      <c r="D305" s="15">
        <v>280491</v>
      </c>
      <c r="E305" s="14">
        <v>396.22</v>
      </c>
      <c r="F305" s="14">
        <v>408.5</v>
      </c>
      <c r="G305" s="16">
        <v>394.65499999999997</v>
      </c>
      <c r="H305" s="69">
        <f t="shared" si="20"/>
        <v>1.6102654421940032E-2</v>
      </c>
      <c r="M305" s="225"/>
      <c r="N305" s="1319"/>
      <c r="O305" s="1319"/>
      <c r="P305" s="1319"/>
      <c r="Q305" s="35">
        <v>42762</v>
      </c>
      <c r="R305" s="36">
        <v>2.4900000000000002E-2</v>
      </c>
      <c r="S305" s="37">
        <v>1.9400000000000001E-2</v>
      </c>
    </row>
    <row r="306" spans="1:19" x14ac:dyDescent="0.2">
      <c r="A306" s="1"/>
      <c r="B306" s="13">
        <v>45271</v>
      </c>
      <c r="C306" s="14">
        <v>397.45</v>
      </c>
      <c r="D306" s="15">
        <v>218479</v>
      </c>
      <c r="E306" s="14">
        <v>391.04</v>
      </c>
      <c r="F306" s="14">
        <v>404.8</v>
      </c>
      <c r="G306" s="16">
        <v>391.04</v>
      </c>
      <c r="H306" s="69">
        <f t="shared" si="20"/>
        <v>1.5197956577266858E-2</v>
      </c>
      <c r="M306" s="225"/>
      <c r="N306" s="1319"/>
      <c r="O306" s="1319"/>
      <c r="P306" s="1319"/>
      <c r="Q306" s="35">
        <v>42765</v>
      </c>
      <c r="R306" s="36">
        <v>2.4900000000000002E-2</v>
      </c>
      <c r="S306" s="37">
        <v>1.9400000000000001E-2</v>
      </c>
    </row>
    <row r="307" spans="1:19" x14ac:dyDescent="0.2">
      <c r="A307" s="1"/>
      <c r="B307" s="13">
        <v>45268</v>
      </c>
      <c r="C307" s="14">
        <v>391.5</v>
      </c>
      <c r="D307" s="15">
        <v>327164</v>
      </c>
      <c r="E307" s="14">
        <v>388.59</v>
      </c>
      <c r="F307" s="14">
        <v>399.99</v>
      </c>
      <c r="G307" s="16">
        <v>385.5</v>
      </c>
      <c r="H307" s="69">
        <f t="shared" si="20"/>
        <v>2.8946896534056687E-3</v>
      </c>
      <c r="M307" s="225"/>
      <c r="N307" s="1319"/>
      <c r="O307" s="1319"/>
      <c r="P307" s="1319"/>
      <c r="Q307" s="35">
        <v>42766</v>
      </c>
      <c r="R307" s="36">
        <v>2.4500000000000001E-2</v>
      </c>
      <c r="S307" s="37">
        <v>1.9E-2</v>
      </c>
    </row>
    <row r="308" spans="1:19" x14ac:dyDescent="0.2">
      <c r="A308" s="1"/>
      <c r="B308" s="13">
        <v>45267</v>
      </c>
      <c r="C308" s="14">
        <v>390.37</v>
      </c>
      <c r="D308" s="15">
        <v>492825</v>
      </c>
      <c r="E308" s="14">
        <v>389.94</v>
      </c>
      <c r="F308" s="14">
        <v>390.87</v>
      </c>
      <c r="G308" s="16">
        <v>378.8</v>
      </c>
      <c r="H308" s="69">
        <f t="shared" si="20"/>
        <v>7.9474952571390034E-4</v>
      </c>
      <c r="M308" s="225"/>
      <c r="N308" s="1319"/>
      <c r="O308" s="1319"/>
      <c r="P308" s="1319"/>
      <c r="Q308" s="35">
        <v>42767</v>
      </c>
      <c r="R308" s="36">
        <v>2.4799999999999999E-2</v>
      </c>
      <c r="S308" s="37">
        <v>1.9299999999999998E-2</v>
      </c>
    </row>
    <row r="309" spans="1:19" x14ac:dyDescent="0.2">
      <c r="A309" s="1"/>
      <c r="B309" s="13">
        <v>45266</v>
      </c>
      <c r="C309" s="14">
        <v>390.06</v>
      </c>
      <c r="D309" s="15">
        <v>547378</v>
      </c>
      <c r="E309" s="14">
        <v>421.88</v>
      </c>
      <c r="F309" s="14">
        <v>424.1</v>
      </c>
      <c r="G309" s="16">
        <v>387.75</v>
      </c>
      <c r="H309" s="69">
        <f t="shared" si="20"/>
        <v>-6.8802521008403339E-2</v>
      </c>
      <c r="M309" s="225"/>
      <c r="N309" s="1319"/>
      <c r="O309" s="1319"/>
      <c r="P309" s="1319"/>
      <c r="Q309" s="35">
        <v>42768</v>
      </c>
      <c r="R309" s="36">
        <v>2.4799999999999999E-2</v>
      </c>
      <c r="S309" s="37">
        <v>1.9199999999999998E-2</v>
      </c>
    </row>
    <row r="310" spans="1:19" x14ac:dyDescent="0.2">
      <c r="A310" s="1"/>
      <c r="B310" s="13">
        <v>45265</v>
      </c>
      <c r="C310" s="14">
        <v>418.88</v>
      </c>
      <c r="D310" s="15">
        <v>265065</v>
      </c>
      <c r="E310" s="14">
        <v>423.96</v>
      </c>
      <c r="F310" s="14">
        <v>428.66</v>
      </c>
      <c r="G310" s="16">
        <v>416.82</v>
      </c>
      <c r="H310" s="69">
        <f t="shared" si="20"/>
        <v>-1.5141540487162652E-2</v>
      </c>
      <c r="M310" s="225"/>
      <c r="N310" s="1319"/>
      <c r="O310" s="1319"/>
      <c r="P310" s="1319"/>
      <c r="Q310" s="35">
        <v>42769</v>
      </c>
      <c r="R310" s="36">
        <v>2.4900000000000002E-2</v>
      </c>
      <c r="S310" s="37">
        <v>1.9299999999999998E-2</v>
      </c>
    </row>
    <row r="311" spans="1:19" x14ac:dyDescent="0.2">
      <c r="A311" s="1"/>
      <c r="B311" s="13">
        <v>45264</v>
      </c>
      <c r="C311" s="14">
        <v>425.32</v>
      </c>
      <c r="D311" s="15">
        <v>358432</v>
      </c>
      <c r="E311" s="14">
        <v>414.44</v>
      </c>
      <c r="F311" s="14">
        <v>428.78500000000003</v>
      </c>
      <c r="G311" s="16">
        <v>410</v>
      </c>
      <c r="H311" s="69">
        <f t="shared" si="20"/>
        <v>2.075983392132863E-2</v>
      </c>
      <c r="M311" s="225"/>
      <c r="N311" s="1319"/>
      <c r="O311" s="1319"/>
      <c r="P311" s="1319"/>
      <c r="Q311" s="35">
        <v>42772</v>
      </c>
      <c r="R311" s="36">
        <v>2.4199999999999999E-2</v>
      </c>
      <c r="S311" s="37">
        <v>1.8600000000000002E-2</v>
      </c>
    </row>
    <row r="312" spans="1:19" x14ac:dyDescent="0.2">
      <c r="A312" s="1"/>
      <c r="B312" s="13">
        <v>45261</v>
      </c>
      <c r="C312" s="14">
        <v>416.67</v>
      </c>
      <c r="D312" s="15">
        <v>399127</v>
      </c>
      <c r="E312" s="14">
        <v>388.48</v>
      </c>
      <c r="F312" s="14">
        <v>417.21</v>
      </c>
      <c r="G312" s="16">
        <v>387.01</v>
      </c>
      <c r="H312" s="69">
        <f t="shared" si="20"/>
        <v>6.7317298086528865E-2</v>
      </c>
      <c r="M312" s="225"/>
      <c r="N312" s="1319"/>
      <c r="O312" s="1319"/>
      <c r="P312" s="1319"/>
      <c r="Q312" s="35">
        <v>42773</v>
      </c>
      <c r="R312" s="36">
        <v>2.4E-2</v>
      </c>
      <c r="S312" s="37">
        <v>1.8500000000000003E-2</v>
      </c>
    </row>
    <row r="313" spans="1:19" x14ac:dyDescent="0.2">
      <c r="A313" s="1"/>
      <c r="B313" s="13">
        <v>45260</v>
      </c>
      <c r="C313" s="14">
        <v>390.39</v>
      </c>
      <c r="D313" s="15">
        <v>527169</v>
      </c>
      <c r="E313" s="14">
        <v>383.93</v>
      </c>
      <c r="F313" s="14">
        <v>392.63</v>
      </c>
      <c r="G313" s="16">
        <v>377.19</v>
      </c>
      <c r="H313" s="69">
        <f t="shared" si="20"/>
        <v>1.6825983903315578E-2</v>
      </c>
      <c r="M313" s="225"/>
      <c r="N313" s="1319"/>
      <c r="O313" s="1319"/>
      <c r="P313" s="1319"/>
      <c r="Q313" s="35">
        <v>42774</v>
      </c>
      <c r="R313" s="36">
        <v>2.3399999999999997E-2</v>
      </c>
      <c r="S313" s="37">
        <v>1.8100000000000002E-2</v>
      </c>
    </row>
    <row r="314" spans="1:19" x14ac:dyDescent="0.2">
      <c r="A314" s="1"/>
      <c r="B314" s="13">
        <v>45259</v>
      </c>
      <c r="C314" s="14">
        <v>383.93</v>
      </c>
      <c r="D314" s="15">
        <v>689188</v>
      </c>
      <c r="E314" s="14">
        <v>408.64</v>
      </c>
      <c r="F314" s="14">
        <v>411.85</v>
      </c>
      <c r="G314" s="16">
        <v>382.92</v>
      </c>
      <c r="H314" s="69">
        <f t="shared" si="20"/>
        <v>-4.9537059959399943E-2</v>
      </c>
      <c r="M314" s="225"/>
      <c r="N314" s="1319"/>
      <c r="O314" s="1319"/>
      <c r="P314" s="1319"/>
      <c r="Q314" s="35">
        <v>42775</v>
      </c>
      <c r="R314" s="36">
        <v>2.4E-2</v>
      </c>
      <c r="S314" s="37">
        <v>1.8799999999999997E-2</v>
      </c>
    </row>
    <row r="315" spans="1:19" x14ac:dyDescent="0.2">
      <c r="A315" s="1"/>
      <c r="B315" s="13">
        <v>45258</v>
      </c>
      <c r="C315" s="14">
        <v>403.94</v>
      </c>
      <c r="D315" s="15">
        <v>398291</v>
      </c>
      <c r="E315" s="14">
        <v>416.39</v>
      </c>
      <c r="F315" s="14">
        <v>418.64</v>
      </c>
      <c r="G315" s="16">
        <v>397.42</v>
      </c>
      <c r="H315" s="69">
        <f t="shared" si="20"/>
        <v>-3.4698656980356457E-2</v>
      </c>
      <c r="M315" s="225"/>
      <c r="N315" s="1319"/>
      <c r="O315" s="1319"/>
      <c r="P315" s="1319"/>
      <c r="Q315" s="35">
        <v>42776</v>
      </c>
      <c r="R315" s="36">
        <v>2.41E-2</v>
      </c>
      <c r="S315" s="37">
        <v>1.89E-2</v>
      </c>
    </row>
    <row r="316" spans="1:19" x14ac:dyDescent="0.2">
      <c r="A316" s="1"/>
      <c r="B316" s="13">
        <v>45257</v>
      </c>
      <c r="C316" s="14">
        <v>418.46</v>
      </c>
      <c r="D316" s="15">
        <v>223578</v>
      </c>
      <c r="E316" s="14">
        <v>422.84</v>
      </c>
      <c r="F316" s="14">
        <v>425.00529999999998</v>
      </c>
      <c r="G316" s="16">
        <v>414.44</v>
      </c>
      <c r="H316" s="69">
        <f t="shared" si="20"/>
        <v>-1.3322015514842911E-2</v>
      </c>
      <c r="M316" s="225"/>
      <c r="N316" s="1319"/>
      <c r="O316" s="1319"/>
      <c r="P316" s="1319"/>
      <c r="Q316" s="35">
        <v>42779</v>
      </c>
      <c r="R316" s="36">
        <v>2.4300000000000002E-2</v>
      </c>
      <c r="S316" s="37">
        <v>1.9199999999999998E-2</v>
      </c>
    </row>
    <row r="317" spans="1:19" x14ac:dyDescent="0.2">
      <c r="A317" s="1"/>
      <c r="B317" s="13">
        <v>45254</v>
      </c>
      <c r="C317" s="14">
        <v>424.11</v>
      </c>
      <c r="D317" s="15">
        <v>62078</v>
      </c>
      <c r="E317" s="14">
        <v>422.75</v>
      </c>
      <c r="F317" s="14">
        <v>427.81990000000002</v>
      </c>
      <c r="G317" s="16">
        <v>421.91500000000002</v>
      </c>
      <c r="H317" s="69">
        <f t="shared" si="20"/>
        <v>2.10292519257127E-3</v>
      </c>
      <c r="M317" s="225"/>
      <c r="N317" s="1319"/>
      <c r="O317" s="1319"/>
      <c r="P317" s="1319"/>
      <c r="Q317" s="35">
        <v>42780</v>
      </c>
      <c r="R317" s="36">
        <v>2.4700000000000003E-2</v>
      </c>
      <c r="S317" s="37">
        <v>1.9799999999999998E-2</v>
      </c>
    </row>
    <row r="318" spans="1:19" x14ac:dyDescent="0.2">
      <c r="A318" s="1"/>
      <c r="B318" s="13">
        <v>45252</v>
      </c>
      <c r="C318" s="14">
        <v>423.22</v>
      </c>
      <c r="D318" s="15">
        <v>167311</v>
      </c>
      <c r="E318" s="14">
        <v>423.23</v>
      </c>
      <c r="F318" s="14">
        <v>427.56</v>
      </c>
      <c r="G318" s="16">
        <v>418.02</v>
      </c>
      <c r="H318" s="69">
        <f t="shared" si="20"/>
        <v>1.5382066876494793E-3</v>
      </c>
      <c r="M318" s="225"/>
      <c r="N318" s="1319"/>
      <c r="O318" s="1319"/>
      <c r="P318" s="1319"/>
      <c r="Q318" s="35">
        <v>42781</v>
      </c>
      <c r="R318" s="36">
        <v>2.5099999999999997E-2</v>
      </c>
      <c r="S318" s="37">
        <v>2.0099999999999996E-2</v>
      </c>
    </row>
    <row r="319" spans="1:19" x14ac:dyDescent="0.2">
      <c r="A319" s="1"/>
      <c r="B319" s="13">
        <v>45251</v>
      </c>
      <c r="C319" s="14">
        <v>422.57</v>
      </c>
      <c r="D319" s="15">
        <v>126128</v>
      </c>
      <c r="E319" s="14">
        <v>417.96</v>
      </c>
      <c r="F319" s="14">
        <v>424.06</v>
      </c>
      <c r="G319" s="16">
        <v>414.05</v>
      </c>
      <c r="H319" s="69">
        <f t="shared" si="20"/>
        <v>7.1501775627427211E-3</v>
      </c>
      <c r="M319" s="225"/>
      <c r="N319" s="1319"/>
      <c r="O319" s="1319"/>
      <c r="P319" s="1319"/>
      <c r="Q319" s="35">
        <v>42782</v>
      </c>
      <c r="R319" s="36">
        <v>2.4500000000000001E-2</v>
      </c>
      <c r="S319" s="37">
        <v>1.95E-2</v>
      </c>
    </row>
    <row r="320" spans="1:19" x14ac:dyDescent="0.2">
      <c r="A320" s="1"/>
      <c r="B320" s="13">
        <v>45250</v>
      </c>
      <c r="C320" s="14">
        <v>419.57</v>
      </c>
      <c r="D320" s="15">
        <v>143588</v>
      </c>
      <c r="E320" s="14">
        <v>415.89</v>
      </c>
      <c r="F320" s="14">
        <v>421.57</v>
      </c>
      <c r="G320" s="16">
        <v>415.32</v>
      </c>
      <c r="H320" s="69">
        <f t="shared" si="20"/>
        <v>7.6854720561039258E-3</v>
      </c>
      <c r="M320" s="225"/>
      <c r="N320" s="1319"/>
      <c r="O320" s="1319"/>
      <c r="P320" s="1319"/>
      <c r="Q320" s="35">
        <v>42783</v>
      </c>
      <c r="R320" s="36">
        <v>2.4199999999999999E-2</v>
      </c>
      <c r="S320" s="37">
        <v>1.9199999999999998E-2</v>
      </c>
    </row>
    <row r="321" spans="1:19" x14ac:dyDescent="0.2">
      <c r="A321" s="1"/>
      <c r="B321" s="13">
        <v>45247</v>
      </c>
      <c r="C321" s="14">
        <v>416.37</v>
      </c>
      <c r="D321" s="15">
        <v>202509</v>
      </c>
      <c r="E321" s="14">
        <v>413.43</v>
      </c>
      <c r="F321" s="14">
        <v>418.375</v>
      </c>
      <c r="G321" s="16">
        <v>411.4</v>
      </c>
      <c r="H321" s="69">
        <f t="shared" si="20"/>
        <v>1.1343211076026316E-2</v>
      </c>
      <c r="M321" s="225"/>
      <c r="N321" s="1319"/>
      <c r="O321" s="1319"/>
      <c r="P321" s="1319"/>
      <c r="Q321" s="35">
        <v>42787</v>
      </c>
      <c r="R321" s="36">
        <v>2.4300000000000002E-2</v>
      </c>
      <c r="S321" s="37">
        <v>1.9299999999999998E-2</v>
      </c>
    </row>
    <row r="322" spans="1:19" x14ac:dyDescent="0.2">
      <c r="A322" s="1"/>
      <c r="B322" s="13">
        <v>45246</v>
      </c>
      <c r="C322" s="14">
        <v>411.7</v>
      </c>
      <c r="D322" s="15">
        <v>234667</v>
      </c>
      <c r="E322" s="14">
        <v>417.61</v>
      </c>
      <c r="F322" s="14">
        <v>418.875</v>
      </c>
      <c r="G322" s="16">
        <v>404.41</v>
      </c>
      <c r="H322" s="69">
        <f t="shared" si="20"/>
        <v>-1.4199171515456244E-2</v>
      </c>
      <c r="M322" s="225"/>
      <c r="N322" s="1319"/>
      <c r="O322" s="1319"/>
      <c r="P322" s="1319"/>
      <c r="Q322" s="35">
        <v>42788</v>
      </c>
      <c r="R322" s="36">
        <v>2.4199999999999999E-2</v>
      </c>
      <c r="S322" s="37">
        <v>1.9199999999999998E-2</v>
      </c>
    </row>
    <row r="323" spans="1:19" x14ac:dyDescent="0.2">
      <c r="A323" s="1"/>
      <c r="B323" s="13">
        <v>45245</v>
      </c>
      <c r="C323" s="14">
        <v>417.63</v>
      </c>
      <c r="D323" s="15">
        <v>363320</v>
      </c>
      <c r="E323" s="14">
        <v>413.51</v>
      </c>
      <c r="F323" s="14">
        <v>422.92</v>
      </c>
      <c r="G323" s="16">
        <v>410.37</v>
      </c>
      <c r="H323" s="69">
        <f t="shared" si="20"/>
        <v>1.2976617832541004E-2</v>
      </c>
      <c r="M323" s="225"/>
      <c r="N323" s="1319"/>
      <c r="O323" s="1319"/>
      <c r="P323" s="1319"/>
      <c r="Q323" s="35">
        <v>42789</v>
      </c>
      <c r="R323" s="36">
        <v>2.3799999999999998E-2</v>
      </c>
      <c r="S323" s="37">
        <v>1.8700000000000001E-2</v>
      </c>
    </row>
    <row r="324" spans="1:19" x14ac:dyDescent="0.2">
      <c r="A324" s="1"/>
      <c r="B324" s="13">
        <v>45244</v>
      </c>
      <c r="C324" s="14">
        <v>412.28</v>
      </c>
      <c r="D324" s="15">
        <v>272352</v>
      </c>
      <c r="E324" s="14">
        <v>409.9</v>
      </c>
      <c r="F324" s="14">
        <v>417.82</v>
      </c>
      <c r="G324" s="16">
        <v>409.9</v>
      </c>
      <c r="H324" s="69">
        <f t="shared" si="20"/>
        <v>2.7770853068753931E-2</v>
      </c>
      <c r="M324" s="225"/>
      <c r="N324" s="1319"/>
      <c r="O324" s="1319"/>
      <c r="P324" s="1319"/>
      <c r="Q324" s="35">
        <v>42790</v>
      </c>
      <c r="R324" s="36">
        <v>2.3099999999999999E-2</v>
      </c>
      <c r="S324" s="37">
        <v>1.8000000000000002E-2</v>
      </c>
    </row>
    <row r="325" spans="1:19" x14ac:dyDescent="0.2">
      <c r="A325" s="1"/>
      <c r="B325" s="13">
        <v>45243</v>
      </c>
      <c r="C325" s="14">
        <v>401.14</v>
      </c>
      <c r="D325" s="15">
        <v>167277</v>
      </c>
      <c r="E325" s="14">
        <v>391.88</v>
      </c>
      <c r="F325" s="14">
        <v>401.75</v>
      </c>
      <c r="G325" s="16">
        <v>391.2</v>
      </c>
      <c r="H325" s="69">
        <f t="shared" si="20"/>
        <v>1.3184481713477414E-2</v>
      </c>
      <c r="M325" s="225"/>
      <c r="N325" s="1319"/>
      <c r="O325" s="1319"/>
      <c r="P325" s="1319"/>
      <c r="Q325" s="35">
        <v>42793</v>
      </c>
      <c r="R325" s="36">
        <v>2.3599999999999999E-2</v>
      </c>
      <c r="S325" s="37">
        <v>1.8700000000000001E-2</v>
      </c>
    </row>
    <row r="326" spans="1:19" x14ac:dyDescent="0.2">
      <c r="A326" s="1"/>
      <c r="B326" s="13">
        <v>45240</v>
      </c>
      <c r="C326" s="14">
        <v>395.92</v>
      </c>
      <c r="D326" s="15">
        <v>285285</v>
      </c>
      <c r="E326" s="14">
        <v>384.84</v>
      </c>
      <c r="F326" s="14">
        <v>397.83499999999998</v>
      </c>
      <c r="G326" s="16">
        <v>384.84</v>
      </c>
      <c r="H326" s="69">
        <f t="shared" si="20"/>
        <v>3.3517803069854857E-2</v>
      </c>
      <c r="M326" s="225"/>
      <c r="N326" s="1319"/>
      <c r="O326" s="1319"/>
      <c r="P326" s="1319"/>
      <c r="Q326" s="35">
        <v>42794</v>
      </c>
      <c r="R326" s="36">
        <v>2.3599999999999999E-2</v>
      </c>
      <c r="S326" s="37">
        <v>1.89E-2</v>
      </c>
    </row>
    <row r="327" spans="1:19" x14ac:dyDescent="0.2">
      <c r="A327" s="1"/>
      <c r="B327" s="13">
        <v>45239</v>
      </c>
      <c r="C327" s="14">
        <v>383.08</v>
      </c>
      <c r="D327" s="15">
        <v>223955</v>
      </c>
      <c r="E327" s="14">
        <v>391.3</v>
      </c>
      <c r="F327" s="14">
        <v>392</v>
      </c>
      <c r="G327" s="16">
        <v>382.77</v>
      </c>
      <c r="H327" s="69">
        <f t="shared" si="20"/>
        <v>-1.5193192627059871E-2</v>
      </c>
      <c r="M327" s="225"/>
      <c r="N327" s="1319"/>
      <c r="O327" s="1319"/>
      <c r="P327" s="1319"/>
      <c r="Q327" s="35">
        <v>42795</v>
      </c>
      <c r="R327" s="36">
        <v>2.46E-2</v>
      </c>
      <c r="S327" s="37">
        <v>1.9900000000000001E-2</v>
      </c>
    </row>
    <row r="328" spans="1:19" x14ac:dyDescent="0.2">
      <c r="A328" s="1"/>
      <c r="B328" s="13">
        <v>45238</v>
      </c>
      <c r="C328" s="14">
        <v>388.99</v>
      </c>
      <c r="D328" s="15">
        <v>283974</v>
      </c>
      <c r="E328" s="14">
        <v>390.4</v>
      </c>
      <c r="F328" s="14">
        <v>395.64</v>
      </c>
      <c r="G328" s="16">
        <v>385.59</v>
      </c>
      <c r="H328" s="69">
        <f t="shared" si="20"/>
        <v>3.0427271086357344E-3</v>
      </c>
      <c r="M328" s="225"/>
      <c r="N328" s="1319"/>
      <c r="O328" s="1319"/>
      <c r="P328" s="1319"/>
      <c r="Q328" s="35">
        <v>42796</v>
      </c>
      <c r="R328" s="36">
        <v>2.4900000000000002E-2</v>
      </c>
      <c r="S328" s="37">
        <v>2.0299999999999999E-2</v>
      </c>
    </row>
    <row r="329" spans="1:19" x14ac:dyDescent="0.2">
      <c r="A329" s="1"/>
      <c r="B329" s="13">
        <v>45237</v>
      </c>
      <c r="C329" s="14">
        <v>387.81</v>
      </c>
      <c r="D329" s="15">
        <v>233745</v>
      </c>
      <c r="E329" s="14">
        <v>382.39</v>
      </c>
      <c r="F329" s="14">
        <v>393.52</v>
      </c>
      <c r="G329" s="16">
        <v>378.38</v>
      </c>
      <c r="H329" s="69">
        <f t="shared" si="20"/>
        <v>1.2400146191197114E-2</v>
      </c>
      <c r="M329" s="225"/>
      <c r="N329" s="1319"/>
      <c r="O329" s="1319"/>
      <c r="P329" s="1319"/>
      <c r="Q329" s="35">
        <v>42797</v>
      </c>
      <c r="R329" s="36">
        <v>2.4900000000000002E-2</v>
      </c>
      <c r="S329" s="37">
        <v>2.0199999999999999E-2</v>
      </c>
    </row>
    <row r="330" spans="1:19" x14ac:dyDescent="0.2">
      <c r="A330" s="1"/>
      <c r="B330" s="13">
        <v>45236</v>
      </c>
      <c r="C330" s="14">
        <v>383.06</v>
      </c>
      <c r="D330" s="15">
        <v>241560</v>
      </c>
      <c r="E330" s="14">
        <v>387.36</v>
      </c>
      <c r="F330" s="14">
        <v>392.5</v>
      </c>
      <c r="G330" s="16">
        <v>376.66</v>
      </c>
      <c r="H330" s="69">
        <f t="shared" si="20"/>
        <v>-1.2808288018967495E-2</v>
      </c>
      <c r="M330" s="225"/>
      <c r="N330" s="1319"/>
      <c r="O330" s="1319"/>
      <c r="P330" s="1319"/>
      <c r="Q330" s="35">
        <v>42800</v>
      </c>
      <c r="R330" s="36">
        <v>2.4900000000000002E-2</v>
      </c>
      <c r="S330" s="37">
        <v>2.0199999999999999E-2</v>
      </c>
    </row>
    <row r="331" spans="1:19" x14ac:dyDescent="0.2">
      <c r="A331" s="1"/>
      <c r="B331" s="13">
        <v>45233</v>
      </c>
      <c r="C331" s="14">
        <v>388.03</v>
      </c>
      <c r="D331" s="15">
        <v>305464</v>
      </c>
      <c r="E331" s="14">
        <v>382.94</v>
      </c>
      <c r="F331" s="14">
        <v>392.41</v>
      </c>
      <c r="G331" s="16">
        <v>381.67</v>
      </c>
      <c r="H331" s="69">
        <f t="shared" si="20"/>
        <v>2.7567395794714233E-2</v>
      </c>
      <c r="M331" s="225"/>
      <c r="N331" s="1319"/>
      <c r="O331" s="1319"/>
      <c r="P331" s="1319"/>
      <c r="Q331" s="35">
        <v>42801</v>
      </c>
      <c r="R331" s="36">
        <v>2.52E-2</v>
      </c>
      <c r="S331" s="37">
        <v>2.0499999999999997E-2</v>
      </c>
    </row>
    <row r="332" spans="1:19" x14ac:dyDescent="0.2">
      <c r="A332" s="1"/>
      <c r="B332" s="13">
        <v>45232</v>
      </c>
      <c r="C332" s="14">
        <v>377.62</v>
      </c>
      <c r="D332" s="15">
        <v>354669</v>
      </c>
      <c r="E332" s="14">
        <v>384.97</v>
      </c>
      <c r="F332" s="14">
        <v>387.69</v>
      </c>
      <c r="G332" s="16">
        <v>376.91</v>
      </c>
      <c r="H332" s="69">
        <f t="shared" si="20"/>
        <v>-6.0800673808333316E-3</v>
      </c>
      <c r="M332" s="225"/>
      <c r="N332" s="1319"/>
      <c r="O332" s="1319"/>
      <c r="P332" s="1319"/>
      <c r="Q332" s="35">
        <v>42802</v>
      </c>
      <c r="R332" s="36">
        <v>2.5699999999999997E-2</v>
      </c>
      <c r="S332" s="37">
        <v>2.0799999999999999E-2</v>
      </c>
    </row>
    <row r="333" spans="1:19" x14ac:dyDescent="0.2">
      <c r="A333" s="1"/>
      <c r="B333" s="13">
        <v>45231</v>
      </c>
      <c r="C333" s="14">
        <v>379.93</v>
      </c>
      <c r="D333" s="15">
        <v>473116</v>
      </c>
      <c r="E333" s="14">
        <v>364.65</v>
      </c>
      <c r="F333" s="14">
        <v>379.93</v>
      </c>
      <c r="G333" s="16">
        <v>364.61500000000001</v>
      </c>
      <c r="H333" s="69">
        <f t="shared" si="20"/>
        <v>5.9806410220647699E-2</v>
      </c>
      <c r="M333" s="225"/>
      <c r="N333" s="1319"/>
      <c r="O333" s="1319"/>
      <c r="P333" s="1319"/>
      <c r="Q333" s="35">
        <v>42803</v>
      </c>
      <c r="R333" s="36">
        <v>2.6000000000000002E-2</v>
      </c>
      <c r="S333" s="37">
        <v>2.1299999999999999E-2</v>
      </c>
    </row>
    <row r="334" spans="1:19" x14ac:dyDescent="0.2">
      <c r="A334" s="1"/>
      <c r="B334" s="13">
        <v>45230</v>
      </c>
      <c r="C334" s="14">
        <v>358.49</v>
      </c>
      <c r="D334" s="15">
        <v>477802</v>
      </c>
      <c r="E334" s="14">
        <v>363.76</v>
      </c>
      <c r="F334" s="14">
        <v>373.55</v>
      </c>
      <c r="G334" s="16">
        <v>354.32249999999999</v>
      </c>
      <c r="H334" s="69">
        <f t="shared" si="20"/>
        <v>3.4709587123862295E-3</v>
      </c>
      <c r="M334" s="225"/>
      <c r="N334" s="1319"/>
      <c r="O334" s="1319"/>
      <c r="P334" s="1319"/>
      <c r="Q334" s="35">
        <v>42804</v>
      </c>
      <c r="R334" s="36">
        <v>2.58E-2</v>
      </c>
      <c r="S334" s="37">
        <v>2.1099999999999997E-2</v>
      </c>
    </row>
    <row r="335" spans="1:19" x14ac:dyDescent="0.2">
      <c r="A335" s="1"/>
      <c r="B335" s="13">
        <v>45229</v>
      </c>
      <c r="C335" s="14">
        <v>357.25</v>
      </c>
      <c r="D335" s="15">
        <v>884277</v>
      </c>
      <c r="E335" s="14">
        <v>359.18</v>
      </c>
      <c r="F335" s="14">
        <v>363.255</v>
      </c>
      <c r="G335" s="16">
        <v>346.34</v>
      </c>
      <c r="H335" s="69">
        <f t="shared" si="20"/>
        <v>3.7733108696915041E-2</v>
      </c>
      <c r="M335" s="225"/>
      <c r="N335" s="1319"/>
      <c r="O335" s="1319"/>
      <c r="P335" s="1319"/>
      <c r="Q335" s="35">
        <v>42807</v>
      </c>
      <c r="R335" s="36">
        <v>2.6200000000000001E-2</v>
      </c>
      <c r="S335" s="37">
        <v>2.1400000000000002E-2</v>
      </c>
    </row>
    <row r="336" spans="1:19" x14ac:dyDescent="0.2">
      <c r="A336" s="1"/>
      <c r="B336" s="13">
        <v>45226</v>
      </c>
      <c r="C336" s="14">
        <v>344.26</v>
      </c>
      <c r="D336" s="15">
        <v>839111</v>
      </c>
      <c r="E336" s="14">
        <v>377</v>
      </c>
      <c r="F336" s="14">
        <v>382.97</v>
      </c>
      <c r="G336" s="16">
        <v>341.26</v>
      </c>
      <c r="H336" s="69">
        <f t="shared" si="20"/>
        <v>-8.7061444217560791E-2</v>
      </c>
      <c r="M336" s="225"/>
      <c r="N336" s="1319"/>
      <c r="O336" s="1319"/>
      <c r="P336" s="1319"/>
      <c r="Q336" s="35">
        <v>42808</v>
      </c>
      <c r="R336" s="36">
        <v>2.6000000000000002E-2</v>
      </c>
      <c r="S336" s="37">
        <v>2.1299999999999999E-2</v>
      </c>
    </row>
    <row r="337" spans="1:19" x14ac:dyDescent="0.2">
      <c r="A337" s="1"/>
      <c r="B337" s="13">
        <v>45225</v>
      </c>
      <c r="C337" s="14">
        <v>377.09</v>
      </c>
      <c r="D337" s="15">
        <v>846693</v>
      </c>
      <c r="E337" s="14">
        <v>370.86</v>
      </c>
      <c r="F337" s="14">
        <v>382.06</v>
      </c>
      <c r="G337" s="16">
        <v>368</v>
      </c>
      <c r="H337" s="69">
        <f t="shared" si="20"/>
        <v>1.7979105364036352E-2</v>
      </c>
      <c r="M337" s="225"/>
      <c r="N337" s="1319"/>
      <c r="O337" s="1319"/>
      <c r="P337" s="1319"/>
      <c r="Q337" s="35">
        <v>42809</v>
      </c>
      <c r="R337" s="36">
        <v>2.5099999999999997E-2</v>
      </c>
      <c r="S337" s="37">
        <v>2.0199999999999999E-2</v>
      </c>
    </row>
    <row r="338" spans="1:19" x14ac:dyDescent="0.2">
      <c r="A338" s="1"/>
      <c r="B338" s="13">
        <v>45224</v>
      </c>
      <c r="C338" s="14">
        <v>370.43</v>
      </c>
      <c r="D338" s="15">
        <v>607175</v>
      </c>
      <c r="E338" s="14">
        <v>377.87</v>
      </c>
      <c r="F338" s="14">
        <v>382.76</v>
      </c>
      <c r="G338" s="16">
        <v>359.29</v>
      </c>
      <c r="H338" s="69">
        <f t="shared" si="20"/>
        <v>-2.8533214444939836E-2</v>
      </c>
      <c r="M338" s="225"/>
      <c r="N338" s="1319"/>
      <c r="O338" s="1319"/>
      <c r="P338" s="1319"/>
      <c r="Q338" s="35">
        <v>42810</v>
      </c>
      <c r="R338" s="36">
        <v>2.53E-2</v>
      </c>
      <c r="S338" s="37">
        <v>2.0499999999999997E-2</v>
      </c>
    </row>
    <row r="339" spans="1:19" x14ac:dyDescent="0.2">
      <c r="A339" s="1"/>
      <c r="B339" s="13">
        <v>45223</v>
      </c>
      <c r="C339" s="14">
        <v>381.31</v>
      </c>
      <c r="D339" s="15">
        <v>286600</v>
      </c>
      <c r="E339" s="14">
        <v>383.15</v>
      </c>
      <c r="F339" s="14">
        <v>383.15</v>
      </c>
      <c r="G339" s="16">
        <v>372.07</v>
      </c>
      <c r="H339" s="69">
        <f t="shared" si="20"/>
        <v>7.2643702451393732E-3</v>
      </c>
      <c r="M339" s="225"/>
      <c r="N339" s="1319"/>
      <c r="O339" s="1319"/>
      <c r="P339" s="1319"/>
      <c r="Q339" s="35">
        <v>42811</v>
      </c>
      <c r="R339" s="36">
        <v>2.5000000000000001E-2</v>
      </c>
      <c r="S339" s="37">
        <v>2.0299999999999999E-2</v>
      </c>
    </row>
    <row r="340" spans="1:19" x14ac:dyDescent="0.2">
      <c r="A340" s="1"/>
      <c r="B340" s="13">
        <v>45222</v>
      </c>
      <c r="C340" s="14">
        <v>378.56</v>
      </c>
      <c r="D340" s="15">
        <v>198022</v>
      </c>
      <c r="E340" s="14">
        <v>382.51</v>
      </c>
      <c r="F340" s="14">
        <v>388.37</v>
      </c>
      <c r="G340" s="16">
        <v>374.93</v>
      </c>
      <c r="H340" s="69">
        <f t="shared" si="20"/>
        <v>-1.1824897543658119E-2</v>
      </c>
      <c r="M340" s="225"/>
      <c r="N340" s="1319"/>
      <c r="O340" s="1319"/>
      <c r="P340" s="1319"/>
      <c r="Q340" s="35">
        <v>42814</v>
      </c>
      <c r="R340" s="36">
        <v>2.4700000000000003E-2</v>
      </c>
      <c r="S340" s="37">
        <v>0.02</v>
      </c>
    </row>
    <row r="341" spans="1:19" x14ac:dyDescent="0.2">
      <c r="A341" s="1"/>
      <c r="B341" s="13">
        <v>45219</v>
      </c>
      <c r="C341" s="14">
        <v>383.09</v>
      </c>
      <c r="D341" s="15">
        <v>377295</v>
      </c>
      <c r="E341" s="14">
        <v>387.55</v>
      </c>
      <c r="F341" s="14">
        <v>390.83</v>
      </c>
      <c r="G341" s="16">
        <v>376.97</v>
      </c>
      <c r="H341" s="69">
        <f t="shared" si="20"/>
        <v>5.6439334278364228E-3</v>
      </c>
      <c r="M341" s="225"/>
      <c r="N341" s="1319"/>
      <c r="O341" s="1319"/>
      <c r="P341" s="1319"/>
      <c r="Q341" s="35">
        <v>42815</v>
      </c>
      <c r="R341" s="36">
        <v>2.4300000000000002E-2</v>
      </c>
      <c r="S341" s="37">
        <v>1.9599999999999999E-2</v>
      </c>
    </row>
    <row r="342" spans="1:19" x14ac:dyDescent="0.2">
      <c r="A342" s="1"/>
      <c r="B342" s="13">
        <v>45218</v>
      </c>
      <c r="C342" s="14">
        <v>380.94</v>
      </c>
      <c r="D342" s="15">
        <v>323915</v>
      </c>
      <c r="E342" s="14">
        <v>394.19</v>
      </c>
      <c r="F342" s="14">
        <v>394.19</v>
      </c>
      <c r="G342" s="16">
        <v>376.62</v>
      </c>
      <c r="H342" s="69">
        <f t="shared" si="20"/>
        <v>-3.3613232197671206E-2</v>
      </c>
      <c r="M342" s="225"/>
      <c r="N342" s="1319"/>
      <c r="O342" s="1319"/>
      <c r="P342" s="1319"/>
      <c r="Q342" s="35">
        <v>42816</v>
      </c>
      <c r="R342" s="36">
        <v>2.4E-2</v>
      </c>
      <c r="S342" s="37">
        <v>1.95E-2</v>
      </c>
    </row>
    <row r="343" spans="1:19" x14ac:dyDescent="0.2">
      <c r="A343" s="1"/>
      <c r="B343" s="13">
        <v>45217</v>
      </c>
      <c r="C343" s="14">
        <v>394.19</v>
      </c>
      <c r="D343" s="15">
        <v>248858</v>
      </c>
      <c r="E343" s="14">
        <v>402.9</v>
      </c>
      <c r="F343" s="14">
        <v>402.9</v>
      </c>
      <c r="G343" s="16">
        <v>391.92</v>
      </c>
      <c r="H343" s="69">
        <f t="shared" si="20"/>
        <v>-3.061676175486916E-2</v>
      </c>
      <c r="M343" s="225"/>
      <c r="N343" s="1319"/>
      <c r="O343" s="1319"/>
      <c r="P343" s="1319"/>
      <c r="Q343" s="35">
        <v>42817</v>
      </c>
      <c r="R343" s="36">
        <v>2.41E-2</v>
      </c>
      <c r="S343" s="37">
        <v>1.95E-2</v>
      </c>
    </row>
    <row r="344" spans="1:19" x14ac:dyDescent="0.2">
      <c r="A344" s="1"/>
      <c r="B344" s="13">
        <v>45216</v>
      </c>
      <c r="C344" s="14">
        <v>406.64</v>
      </c>
      <c r="D344" s="15">
        <v>292196</v>
      </c>
      <c r="E344" s="14">
        <v>401.22</v>
      </c>
      <c r="F344" s="14">
        <v>407.1</v>
      </c>
      <c r="G344" s="16">
        <v>398.83499999999998</v>
      </c>
      <c r="H344" s="69">
        <f t="shared" si="20"/>
        <v>1.8637274549098137E-2</v>
      </c>
      <c r="M344" s="225"/>
      <c r="N344" s="1319"/>
      <c r="O344" s="1319"/>
      <c r="P344" s="1319"/>
      <c r="Q344" s="35">
        <v>42818</v>
      </c>
      <c r="R344" s="36">
        <v>2.4E-2</v>
      </c>
      <c r="S344" s="37">
        <v>1.9299999999999998E-2</v>
      </c>
    </row>
    <row r="345" spans="1:19" x14ac:dyDescent="0.2">
      <c r="A345" s="1"/>
      <c r="B345" s="13">
        <v>45215</v>
      </c>
      <c r="C345" s="14">
        <v>399.2</v>
      </c>
      <c r="D345" s="15">
        <v>286947</v>
      </c>
      <c r="E345" s="14">
        <v>394.54</v>
      </c>
      <c r="F345" s="14">
        <v>406.37</v>
      </c>
      <c r="G345" s="16">
        <v>394.54</v>
      </c>
      <c r="H345" s="69">
        <f t="shared" si="20"/>
        <v>2.0789117037870453E-2</v>
      </c>
      <c r="M345" s="225"/>
      <c r="N345" s="1319"/>
      <c r="O345" s="1319"/>
      <c r="P345" s="1319"/>
      <c r="Q345" s="35">
        <v>42821</v>
      </c>
      <c r="R345" s="36">
        <v>2.3799999999999998E-2</v>
      </c>
      <c r="S345" s="37">
        <v>1.9299999999999998E-2</v>
      </c>
    </row>
    <row r="346" spans="1:19" x14ac:dyDescent="0.2">
      <c r="A346" s="1"/>
      <c r="B346" s="13">
        <v>45212</v>
      </c>
      <c r="C346" s="14">
        <v>391.07</v>
      </c>
      <c r="D346" s="15">
        <v>330763</v>
      </c>
      <c r="E346" s="14">
        <v>416.35</v>
      </c>
      <c r="F346" s="14">
        <v>417.505</v>
      </c>
      <c r="G346" s="16">
        <v>387.45</v>
      </c>
      <c r="H346" s="69">
        <f t="shared" si="20"/>
        <v>-5.7662650602409604E-2</v>
      </c>
      <c r="M346" s="225"/>
      <c r="N346" s="1319"/>
      <c r="O346" s="1319"/>
      <c r="P346" s="1319"/>
      <c r="Q346" s="35">
        <v>42822</v>
      </c>
      <c r="R346" s="36">
        <v>2.4199999999999999E-2</v>
      </c>
      <c r="S346" s="37">
        <v>1.9699999999999999E-2</v>
      </c>
    </row>
    <row r="347" spans="1:19" x14ac:dyDescent="0.2">
      <c r="A347" s="1"/>
      <c r="B347" s="13">
        <v>45211</v>
      </c>
      <c r="C347" s="14">
        <v>415</v>
      </c>
      <c r="D347" s="15">
        <v>162007</v>
      </c>
      <c r="E347" s="14">
        <v>420.9</v>
      </c>
      <c r="F347" s="14">
        <v>420.9</v>
      </c>
      <c r="G347" s="16">
        <v>409.93</v>
      </c>
      <c r="H347" s="69">
        <f t="shared" si="20"/>
        <v>-8.4816628837653951E-3</v>
      </c>
      <c r="M347" s="225"/>
      <c r="N347" s="1319"/>
      <c r="O347" s="1319"/>
      <c r="P347" s="1319"/>
      <c r="Q347" s="35">
        <v>42823</v>
      </c>
      <c r="R347" s="36">
        <v>2.3900000000000001E-2</v>
      </c>
      <c r="S347" s="37">
        <v>1.9299999999999998E-2</v>
      </c>
    </row>
    <row r="348" spans="1:19" x14ac:dyDescent="0.2">
      <c r="A348" s="1"/>
      <c r="B348" s="13">
        <v>45210</v>
      </c>
      <c r="C348" s="14">
        <v>418.55</v>
      </c>
      <c r="D348" s="15">
        <v>187965</v>
      </c>
      <c r="E348" s="14">
        <v>415.37</v>
      </c>
      <c r="F348" s="14">
        <v>421.03</v>
      </c>
      <c r="G348" s="16">
        <v>411.11</v>
      </c>
      <c r="H348" s="69">
        <f t="shared" si="20"/>
        <v>5.3323085052723318E-3</v>
      </c>
      <c r="M348" s="225"/>
      <c r="N348" s="1319"/>
      <c r="O348" s="1319"/>
      <c r="P348" s="1319"/>
      <c r="Q348" s="35">
        <v>42824</v>
      </c>
      <c r="R348" s="36">
        <v>2.4199999999999999E-2</v>
      </c>
      <c r="S348" s="37">
        <v>1.9599999999999999E-2</v>
      </c>
    </row>
    <row r="349" spans="1:19" x14ac:dyDescent="0.2">
      <c r="A349" s="1"/>
      <c r="B349" s="13">
        <v>45209</v>
      </c>
      <c r="C349" s="14">
        <v>416.33</v>
      </c>
      <c r="D349" s="15">
        <v>228599</v>
      </c>
      <c r="E349" s="14">
        <v>411.94</v>
      </c>
      <c r="F349" s="14">
        <v>421.49</v>
      </c>
      <c r="G349" s="16">
        <v>405.39</v>
      </c>
      <c r="H349" s="69">
        <f t="shared" si="20"/>
        <v>1.5823055057399671E-2</v>
      </c>
      <c r="M349" s="225"/>
      <c r="N349" s="1319"/>
      <c r="O349" s="1319"/>
      <c r="P349" s="1319"/>
      <c r="Q349" s="35">
        <v>42825</v>
      </c>
      <c r="R349" s="36">
        <v>2.4E-2</v>
      </c>
      <c r="S349" s="37">
        <v>1.9299999999999998E-2</v>
      </c>
    </row>
    <row r="350" spans="1:19" x14ac:dyDescent="0.2">
      <c r="A350" s="1"/>
      <c r="B350" s="13">
        <v>45208</v>
      </c>
      <c r="C350" s="14">
        <v>409.84500000000003</v>
      </c>
      <c r="D350" s="15">
        <v>169297</v>
      </c>
      <c r="E350" s="14">
        <v>399.71</v>
      </c>
      <c r="F350" s="14">
        <v>413.34</v>
      </c>
      <c r="G350" s="16">
        <v>397.82</v>
      </c>
      <c r="H350" s="69">
        <f t="shared" si="20"/>
        <v>1.4492932993390939E-2</v>
      </c>
      <c r="M350" s="225"/>
      <c r="N350" s="1319"/>
      <c r="O350" s="1319"/>
      <c r="P350" s="1319"/>
      <c r="Q350" s="35">
        <v>42828</v>
      </c>
      <c r="R350" s="36">
        <v>2.35E-2</v>
      </c>
      <c r="S350" s="37">
        <v>1.8799999999999997E-2</v>
      </c>
    </row>
    <row r="351" spans="1:19" x14ac:dyDescent="0.2">
      <c r="A351" s="1"/>
      <c r="B351" s="13">
        <v>45205</v>
      </c>
      <c r="C351" s="14">
        <v>403.99</v>
      </c>
      <c r="D351" s="15">
        <v>294307</v>
      </c>
      <c r="E351" s="14">
        <v>394.46</v>
      </c>
      <c r="F351" s="14">
        <v>409.11</v>
      </c>
      <c r="G351" s="16">
        <v>385.4</v>
      </c>
      <c r="H351" s="69">
        <f t="shared" si="20"/>
        <v>1.5254322476879745E-2</v>
      </c>
      <c r="M351" s="225"/>
      <c r="N351" s="1319"/>
      <c r="O351" s="1319"/>
      <c r="P351" s="1319"/>
      <c r="Q351" s="35">
        <v>42829</v>
      </c>
      <c r="R351" s="36">
        <v>2.3599999999999999E-2</v>
      </c>
      <c r="S351" s="37">
        <v>1.8799999999999997E-2</v>
      </c>
    </row>
    <row r="352" spans="1:19" x14ac:dyDescent="0.2">
      <c r="A352" s="1"/>
      <c r="B352" s="13">
        <v>45204</v>
      </c>
      <c r="C352" s="14">
        <v>397.92</v>
      </c>
      <c r="D352" s="15">
        <v>326024</v>
      </c>
      <c r="E352" s="14">
        <v>404.93</v>
      </c>
      <c r="F352" s="14">
        <v>408.66</v>
      </c>
      <c r="G352" s="16">
        <v>395.33</v>
      </c>
      <c r="H352" s="69">
        <f t="shared" si="20"/>
        <v>-1.6826032169594551E-2</v>
      </c>
      <c r="M352" s="225"/>
      <c r="N352" s="1319"/>
      <c r="O352" s="1319"/>
      <c r="P352" s="1319"/>
      <c r="Q352" s="35">
        <v>42830</v>
      </c>
      <c r="R352" s="36">
        <v>2.3399999999999997E-2</v>
      </c>
      <c r="S352" s="37">
        <v>1.8500000000000003E-2</v>
      </c>
    </row>
    <row r="353" spans="1:19" x14ac:dyDescent="0.2">
      <c r="A353" s="1"/>
      <c r="B353" s="13">
        <v>45203</v>
      </c>
      <c r="C353" s="14">
        <v>404.73</v>
      </c>
      <c r="D353" s="15">
        <v>458134</v>
      </c>
      <c r="E353" s="14">
        <v>408.81</v>
      </c>
      <c r="F353" s="14">
        <v>409.22</v>
      </c>
      <c r="G353" s="16">
        <v>397.625</v>
      </c>
      <c r="H353" s="69">
        <f t="shared" si="20"/>
        <v>4.5171378223425318E-3</v>
      </c>
      <c r="M353" s="225"/>
      <c r="N353" s="1319"/>
      <c r="O353" s="1319"/>
      <c r="P353" s="1319"/>
      <c r="Q353" s="35">
        <v>42831</v>
      </c>
      <c r="R353" s="36">
        <v>2.3399999999999997E-2</v>
      </c>
      <c r="S353" s="37">
        <v>1.8700000000000001E-2</v>
      </c>
    </row>
    <row r="354" spans="1:19" x14ac:dyDescent="0.2">
      <c r="A354" s="1"/>
      <c r="B354" s="13">
        <v>45202</v>
      </c>
      <c r="C354" s="14">
        <v>402.91</v>
      </c>
      <c r="D354" s="15">
        <v>437730</v>
      </c>
      <c r="E354" s="14">
        <v>397.93</v>
      </c>
      <c r="F354" s="14">
        <v>410.06</v>
      </c>
      <c r="G354" s="16">
        <v>397.84</v>
      </c>
      <c r="H354" s="69">
        <f t="shared" si="20"/>
        <v>7.8545163468994872E-3</v>
      </c>
      <c r="M354" s="225"/>
      <c r="N354" s="1319"/>
      <c r="O354" s="1319"/>
      <c r="P354" s="1319"/>
      <c r="Q354" s="35">
        <v>42832</v>
      </c>
      <c r="R354" s="36">
        <v>2.3799999999999998E-2</v>
      </c>
      <c r="S354" s="37">
        <v>1.9199999999999998E-2</v>
      </c>
    </row>
    <row r="355" spans="1:19" x14ac:dyDescent="0.2">
      <c r="A355" s="1"/>
      <c r="B355" s="13">
        <v>45201</v>
      </c>
      <c r="C355" s="14">
        <v>399.77</v>
      </c>
      <c r="D355" s="15">
        <v>311612</v>
      </c>
      <c r="E355" s="14">
        <v>397.74</v>
      </c>
      <c r="F355" s="14">
        <v>403.62</v>
      </c>
      <c r="G355" s="16">
        <v>394.78500000000003</v>
      </c>
      <c r="H355" s="69">
        <f t="shared" si="20"/>
        <v>2.809482001755903E-3</v>
      </c>
      <c r="M355" s="225"/>
      <c r="N355" s="1319"/>
      <c r="O355" s="1319"/>
      <c r="P355" s="1319"/>
      <c r="Q355" s="35">
        <v>42835</v>
      </c>
      <c r="R355" s="36">
        <v>2.3700000000000002E-2</v>
      </c>
      <c r="S355" s="37">
        <v>1.9099999999999999E-2</v>
      </c>
    </row>
    <row r="356" spans="1:19" x14ac:dyDescent="0.2">
      <c r="A356" s="1"/>
      <c r="B356" s="13">
        <v>45198</v>
      </c>
      <c r="C356" s="14">
        <v>398.65</v>
      </c>
      <c r="D356" s="15">
        <v>232871</v>
      </c>
      <c r="E356" s="14">
        <v>405.84</v>
      </c>
      <c r="F356" s="14">
        <v>407.83</v>
      </c>
      <c r="G356" s="16">
        <v>397.73</v>
      </c>
      <c r="H356" s="69">
        <f t="shared" si="20"/>
        <v>-8.9003803793850089E-3</v>
      </c>
      <c r="M356" s="225"/>
      <c r="N356" s="1319"/>
      <c r="O356" s="1319"/>
      <c r="P356" s="1319"/>
      <c r="Q356" s="35">
        <v>42836</v>
      </c>
      <c r="R356" s="36">
        <v>2.3199999999999998E-2</v>
      </c>
      <c r="S356" s="37">
        <v>1.84E-2</v>
      </c>
    </row>
    <row r="357" spans="1:19" x14ac:dyDescent="0.2">
      <c r="A357" s="1"/>
      <c r="B357" s="13">
        <v>45197</v>
      </c>
      <c r="C357" s="14">
        <v>402.23</v>
      </c>
      <c r="D357" s="15">
        <v>359705</v>
      </c>
      <c r="E357" s="14">
        <v>391.58</v>
      </c>
      <c r="F357" s="14">
        <v>405.03</v>
      </c>
      <c r="G357" s="16">
        <v>386.89</v>
      </c>
      <c r="H357" s="69">
        <f t="shared" si="20"/>
        <v>2.7040138903074329E-2</v>
      </c>
      <c r="M357" s="225"/>
      <c r="N357" s="1319"/>
      <c r="O357" s="1319"/>
      <c r="P357" s="1319"/>
      <c r="Q357" s="35">
        <v>42837</v>
      </c>
      <c r="R357" s="36">
        <v>2.2799999999999997E-2</v>
      </c>
      <c r="S357" s="37">
        <v>1.8100000000000002E-2</v>
      </c>
    </row>
    <row r="358" spans="1:19" x14ac:dyDescent="0.2">
      <c r="A358" s="1"/>
      <c r="B358" s="13">
        <v>45196</v>
      </c>
      <c r="C358" s="14">
        <v>391.64</v>
      </c>
      <c r="D358" s="15">
        <v>190770</v>
      </c>
      <c r="E358" s="14">
        <v>392.59</v>
      </c>
      <c r="F358" s="14">
        <v>396.42</v>
      </c>
      <c r="G358" s="16">
        <v>385.77</v>
      </c>
      <c r="H358" s="69">
        <f t="shared" si="20"/>
        <v>1.2617644016961416E-2</v>
      </c>
      <c r="M358" s="225"/>
      <c r="N358" s="1319"/>
      <c r="O358" s="1319"/>
      <c r="P358" s="1319"/>
      <c r="Q358" s="35">
        <v>42838</v>
      </c>
      <c r="R358" s="36">
        <v>2.2400000000000003E-2</v>
      </c>
      <c r="S358" s="37">
        <v>1.77E-2</v>
      </c>
    </row>
    <row r="359" spans="1:19" x14ac:dyDescent="0.2">
      <c r="A359" s="1"/>
      <c r="B359" s="13">
        <v>45195</v>
      </c>
      <c r="C359" s="14">
        <v>386.76</v>
      </c>
      <c r="D359" s="15">
        <v>227809</v>
      </c>
      <c r="E359" s="14">
        <v>393.77</v>
      </c>
      <c r="F359" s="14">
        <v>396.39</v>
      </c>
      <c r="G359" s="16">
        <v>385.7604</v>
      </c>
      <c r="H359" s="69">
        <f t="shared" si="20"/>
        <v>-2.4368094445285315E-2</v>
      </c>
      <c r="M359" s="225"/>
      <c r="N359" s="1319"/>
      <c r="O359" s="1319"/>
      <c r="P359" s="1319"/>
      <c r="Q359" s="35">
        <v>42842</v>
      </c>
      <c r="R359" s="36">
        <v>2.2599999999999999E-2</v>
      </c>
      <c r="S359" s="37">
        <v>1.7899999999999999E-2</v>
      </c>
    </row>
    <row r="360" spans="1:19" x14ac:dyDescent="0.2">
      <c r="A360" s="1"/>
      <c r="B360" s="13">
        <v>45194</v>
      </c>
      <c r="C360" s="14">
        <v>396.42</v>
      </c>
      <c r="D360" s="15">
        <v>193006</v>
      </c>
      <c r="E360" s="14">
        <v>385.13</v>
      </c>
      <c r="F360" s="14">
        <v>399.77</v>
      </c>
      <c r="G360" s="16">
        <v>385.13</v>
      </c>
      <c r="H360" s="69">
        <f t="shared" ref="H360:H423" si="21">C360/C361-1</f>
        <v>2.5374408318460384E-2</v>
      </c>
      <c r="M360" s="225"/>
      <c r="N360" s="1319"/>
      <c r="O360" s="1319"/>
      <c r="P360" s="1319"/>
      <c r="Q360" s="35">
        <v>42843</v>
      </c>
      <c r="R360" s="36">
        <v>2.18E-2</v>
      </c>
      <c r="S360" s="37">
        <v>1.7100000000000001E-2</v>
      </c>
    </row>
    <row r="361" spans="1:19" x14ac:dyDescent="0.2">
      <c r="A361" s="1"/>
      <c r="B361" s="13">
        <v>45191</v>
      </c>
      <c r="C361" s="14">
        <v>386.61</v>
      </c>
      <c r="D361" s="15">
        <v>316811</v>
      </c>
      <c r="E361" s="14">
        <v>390.67</v>
      </c>
      <c r="F361" s="14">
        <v>392.83</v>
      </c>
      <c r="G361" s="16">
        <v>384.08</v>
      </c>
      <c r="H361" s="69">
        <f t="shared" si="21"/>
        <v>-8.8956111566856899E-3</v>
      </c>
      <c r="M361" s="225"/>
      <c r="N361" s="1319"/>
      <c r="O361" s="1319"/>
      <c r="P361" s="1319"/>
      <c r="Q361" s="35">
        <v>42844</v>
      </c>
      <c r="R361" s="36">
        <v>2.2099999999999998E-2</v>
      </c>
      <c r="S361" s="37">
        <v>1.7399999999999999E-2</v>
      </c>
    </row>
    <row r="362" spans="1:19" x14ac:dyDescent="0.2">
      <c r="A362" s="1"/>
      <c r="B362" s="13">
        <v>45190</v>
      </c>
      <c r="C362" s="14">
        <v>390.08</v>
      </c>
      <c r="D362" s="15">
        <v>339387</v>
      </c>
      <c r="E362" s="14">
        <v>388.98</v>
      </c>
      <c r="F362" s="14">
        <v>393.94</v>
      </c>
      <c r="G362" s="16">
        <v>384.16</v>
      </c>
      <c r="H362" s="69">
        <f t="shared" si="21"/>
        <v>-2.8629856850715951E-3</v>
      </c>
      <c r="M362" s="225"/>
      <c r="N362" s="1319"/>
      <c r="O362" s="1319"/>
      <c r="P362" s="1319"/>
      <c r="Q362" s="35">
        <v>42845</v>
      </c>
      <c r="R362" s="36">
        <v>2.2400000000000003E-2</v>
      </c>
      <c r="S362" s="37">
        <v>1.78E-2</v>
      </c>
    </row>
    <row r="363" spans="1:19" x14ac:dyDescent="0.2">
      <c r="A363" s="1"/>
      <c r="B363" s="13">
        <v>45189</v>
      </c>
      <c r="C363" s="14">
        <v>391.2</v>
      </c>
      <c r="D363" s="15">
        <v>384935</v>
      </c>
      <c r="E363" s="14">
        <v>399.25</v>
      </c>
      <c r="F363" s="14">
        <v>402.7</v>
      </c>
      <c r="G363" s="16">
        <v>390.81</v>
      </c>
      <c r="H363" s="69">
        <f t="shared" si="21"/>
        <v>-6.7032297379646666E-3</v>
      </c>
      <c r="M363" s="225"/>
      <c r="N363" s="1319"/>
      <c r="O363" s="1319"/>
      <c r="P363" s="1319"/>
      <c r="Q363" s="35">
        <v>42846</v>
      </c>
      <c r="R363" s="36">
        <v>2.2400000000000003E-2</v>
      </c>
      <c r="S363" s="37">
        <v>1.77E-2</v>
      </c>
    </row>
    <row r="364" spans="1:19" x14ac:dyDescent="0.2">
      <c r="A364" s="1"/>
      <c r="B364" s="13">
        <v>45188</v>
      </c>
      <c r="C364" s="14">
        <v>393.84</v>
      </c>
      <c r="D364" s="15">
        <v>332808</v>
      </c>
      <c r="E364" s="14">
        <v>399.3</v>
      </c>
      <c r="F364" s="14">
        <v>399.87</v>
      </c>
      <c r="G364" s="16">
        <v>387.86500000000001</v>
      </c>
      <c r="H364" s="69">
        <f t="shared" si="21"/>
        <v>-1.4932092744053493E-2</v>
      </c>
      <c r="M364" s="225"/>
      <c r="N364" s="1319"/>
      <c r="O364" s="1319"/>
      <c r="P364" s="1319"/>
      <c r="Q364" s="35">
        <v>42849</v>
      </c>
      <c r="R364" s="36">
        <v>2.2799999999999997E-2</v>
      </c>
      <c r="S364" s="37">
        <v>1.8100000000000002E-2</v>
      </c>
    </row>
    <row r="365" spans="1:19" x14ac:dyDescent="0.2">
      <c r="A365" s="1"/>
      <c r="B365" s="13">
        <v>45187</v>
      </c>
      <c r="C365" s="14">
        <v>399.81</v>
      </c>
      <c r="D365" s="15">
        <v>341020</v>
      </c>
      <c r="E365" s="14">
        <v>406.4</v>
      </c>
      <c r="F365" s="14">
        <v>410.32</v>
      </c>
      <c r="G365" s="16">
        <v>398.43</v>
      </c>
      <c r="H365" s="69">
        <f t="shared" si="21"/>
        <v>-1.7207049974189426E-2</v>
      </c>
      <c r="M365" s="225"/>
      <c r="N365" s="1319"/>
      <c r="O365" s="1319"/>
      <c r="P365" s="1319"/>
      <c r="Q365" s="35">
        <v>42850</v>
      </c>
      <c r="R365" s="36">
        <v>2.35E-2</v>
      </c>
      <c r="S365" s="37">
        <v>1.8700000000000001E-2</v>
      </c>
    </row>
    <row r="366" spans="1:19" x14ac:dyDescent="0.2">
      <c r="A366" s="1"/>
      <c r="B366" s="13">
        <v>45184</v>
      </c>
      <c r="C366" s="14">
        <v>406.81</v>
      </c>
      <c r="D366" s="15">
        <v>595008</v>
      </c>
      <c r="E366" s="14">
        <v>411.63</v>
      </c>
      <c r="F366" s="14">
        <v>412</v>
      </c>
      <c r="G366" s="16">
        <v>401.3</v>
      </c>
      <c r="H366" s="69">
        <f t="shared" si="21"/>
        <v>-1.5917172645685596E-2</v>
      </c>
      <c r="M366" s="225"/>
      <c r="N366" s="1319"/>
      <c r="O366" s="1319"/>
      <c r="P366" s="1319"/>
      <c r="Q366" s="35">
        <v>42851</v>
      </c>
      <c r="R366" s="36">
        <v>2.3199999999999998E-2</v>
      </c>
      <c r="S366" s="37">
        <v>1.84E-2</v>
      </c>
    </row>
    <row r="367" spans="1:19" x14ac:dyDescent="0.2">
      <c r="A367" s="1"/>
      <c r="B367" s="13">
        <v>45183</v>
      </c>
      <c r="C367" s="14">
        <v>413.39</v>
      </c>
      <c r="D367" s="15">
        <v>317375</v>
      </c>
      <c r="E367" s="14">
        <v>424.07</v>
      </c>
      <c r="F367" s="14">
        <v>428.94</v>
      </c>
      <c r="G367" s="16">
        <v>404.9033</v>
      </c>
      <c r="H367" s="69">
        <f t="shared" si="21"/>
        <v>-1.0957724238581767E-2</v>
      </c>
      <c r="M367" s="225"/>
      <c r="N367" s="1319"/>
      <c r="O367" s="1319"/>
      <c r="P367" s="1319"/>
      <c r="Q367" s="35">
        <v>42852</v>
      </c>
      <c r="R367" s="36">
        <v>2.3E-2</v>
      </c>
      <c r="S367" s="37">
        <v>1.8100000000000002E-2</v>
      </c>
    </row>
    <row r="368" spans="1:19" x14ac:dyDescent="0.2">
      <c r="A368" s="1"/>
      <c r="B368" s="13">
        <v>45182</v>
      </c>
      <c r="C368" s="14">
        <v>417.97</v>
      </c>
      <c r="D368" s="15">
        <v>218118</v>
      </c>
      <c r="E368" s="14">
        <v>421.35</v>
      </c>
      <c r="F368" s="14">
        <v>432.32</v>
      </c>
      <c r="G368" s="16">
        <v>416.81</v>
      </c>
      <c r="H368" s="69">
        <f t="shared" si="21"/>
        <v>-1.5359608000188429E-2</v>
      </c>
      <c r="M368" s="225"/>
      <c r="N368" s="1319"/>
      <c r="O368" s="1319"/>
      <c r="P368" s="1319"/>
      <c r="Q368" s="35">
        <v>42853</v>
      </c>
      <c r="R368" s="36">
        <v>2.29E-2</v>
      </c>
      <c r="S368" s="37">
        <v>1.8100000000000002E-2</v>
      </c>
    </row>
    <row r="369" spans="1:19" x14ac:dyDescent="0.2">
      <c r="A369" s="1"/>
      <c r="B369" s="13">
        <v>45181</v>
      </c>
      <c r="C369" s="14">
        <v>424.49</v>
      </c>
      <c r="D369" s="15">
        <v>184046</v>
      </c>
      <c r="E369" s="14">
        <v>424.48</v>
      </c>
      <c r="F369" s="14">
        <v>436.74</v>
      </c>
      <c r="G369" s="16">
        <v>423.685</v>
      </c>
      <c r="H369" s="69">
        <f t="shared" si="21"/>
        <v>-9.404461868757541E-3</v>
      </c>
      <c r="M369" s="225"/>
      <c r="N369" s="1319"/>
      <c r="O369" s="1319"/>
      <c r="P369" s="1319"/>
      <c r="Q369" s="35">
        <v>42856</v>
      </c>
      <c r="R369" s="36">
        <v>2.3300000000000001E-2</v>
      </c>
      <c r="S369" s="37">
        <v>1.84E-2</v>
      </c>
    </row>
    <row r="370" spans="1:19" x14ac:dyDescent="0.2">
      <c r="A370" s="1"/>
      <c r="B370" s="13">
        <v>45180</v>
      </c>
      <c r="C370" s="14">
        <v>428.52</v>
      </c>
      <c r="D370" s="15">
        <v>182607</v>
      </c>
      <c r="E370" s="14">
        <v>431.22</v>
      </c>
      <c r="F370" s="14">
        <v>435.38490000000002</v>
      </c>
      <c r="G370" s="16">
        <v>426.97</v>
      </c>
      <c r="H370" s="69">
        <f t="shared" si="21"/>
        <v>2.1046723726672045E-3</v>
      </c>
      <c r="M370" s="225"/>
      <c r="N370" s="1319"/>
      <c r="O370" s="1319"/>
      <c r="P370" s="1319"/>
      <c r="Q370" s="35">
        <v>42857</v>
      </c>
      <c r="R370" s="36">
        <v>2.29E-2</v>
      </c>
      <c r="S370" s="37">
        <v>1.8100000000000002E-2</v>
      </c>
    </row>
    <row r="371" spans="1:19" x14ac:dyDescent="0.2">
      <c r="A371" s="1"/>
      <c r="B371" s="13">
        <v>45177</v>
      </c>
      <c r="C371" s="14">
        <v>427.62</v>
      </c>
      <c r="D371" s="15">
        <v>266598</v>
      </c>
      <c r="E371" s="14">
        <v>438.04</v>
      </c>
      <c r="F371" s="14">
        <v>438.25</v>
      </c>
      <c r="G371" s="16">
        <v>425.42</v>
      </c>
      <c r="H371" s="69">
        <f t="shared" si="21"/>
        <v>-2.3787781937722574E-2</v>
      </c>
      <c r="M371" s="225"/>
      <c r="N371" s="1319"/>
      <c r="O371" s="1319"/>
      <c r="P371" s="1319"/>
      <c r="Q371" s="35">
        <v>42858</v>
      </c>
      <c r="R371" s="36">
        <v>2.3300000000000001E-2</v>
      </c>
      <c r="S371" s="37">
        <v>1.8600000000000002E-2</v>
      </c>
    </row>
    <row r="372" spans="1:19" x14ac:dyDescent="0.2">
      <c r="A372" s="1"/>
      <c r="B372" s="13">
        <v>45176</v>
      </c>
      <c r="C372" s="14">
        <v>438.04</v>
      </c>
      <c r="D372" s="15">
        <v>373949</v>
      </c>
      <c r="E372" s="14">
        <v>435.39</v>
      </c>
      <c r="F372" s="14">
        <v>440.44</v>
      </c>
      <c r="G372" s="16">
        <v>425.75</v>
      </c>
      <c r="H372" s="69">
        <f t="shared" si="21"/>
        <v>6.0864971634626563E-3</v>
      </c>
      <c r="M372" s="225"/>
      <c r="N372" s="1319"/>
      <c r="O372" s="1319"/>
      <c r="P372" s="1319"/>
      <c r="Q372" s="35">
        <v>42859</v>
      </c>
      <c r="R372" s="36">
        <v>2.3599999999999999E-2</v>
      </c>
      <c r="S372" s="37">
        <v>1.8799999999999997E-2</v>
      </c>
    </row>
    <row r="373" spans="1:19" x14ac:dyDescent="0.2">
      <c r="A373" s="1"/>
      <c r="B373" s="13">
        <v>45175</v>
      </c>
      <c r="C373" s="14">
        <v>435.39</v>
      </c>
      <c r="D373" s="15">
        <v>365423</v>
      </c>
      <c r="E373" s="14">
        <v>425.08</v>
      </c>
      <c r="F373" s="14">
        <v>438.14</v>
      </c>
      <c r="G373" s="16">
        <v>425.08</v>
      </c>
      <c r="H373" s="69">
        <f t="shared" si="21"/>
        <v>2.4326549817668353E-2</v>
      </c>
      <c r="M373" s="225"/>
      <c r="N373" s="1319"/>
      <c r="O373" s="1319"/>
      <c r="P373" s="1319"/>
      <c r="Q373" s="35">
        <v>42860</v>
      </c>
      <c r="R373" s="36">
        <v>2.3599999999999999E-2</v>
      </c>
      <c r="S373" s="37">
        <v>1.89E-2</v>
      </c>
    </row>
    <row r="374" spans="1:19" x14ac:dyDescent="0.2">
      <c r="A374" s="1"/>
      <c r="B374" s="13">
        <v>45174</v>
      </c>
      <c r="C374" s="14">
        <v>425.05</v>
      </c>
      <c r="D374" s="15">
        <v>302848</v>
      </c>
      <c r="E374" s="14">
        <v>434.12</v>
      </c>
      <c r="F374" s="14">
        <v>435.14</v>
      </c>
      <c r="G374" s="16">
        <v>419.95</v>
      </c>
      <c r="H374" s="69">
        <f t="shared" si="21"/>
        <v>-3.0849559943453841E-2</v>
      </c>
      <c r="M374" s="225"/>
      <c r="N374" s="1319"/>
      <c r="O374" s="1319"/>
      <c r="P374" s="1319"/>
      <c r="Q374" s="35">
        <v>42863</v>
      </c>
      <c r="R374" s="36">
        <v>2.3900000000000001E-2</v>
      </c>
      <c r="S374" s="37">
        <v>1.9099999999999999E-2</v>
      </c>
    </row>
    <row r="375" spans="1:19" x14ac:dyDescent="0.2">
      <c r="A375" s="1"/>
      <c r="B375" s="13">
        <v>45170</v>
      </c>
      <c r="C375" s="14">
        <v>438.58</v>
      </c>
      <c r="D375" s="15">
        <v>268196</v>
      </c>
      <c r="E375" s="14">
        <v>430.06</v>
      </c>
      <c r="F375" s="14">
        <v>439.4</v>
      </c>
      <c r="G375" s="16">
        <v>428.22500000000002</v>
      </c>
      <c r="H375" s="69">
        <f t="shared" si="21"/>
        <v>2.904739558892544E-2</v>
      </c>
      <c r="M375" s="225"/>
      <c r="N375" s="1319"/>
      <c r="O375" s="1319"/>
      <c r="P375" s="1319"/>
      <c r="Q375" s="35">
        <v>42864</v>
      </c>
      <c r="R375" s="36">
        <v>2.4199999999999999E-2</v>
      </c>
      <c r="S375" s="37">
        <v>1.9400000000000001E-2</v>
      </c>
    </row>
    <row r="376" spans="1:19" x14ac:dyDescent="0.2">
      <c r="A376" s="1"/>
      <c r="B376" s="13">
        <v>45169</v>
      </c>
      <c r="C376" s="14">
        <v>426.2</v>
      </c>
      <c r="D376" s="15">
        <v>341854</v>
      </c>
      <c r="E376" s="14">
        <v>421.86</v>
      </c>
      <c r="F376" s="14">
        <v>426.98</v>
      </c>
      <c r="G376" s="16">
        <v>416.94</v>
      </c>
      <c r="H376" s="69">
        <f t="shared" si="21"/>
        <v>6.5655849983468073E-3</v>
      </c>
      <c r="M376" s="225"/>
      <c r="N376" s="1319"/>
      <c r="O376" s="1319"/>
      <c r="P376" s="1319"/>
      <c r="Q376" s="35">
        <v>42865</v>
      </c>
      <c r="R376" s="36">
        <v>2.41E-2</v>
      </c>
      <c r="S376" s="37">
        <v>1.9400000000000001E-2</v>
      </c>
    </row>
    <row r="377" spans="1:19" x14ac:dyDescent="0.2">
      <c r="A377" s="1"/>
      <c r="B377" s="13">
        <v>45168</v>
      </c>
      <c r="C377" s="14">
        <v>423.42</v>
      </c>
      <c r="D377" s="15">
        <v>229567</v>
      </c>
      <c r="E377" s="14">
        <v>419.89</v>
      </c>
      <c r="F377" s="14">
        <v>425.4</v>
      </c>
      <c r="G377" s="16">
        <v>418.22</v>
      </c>
      <c r="H377" s="69">
        <f t="shared" si="21"/>
        <v>8.9596339894200128E-3</v>
      </c>
      <c r="M377" s="225"/>
      <c r="N377" s="1319"/>
      <c r="O377" s="1319"/>
      <c r="P377" s="1319"/>
      <c r="Q377" s="35">
        <v>42866</v>
      </c>
      <c r="R377" s="36">
        <v>2.3900000000000001E-2</v>
      </c>
      <c r="S377" s="37">
        <v>1.9299999999999998E-2</v>
      </c>
    </row>
    <row r="378" spans="1:19" x14ac:dyDescent="0.2">
      <c r="A378" s="1"/>
      <c r="B378" s="13">
        <v>45167</v>
      </c>
      <c r="C378" s="14">
        <v>419.66</v>
      </c>
      <c r="D378" s="15">
        <v>195471</v>
      </c>
      <c r="E378" s="14">
        <v>411.95</v>
      </c>
      <c r="F378" s="14">
        <v>424.2</v>
      </c>
      <c r="G378" s="16">
        <v>407.61</v>
      </c>
      <c r="H378" s="69">
        <f t="shared" si="21"/>
        <v>1.6421236194535949E-2</v>
      </c>
      <c r="M378" s="225"/>
      <c r="N378" s="1319"/>
      <c r="O378" s="1319"/>
      <c r="P378" s="1319"/>
      <c r="Q378" s="35">
        <v>42867</v>
      </c>
      <c r="R378" s="36">
        <v>2.3300000000000001E-2</v>
      </c>
      <c r="S378" s="37">
        <v>1.8500000000000003E-2</v>
      </c>
    </row>
    <row r="379" spans="1:19" x14ac:dyDescent="0.2">
      <c r="A379" s="1"/>
      <c r="B379" s="13">
        <v>45166</v>
      </c>
      <c r="C379" s="14">
        <v>412.88</v>
      </c>
      <c r="D379" s="15">
        <v>202428</v>
      </c>
      <c r="E379" s="14">
        <v>409.57</v>
      </c>
      <c r="F379" s="14">
        <v>422.69499999999999</v>
      </c>
      <c r="G379" s="16">
        <v>407.16</v>
      </c>
      <c r="H379" s="69">
        <f t="shared" si="21"/>
        <v>1.444717444717436E-2</v>
      </c>
      <c r="M379" s="225"/>
      <c r="N379" s="1319"/>
      <c r="O379" s="1319"/>
      <c r="P379" s="1319"/>
      <c r="Q379" s="35">
        <v>42870</v>
      </c>
      <c r="R379" s="36">
        <v>2.3399999999999997E-2</v>
      </c>
      <c r="S379" s="37">
        <v>1.8600000000000002E-2</v>
      </c>
    </row>
    <row r="380" spans="1:19" x14ac:dyDescent="0.2">
      <c r="A380" s="1"/>
      <c r="B380" s="13">
        <v>45163</v>
      </c>
      <c r="C380" s="14">
        <v>407</v>
      </c>
      <c r="D380" s="15">
        <v>253415</v>
      </c>
      <c r="E380" s="14">
        <v>415.46</v>
      </c>
      <c r="F380" s="14">
        <v>417.03</v>
      </c>
      <c r="G380" s="16">
        <v>398.41</v>
      </c>
      <c r="H380" s="69">
        <f t="shared" si="21"/>
        <v>-1.4408524034386749E-2</v>
      </c>
      <c r="M380" s="225"/>
      <c r="N380" s="1319"/>
      <c r="O380" s="1319"/>
      <c r="P380" s="1319"/>
      <c r="Q380" s="35">
        <v>42871</v>
      </c>
      <c r="R380" s="36">
        <v>2.3300000000000001E-2</v>
      </c>
      <c r="S380" s="37">
        <v>1.8600000000000002E-2</v>
      </c>
    </row>
    <row r="381" spans="1:19" x14ac:dyDescent="0.2">
      <c r="A381" s="1"/>
      <c r="B381" s="13">
        <v>45162</v>
      </c>
      <c r="C381" s="14">
        <v>412.95</v>
      </c>
      <c r="D381" s="15">
        <v>114794</v>
      </c>
      <c r="E381" s="14">
        <v>420.51</v>
      </c>
      <c r="F381" s="14">
        <v>420.51</v>
      </c>
      <c r="G381" s="16">
        <v>412.56</v>
      </c>
      <c r="H381" s="69">
        <f t="shared" si="21"/>
        <v>-1.6481291828423172E-2</v>
      </c>
      <c r="M381" s="225"/>
      <c r="N381" s="1319"/>
      <c r="O381" s="1319"/>
      <c r="P381" s="1319"/>
      <c r="Q381" s="35">
        <v>42872</v>
      </c>
      <c r="R381" s="36">
        <v>2.2200000000000001E-2</v>
      </c>
      <c r="S381" s="37">
        <v>1.7600000000000001E-2</v>
      </c>
    </row>
    <row r="382" spans="1:19" x14ac:dyDescent="0.2">
      <c r="A382" s="1"/>
      <c r="B382" s="13">
        <v>45161</v>
      </c>
      <c r="C382" s="14">
        <v>419.87</v>
      </c>
      <c r="D382" s="15">
        <v>163329</v>
      </c>
      <c r="E382" s="14">
        <v>409.25</v>
      </c>
      <c r="F382" s="14">
        <v>419.89</v>
      </c>
      <c r="G382" s="16">
        <v>404.66</v>
      </c>
      <c r="H382" s="69">
        <f t="shared" si="21"/>
        <v>2.5548960699543155E-2</v>
      </c>
      <c r="M382" s="225"/>
      <c r="N382" s="1319"/>
      <c r="O382" s="1319"/>
      <c r="P382" s="1319"/>
      <c r="Q382" s="35">
        <v>42873</v>
      </c>
      <c r="R382" s="36">
        <v>2.23E-2</v>
      </c>
      <c r="S382" s="37">
        <v>1.78E-2</v>
      </c>
    </row>
    <row r="383" spans="1:19" x14ac:dyDescent="0.2">
      <c r="A383" s="1"/>
      <c r="B383" s="13">
        <v>45160</v>
      </c>
      <c r="C383" s="14">
        <v>409.41</v>
      </c>
      <c r="D383" s="15">
        <v>176747</v>
      </c>
      <c r="E383" s="14">
        <v>407.67</v>
      </c>
      <c r="F383" s="14">
        <v>412.61</v>
      </c>
      <c r="G383" s="16">
        <v>403.02</v>
      </c>
      <c r="H383" s="69">
        <f t="shared" si="21"/>
        <v>3.8495488426835145E-3</v>
      </c>
      <c r="M383" s="225"/>
      <c r="N383" s="1319"/>
      <c r="O383" s="1319"/>
      <c r="P383" s="1319"/>
      <c r="Q383" s="35">
        <v>42874</v>
      </c>
      <c r="R383" s="36">
        <v>2.23E-2</v>
      </c>
      <c r="S383" s="37">
        <v>1.7899999999999999E-2</v>
      </c>
    </row>
    <row r="384" spans="1:19" x14ac:dyDescent="0.2">
      <c r="A384" s="1"/>
      <c r="B384" s="13">
        <v>45159</v>
      </c>
      <c r="C384" s="14">
        <v>407.84</v>
      </c>
      <c r="D384" s="15">
        <v>259018</v>
      </c>
      <c r="E384" s="14">
        <v>405.79</v>
      </c>
      <c r="F384" s="14">
        <v>415.73</v>
      </c>
      <c r="G384" s="16">
        <v>402.34500000000003</v>
      </c>
      <c r="H384" s="69">
        <f t="shared" si="21"/>
        <v>6.5401416619363939E-3</v>
      </c>
      <c r="M384" s="225"/>
      <c r="N384" s="1319"/>
      <c r="O384" s="1319"/>
      <c r="P384" s="1319"/>
      <c r="Q384" s="35">
        <v>42877</v>
      </c>
      <c r="R384" s="36">
        <v>2.2499999999999999E-2</v>
      </c>
      <c r="S384" s="37">
        <v>1.8000000000000002E-2</v>
      </c>
    </row>
    <row r="385" spans="1:19" x14ac:dyDescent="0.2">
      <c r="A385" s="1"/>
      <c r="B385" s="13">
        <v>45156</v>
      </c>
      <c r="C385" s="14">
        <v>405.19</v>
      </c>
      <c r="D385" s="15">
        <v>612730</v>
      </c>
      <c r="E385" s="14">
        <v>400.58</v>
      </c>
      <c r="F385" s="14">
        <v>408.58</v>
      </c>
      <c r="G385" s="16">
        <v>392.89</v>
      </c>
      <c r="H385" s="69">
        <f t="shared" si="21"/>
        <v>3.6411374219755821E-3</v>
      </c>
      <c r="M385" s="225"/>
      <c r="N385" s="1319"/>
      <c r="O385" s="1319"/>
      <c r="P385" s="1319"/>
      <c r="Q385" s="35">
        <v>42878</v>
      </c>
      <c r="R385" s="36">
        <v>2.29E-2</v>
      </c>
      <c r="S385" s="37">
        <v>1.84E-2</v>
      </c>
    </row>
    <row r="386" spans="1:19" x14ac:dyDescent="0.2">
      <c r="A386" s="1"/>
      <c r="B386" s="13">
        <v>45155</v>
      </c>
      <c r="C386" s="14">
        <v>403.72</v>
      </c>
      <c r="D386" s="15">
        <v>413915</v>
      </c>
      <c r="E386" s="14">
        <v>420.92</v>
      </c>
      <c r="F386" s="14">
        <v>424.56</v>
      </c>
      <c r="G386" s="16">
        <v>402.92</v>
      </c>
      <c r="H386" s="69">
        <f t="shared" si="21"/>
        <v>-4.2455291494710834E-2</v>
      </c>
      <c r="M386" s="225"/>
      <c r="N386" s="1319"/>
      <c r="O386" s="1319"/>
      <c r="P386" s="1319"/>
      <c r="Q386" s="35">
        <v>42879</v>
      </c>
      <c r="R386" s="36">
        <v>2.2599999999999999E-2</v>
      </c>
      <c r="S386" s="37">
        <v>1.7899999999999999E-2</v>
      </c>
    </row>
    <row r="387" spans="1:19" x14ac:dyDescent="0.2">
      <c r="A387" s="1"/>
      <c r="B387" s="13">
        <v>45154</v>
      </c>
      <c r="C387" s="14">
        <v>421.62</v>
      </c>
      <c r="D387" s="15">
        <v>396120</v>
      </c>
      <c r="E387" s="14">
        <v>430.75</v>
      </c>
      <c r="F387" s="14">
        <v>443.85</v>
      </c>
      <c r="G387" s="16">
        <v>421.39</v>
      </c>
      <c r="H387" s="69">
        <f t="shared" si="21"/>
        <v>2.6873409593568542E-3</v>
      </c>
      <c r="M387" s="225"/>
      <c r="N387" s="1319"/>
      <c r="O387" s="1319"/>
      <c r="P387" s="1319"/>
      <c r="Q387" s="35">
        <v>42880</v>
      </c>
      <c r="R387" s="36">
        <v>2.2499999999999999E-2</v>
      </c>
      <c r="S387" s="37">
        <v>1.78E-2</v>
      </c>
    </row>
    <row r="388" spans="1:19" x14ac:dyDescent="0.2">
      <c r="A388" s="1"/>
      <c r="B388" s="13">
        <v>45153</v>
      </c>
      <c r="C388" s="14">
        <v>420.49</v>
      </c>
      <c r="D388" s="15">
        <v>288877</v>
      </c>
      <c r="E388" s="14">
        <v>426.07</v>
      </c>
      <c r="F388" s="14">
        <v>431.09</v>
      </c>
      <c r="G388" s="16">
        <v>418.51</v>
      </c>
      <c r="H388" s="69">
        <f t="shared" si="21"/>
        <v>-1.3096439552186201E-2</v>
      </c>
      <c r="M388" s="225"/>
      <c r="N388" s="1319"/>
      <c r="O388" s="1319"/>
      <c r="P388" s="1319"/>
      <c r="Q388" s="35">
        <v>42881</v>
      </c>
      <c r="R388" s="36">
        <v>2.2499999999999999E-2</v>
      </c>
      <c r="S388" s="37">
        <v>1.7899999999999999E-2</v>
      </c>
    </row>
    <row r="389" spans="1:19" x14ac:dyDescent="0.2">
      <c r="A389" s="1"/>
      <c r="B389" s="13">
        <v>45152</v>
      </c>
      <c r="C389" s="14">
        <v>426.07</v>
      </c>
      <c r="D389" s="15">
        <v>211047</v>
      </c>
      <c r="E389" s="14">
        <v>422.13</v>
      </c>
      <c r="F389" s="14">
        <v>429.78699999999998</v>
      </c>
      <c r="G389" s="16">
        <v>417.08</v>
      </c>
      <c r="H389" s="69">
        <f t="shared" si="21"/>
        <v>3.7930547048015129E-3</v>
      </c>
      <c r="M389" s="225"/>
      <c r="N389" s="1319"/>
      <c r="O389" s="1319"/>
      <c r="P389" s="1319"/>
      <c r="Q389" s="35">
        <v>42885</v>
      </c>
      <c r="R389" s="36">
        <v>2.2099999999999998E-2</v>
      </c>
      <c r="S389" s="37">
        <v>1.7600000000000001E-2</v>
      </c>
    </row>
    <row r="390" spans="1:19" x14ac:dyDescent="0.2">
      <c r="A390" s="1"/>
      <c r="B390" s="13">
        <v>45149</v>
      </c>
      <c r="C390" s="14">
        <v>424.46</v>
      </c>
      <c r="D390" s="15">
        <v>191422</v>
      </c>
      <c r="E390" s="14">
        <v>419.72</v>
      </c>
      <c r="F390" s="14">
        <v>425.12</v>
      </c>
      <c r="G390" s="16">
        <v>417.84</v>
      </c>
      <c r="H390" s="69">
        <f t="shared" si="21"/>
        <v>3.2617944596766701E-3</v>
      </c>
      <c r="M390" s="225"/>
      <c r="N390" s="1319"/>
      <c r="O390" s="1319"/>
      <c r="P390" s="1319"/>
      <c r="Q390" s="35">
        <v>42886</v>
      </c>
      <c r="R390" s="36">
        <v>2.2099999999999998E-2</v>
      </c>
      <c r="S390" s="37">
        <v>1.7500000000000002E-2</v>
      </c>
    </row>
    <row r="391" spans="1:19" x14ac:dyDescent="0.2">
      <c r="A391" s="1"/>
      <c r="B391" s="13">
        <v>45148</v>
      </c>
      <c r="C391" s="14">
        <v>423.08</v>
      </c>
      <c r="D391" s="15">
        <v>253484</v>
      </c>
      <c r="E391" s="14">
        <v>416.94</v>
      </c>
      <c r="F391" s="14">
        <v>426.7</v>
      </c>
      <c r="G391" s="16">
        <v>416.94</v>
      </c>
      <c r="H391" s="69">
        <f t="shared" si="21"/>
        <v>1.5067178502879086E-2</v>
      </c>
      <c r="M391" s="225"/>
      <c r="N391" s="1319"/>
      <c r="O391" s="1319"/>
      <c r="P391" s="1319"/>
      <c r="Q391" s="35">
        <v>42887</v>
      </c>
      <c r="R391" s="36">
        <v>2.2099999999999998E-2</v>
      </c>
      <c r="S391" s="37">
        <v>1.7600000000000001E-2</v>
      </c>
    </row>
    <row r="392" spans="1:19" x14ac:dyDescent="0.2">
      <c r="A392" s="1"/>
      <c r="B392" s="13">
        <v>45147</v>
      </c>
      <c r="C392" s="14">
        <v>416.8</v>
      </c>
      <c r="D392" s="15">
        <v>267446</v>
      </c>
      <c r="E392" s="14">
        <v>423.18</v>
      </c>
      <c r="F392" s="14">
        <v>427.01499999999999</v>
      </c>
      <c r="G392" s="16">
        <v>415.61</v>
      </c>
      <c r="H392" s="69">
        <f t="shared" si="21"/>
        <v>-2.0055016105141821E-2</v>
      </c>
      <c r="M392" s="225"/>
      <c r="N392" s="1319"/>
      <c r="O392" s="1319"/>
      <c r="P392" s="1319"/>
      <c r="Q392" s="35">
        <v>42888</v>
      </c>
      <c r="R392" s="36">
        <v>2.1499999999999998E-2</v>
      </c>
      <c r="S392" s="37">
        <v>1.7100000000000001E-2</v>
      </c>
    </row>
    <row r="393" spans="1:19" x14ac:dyDescent="0.2">
      <c r="A393" s="1"/>
      <c r="B393" s="13">
        <v>45146</v>
      </c>
      <c r="C393" s="14">
        <v>425.33</v>
      </c>
      <c r="D393" s="15">
        <v>315524</v>
      </c>
      <c r="E393" s="14">
        <v>424.5</v>
      </c>
      <c r="F393" s="14">
        <v>428.24</v>
      </c>
      <c r="G393" s="16">
        <v>421.62</v>
      </c>
      <c r="H393" s="69">
        <f t="shared" si="21"/>
        <v>-8.6934228313056972E-3</v>
      </c>
      <c r="M393" s="225"/>
      <c r="N393" s="1319"/>
      <c r="O393" s="1319"/>
      <c r="P393" s="1319"/>
      <c r="Q393" s="35">
        <v>42891</v>
      </c>
      <c r="R393" s="36">
        <v>2.18E-2</v>
      </c>
      <c r="S393" s="37">
        <v>1.7399999999999999E-2</v>
      </c>
    </row>
    <row r="394" spans="1:19" x14ac:dyDescent="0.2">
      <c r="A394" s="1"/>
      <c r="B394" s="13">
        <v>45145</v>
      </c>
      <c r="C394" s="14">
        <v>429.06</v>
      </c>
      <c r="D394" s="15">
        <v>325248</v>
      </c>
      <c r="E394" s="14">
        <v>429.71</v>
      </c>
      <c r="F394" s="14">
        <v>434.62</v>
      </c>
      <c r="G394" s="16">
        <v>419.18</v>
      </c>
      <c r="H394" s="69">
        <f t="shared" si="21"/>
        <v>1.1289980436985925E-2</v>
      </c>
      <c r="M394" s="225"/>
      <c r="N394" s="1319"/>
      <c r="O394" s="1319"/>
      <c r="P394" s="1319"/>
      <c r="Q394" s="35">
        <v>42892</v>
      </c>
      <c r="R394" s="36">
        <v>2.1400000000000002E-2</v>
      </c>
      <c r="S394" s="37">
        <v>1.7100000000000001E-2</v>
      </c>
    </row>
    <row r="395" spans="1:19" x14ac:dyDescent="0.2">
      <c r="A395" s="1"/>
      <c r="B395" s="13">
        <v>45142</v>
      </c>
      <c r="C395" s="14">
        <v>424.27</v>
      </c>
      <c r="D395" s="15">
        <v>274674</v>
      </c>
      <c r="E395" s="14">
        <v>425.09</v>
      </c>
      <c r="F395" s="14">
        <v>434.16</v>
      </c>
      <c r="G395" s="16">
        <v>419.26</v>
      </c>
      <c r="H395" s="69">
        <f t="shared" si="21"/>
        <v>-3.3591731266150449E-3</v>
      </c>
      <c r="M395" s="225"/>
      <c r="N395" s="1319"/>
      <c r="O395" s="1319"/>
      <c r="P395" s="1319"/>
      <c r="Q395" s="35">
        <v>42893</v>
      </c>
      <c r="R395" s="36">
        <v>2.18E-2</v>
      </c>
      <c r="S395" s="37">
        <v>1.7399999999999999E-2</v>
      </c>
    </row>
    <row r="396" spans="1:19" x14ac:dyDescent="0.2">
      <c r="A396" s="1"/>
      <c r="B396" s="13">
        <v>45141</v>
      </c>
      <c r="C396" s="14">
        <v>425.7</v>
      </c>
      <c r="D396" s="15">
        <v>273166</v>
      </c>
      <c r="E396" s="14">
        <v>420.32</v>
      </c>
      <c r="F396" s="14">
        <v>432.29</v>
      </c>
      <c r="G396" s="16">
        <v>420.01</v>
      </c>
      <c r="H396" s="69">
        <f t="shared" si="21"/>
        <v>1.3407663538211878E-3</v>
      </c>
      <c r="M396" s="225"/>
      <c r="N396" s="1319"/>
      <c r="O396" s="1319"/>
      <c r="P396" s="1319"/>
      <c r="Q396" s="35">
        <v>42894</v>
      </c>
      <c r="R396" s="36">
        <v>2.1899999999999999E-2</v>
      </c>
      <c r="S396" s="37">
        <v>1.7500000000000002E-2</v>
      </c>
    </row>
    <row r="397" spans="1:19" x14ac:dyDescent="0.2">
      <c r="A397" s="1"/>
      <c r="B397" s="13">
        <v>45140</v>
      </c>
      <c r="C397" s="14">
        <v>425.13</v>
      </c>
      <c r="D397" s="15">
        <v>262829</v>
      </c>
      <c r="E397" s="14">
        <v>419.48</v>
      </c>
      <c r="F397" s="14">
        <v>430.07</v>
      </c>
      <c r="G397" s="16">
        <v>418.96</v>
      </c>
      <c r="H397" s="69">
        <f t="shared" si="21"/>
        <v>-8.6956521739134374E-4</v>
      </c>
      <c r="M397" s="225"/>
      <c r="N397" s="1319"/>
      <c r="O397" s="1319"/>
      <c r="P397" s="1319"/>
      <c r="Q397" s="35">
        <v>42895</v>
      </c>
      <c r="R397" s="36">
        <v>2.2099999999999998E-2</v>
      </c>
      <c r="S397" s="37">
        <v>1.77E-2</v>
      </c>
    </row>
    <row r="398" spans="1:19" x14ac:dyDescent="0.2">
      <c r="A398" s="1"/>
      <c r="B398" s="13">
        <v>45139</v>
      </c>
      <c r="C398" s="14">
        <v>425.5</v>
      </c>
      <c r="D398" s="15">
        <v>972123</v>
      </c>
      <c r="E398" s="14">
        <v>421.69</v>
      </c>
      <c r="F398" s="14">
        <v>437.63</v>
      </c>
      <c r="G398" s="16">
        <v>407.54500000000002</v>
      </c>
      <c r="H398" s="69">
        <f t="shared" si="21"/>
        <v>5.5773502859572943E-3</v>
      </c>
      <c r="M398" s="225"/>
      <c r="N398" s="1319"/>
      <c r="O398" s="1319"/>
      <c r="P398" s="1319"/>
      <c r="Q398" s="35">
        <v>42898</v>
      </c>
      <c r="R398" s="36">
        <v>2.2099999999999998E-2</v>
      </c>
      <c r="S398" s="37">
        <v>1.78E-2</v>
      </c>
    </row>
    <row r="399" spans="1:19" x14ac:dyDescent="0.2">
      <c r="A399" s="1"/>
      <c r="B399" s="13">
        <v>45138</v>
      </c>
      <c r="C399" s="14">
        <v>423.14</v>
      </c>
      <c r="D399" s="15">
        <v>705501</v>
      </c>
      <c r="E399" s="14">
        <v>432.75</v>
      </c>
      <c r="F399" s="14">
        <v>436.5</v>
      </c>
      <c r="G399" s="16">
        <v>418.43</v>
      </c>
      <c r="H399" s="69">
        <f t="shared" si="21"/>
        <v>-6.4570663786424065E-3</v>
      </c>
      <c r="M399" s="225"/>
      <c r="N399" s="1319"/>
      <c r="O399" s="1319"/>
      <c r="P399" s="1319"/>
      <c r="Q399" s="35">
        <v>42899</v>
      </c>
      <c r="R399" s="36">
        <v>2.2099999999999998E-2</v>
      </c>
      <c r="S399" s="37">
        <v>1.7899999999999999E-2</v>
      </c>
    </row>
    <row r="400" spans="1:19" x14ac:dyDescent="0.2">
      <c r="A400" s="1"/>
      <c r="B400" s="13">
        <v>45135</v>
      </c>
      <c r="C400" s="14">
        <v>425.89</v>
      </c>
      <c r="D400" s="15">
        <v>1068016</v>
      </c>
      <c r="E400" s="14">
        <v>417.5</v>
      </c>
      <c r="F400" s="14">
        <v>431.99</v>
      </c>
      <c r="G400" s="16">
        <v>409.91</v>
      </c>
      <c r="H400" s="69">
        <f t="shared" si="21"/>
        <v>3.6707967186777379E-2</v>
      </c>
      <c r="M400" s="225"/>
      <c r="N400" s="1319"/>
      <c r="O400" s="1319"/>
      <c r="P400" s="1319"/>
      <c r="Q400" s="35">
        <v>42900</v>
      </c>
      <c r="R400" s="36">
        <v>2.1499999999999998E-2</v>
      </c>
      <c r="S400" s="37">
        <v>1.7399999999999999E-2</v>
      </c>
    </row>
    <row r="401" spans="1:19" x14ac:dyDescent="0.2">
      <c r="A401" s="1"/>
      <c r="B401" s="13">
        <v>45134</v>
      </c>
      <c r="C401" s="14">
        <v>410.81</v>
      </c>
      <c r="D401" s="15">
        <v>492894</v>
      </c>
      <c r="E401" s="14">
        <v>423.73</v>
      </c>
      <c r="F401" s="14">
        <v>423.73</v>
      </c>
      <c r="G401" s="16">
        <v>408.54</v>
      </c>
      <c r="H401" s="69">
        <f t="shared" si="21"/>
        <v>-1.76474808101581E-2</v>
      </c>
      <c r="M401" s="225"/>
      <c r="N401" s="1319"/>
      <c r="O401" s="1319"/>
      <c r="P401" s="1319"/>
      <c r="Q401" s="35">
        <v>42901</v>
      </c>
      <c r="R401" s="36">
        <v>2.1600000000000001E-2</v>
      </c>
      <c r="S401" s="37">
        <v>1.7600000000000001E-2</v>
      </c>
    </row>
    <row r="402" spans="1:19" x14ac:dyDescent="0.2">
      <c r="A402" s="1"/>
      <c r="B402" s="13">
        <v>45133</v>
      </c>
      <c r="C402" s="14">
        <v>418.19</v>
      </c>
      <c r="D402" s="15">
        <v>747673</v>
      </c>
      <c r="E402" s="14">
        <v>395.76</v>
      </c>
      <c r="F402" s="14">
        <v>419.755</v>
      </c>
      <c r="G402" s="16">
        <v>395.76</v>
      </c>
      <c r="H402" s="69">
        <f t="shared" si="21"/>
        <v>5.4384549442791474E-2</v>
      </c>
      <c r="M402" s="225"/>
      <c r="N402" s="1319"/>
      <c r="O402" s="1319"/>
      <c r="P402" s="1319"/>
      <c r="Q402" s="35">
        <v>42902</v>
      </c>
      <c r="R402" s="36">
        <v>2.1600000000000001E-2</v>
      </c>
      <c r="S402" s="37">
        <v>1.7500000000000002E-2</v>
      </c>
    </row>
    <row r="403" spans="1:19" x14ac:dyDescent="0.2">
      <c r="A403" s="1"/>
      <c r="B403" s="13">
        <v>45132</v>
      </c>
      <c r="C403" s="14">
        <v>396.62</v>
      </c>
      <c r="D403" s="15">
        <v>442285</v>
      </c>
      <c r="E403" s="14">
        <v>395.52</v>
      </c>
      <c r="F403" s="14">
        <v>406.83</v>
      </c>
      <c r="G403" s="16">
        <v>395.43</v>
      </c>
      <c r="H403" s="69">
        <f t="shared" si="21"/>
        <v>1.0086237329165471E-4</v>
      </c>
      <c r="M403" s="225"/>
      <c r="N403" s="1319"/>
      <c r="O403" s="1319"/>
      <c r="P403" s="1319"/>
      <c r="Q403" s="35">
        <v>42905</v>
      </c>
      <c r="R403" s="36">
        <v>2.1899999999999999E-2</v>
      </c>
      <c r="S403" s="37">
        <v>1.8000000000000002E-2</v>
      </c>
    </row>
    <row r="404" spans="1:19" x14ac:dyDescent="0.2">
      <c r="A404" s="1"/>
      <c r="B404" s="13">
        <v>45131</v>
      </c>
      <c r="C404" s="14">
        <v>396.58</v>
      </c>
      <c r="D404" s="15">
        <v>593957</v>
      </c>
      <c r="E404" s="14">
        <v>383.39</v>
      </c>
      <c r="F404" s="14">
        <v>399.68</v>
      </c>
      <c r="G404" s="16">
        <v>378.55</v>
      </c>
      <c r="H404" s="69">
        <f t="shared" si="21"/>
        <v>-1.5246324990067617E-2</v>
      </c>
      <c r="M404" s="225"/>
      <c r="N404" s="1319"/>
      <c r="O404" s="1319"/>
      <c r="P404" s="1319"/>
      <c r="Q404" s="35">
        <v>42906</v>
      </c>
      <c r="R404" s="36">
        <v>2.1600000000000001E-2</v>
      </c>
      <c r="S404" s="37">
        <v>1.77E-2</v>
      </c>
    </row>
    <row r="405" spans="1:19" x14ac:dyDescent="0.2">
      <c r="A405" s="1"/>
      <c r="B405" s="13">
        <v>45128</v>
      </c>
      <c r="C405" s="14">
        <v>402.72</v>
      </c>
      <c r="D405" s="15">
        <v>820708</v>
      </c>
      <c r="E405" s="14">
        <v>409.74</v>
      </c>
      <c r="F405" s="14">
        <v>411.65</v>
      </c>
      <c r="G405" s="16">
        <v>396.49</v>
      </c>
      <c r="H405" s="69">
        <f t="shared" si="21"/>
        <v>-1.787586879648817E-2</v>
      </c>
      <c r="M405" s="225"/>
      <c r="N405" s="1319"/>
      <c r="O405" s="1319"/>
      <c r="P405" s="1319"/>
      <c r="Q405" s="35">
        <v>42907</v>
      </c>
      <c r="R405" s="36">
        <v>2.1600000000000001E-2</v>
      </c>
      <c r="S405" s="37">
        <v>1.78E-2</v>
      </c>
    </row>
    <row r="406" spans="1:19" x14ac:dyDescent="0.2">
      <c r="A406" s="1"/>
      <c r="B406" s="13">
        <v>45127</v>
      </c>
      <c r="C406" s="14">
        <v>410.05</v>
      </c>
      <c r="D406" s="15">
        <v>938975</v>
      </c>
      <c r="E406" s="14">
        <v>394.79</v>
      </c>
      <c r="F406" s="14">
        <v>410.42</v>
      </c>
      <c r="G406" s="16">
        <v>392.02</v>
      </c>
      <c r="H406" s="69">
        <f t="shared" si="21"/>
        <v>3.222152297042169E-2</v>
      </c>
      <c r="M406" s="225"/>
      <c r="N406" s="1319"/>
      <c r="O406" s="1319"/>
      <c r="P406" s="1319"/>
      <c r="Q406" s="35">
        <v>42908</v>
      </c>
      <c r="R406" s="36">
        <v>2.1499999999999998E-2</v>
      </c>
      <c r="S406" s="37">
        <v>1.7600000000000001E-2</v>
      </c>
    </row>
    <row r="407" spans="1:19" x14ac:dyDescent="0.2">
      <c r="A407" s="1"/>
      <c r="B407" s="13">
        <v>45126</v>
      </c>
      <c r="C407" s="14">
        <v>397.25</v>
      </c>
      <c r="D407" s="15">
        <v>705705</v>
      </c>
      <c r="E407" s="14">
        <v>382.35</v>
      </c>
      <c r="F407" s="14">
        <v>397.82</v>
      </c>
      <c r="G407" s="16">
        <v>382.35</v>
      </c>
      <c r="H407" s="69">
        <f t="shared" si="21"/>
        <v>3.9322903040133861E-2</v>
      </c>
      <c r="M407" s="225"/>
      <c r="N407" s="1319"/>
      <c r="O407" s="1319"/>
      <c r="P407" s="1319"/>
      <c r="Q407" s="35">
        <v>42909</v>
      </c>
      <c r="R407" s="36">
        <v>2.1499999999999998E-2</v>
      </c>
      <c r="S407" s="37">
        <v>1.77E-2</v>
      </c>
    </row>
    <row r="408" spans="1:19" x14ac:dyDescent="0.2">
      <c r="A408" s="1"/>
      <c r="B408" s="13">
        <v>45125</v>
      </c>
      <c r="C408" s="14">
        <v>382.22</v>
      </c>
      <c r="D408" s="15">
        <v>1014236</v>
      </c>
      <c r="E408" s="14">
        <v>386</v>
      </c>
      <c r="F408" s="14">
        <v>397.94</v>
      </c>
      <c r="G408" s="16">
        <v>381.44</v>
      </c>
      <c r="H408" s="69">
        <f t="shared" si="21"/>
        <v>3.1020716443677099E-2</v>
      </c>
      <c r="M408" s="225"/>
      <c r="N408" s="1319"/>
      <c r="O408" s="1319"/>
      <c r="P408" s="1319"/>
      <c r="Q408" s="35">
        <v>42912</v>
      </c>
      <c r="R408" s="36">
        <v>2.1400000000000002E-2</v>
      </c>
      <c r="S408" s="37">
        <v>1.77E-2</v>
      </c>
    </row>
    <row r="409" spans="1:19" x14ac:dyDescent="0.2">
      <c r="A409" s="1"/>
      <c r="B409" s="13">
        <v>45124</v>
      </c>
      <c r="C409" s="14">
        <v>370.72</v>
      </c>
      <c r="D409" s="15">
        <v>411426</v>
      </c>
      <c r="E409" s="14">
        <v>366.64</v>
      </c>
      <c r="F409" s="14">
        <v>371.97</v>
      </c>
      <c r="G409" s="16">
        <v>362.04500000000002</v>
      </c>
      <c r="H409" s="69">
        <f t="shared" si="21"/>
        <v>1.8181818181818299E-2</v>
      </c>
      <c r="M409" s="225"/>
      <c r="N409" s="1319"/>
      <c r="O409" s="1319"/>
      <c r="P409" s="1319"/>
      <c r="Q409" s="35">
        <v>42913</v>
      </c>
      <c r="R409" s="36">
        <v>2.2099999999999998E-2</v>
      </c>
      <c r="S409" s="37">
        <v>1.83E-2</v>
      </c>
    </row>
    <row r="410" spans="1:19" x14ac:dyDescent="0.2">
      <c r="A410" s="1"/>
      <c r="B410" s="13">
        <v>45121</v>
      </c>
      <c r="C410" s="14">
        <v>364.1</v>
      </c>
      <c r="D410" s="15">
        <v>435755</v>
      </c>
      <c r="E410" s="14">
        <v>367.16</v>
      </c>
      <c r="F410" s="14">
        <v>367.38</v>
      </c>
      <c r="G410" s="16">
        <v>359.28</v>
      </c>
      <c r="H410" s="69">
        <f t="shared" si="21"/>
        <v>2.6988323419256943E-3</v>
      </c>
      <c r="M410" s="225"/>
      <c r="N410" s="1319"/>
      <c r="O410" s="1319"/>
      <c r="P410" s="1319"/>
      <c r="Q410" s="35">
        <v>42914</v>
      </c>
      <c r="R410" s="36">
        <v>2.2200000000000001E-2</v>
      </c>
      <c r="S410" s="37">
        <v>1.8100000000000002E-2</v>
      </c>
    </row>
    <row r="411" spans="1:19" x14ac:dyDescent="0.2">
      <c r="A411" s="1"/>
      <c r="B411" s="13">
        <v>45120</v>
      </c>
      <c r="C411" s="14">
        <v>363.12</v>
      </c>
      <c r="D411" s="15">
        <v>348861</v>
      </c>
      <c r="E411" s="14">
        <v>360.94</v>
      </c>
      <c r="F411" s="14">
        <v>364.255</v>
      </c>
      <c r="G411" s="16">
        <v>356.65</v>
      </c>
      <c r="H411" s="69">
        <f t="shared" si="21"/>
        <v>1.574869227111253E-2</v>
      </c>
      <c r="M411" s="225"/>
      <c r="N411" s="1319"/>
      <c r="O411" s="1319"/>
      <c r="P411" s="1319"/>
      <c r="Q411" s="35">
        <v>42915</v>
      </c>
      <c r="R411" s="36">
        <v>2.2700000000000001E-2</v>
      </c>
      <c r="S411" s="37">
        <v>1.8500000000000003E-2</v>
      </c>
    </row>
    <row r="412" spans="1:19" x14ac:dyDescent="0.2">
      <c r="A412" s="1"/>
      <c r="B412" s="13">
        <v>45119</v>
      </c>
      <c r="C412" s="14">
        <v>357.49</v>
      </c>
      <c r="D412" s="15">
        <v>584086</v>
      </c>
      <c r="E412" s="14">
        <v>362.09</v>
      </c>
      <c r="F412" s="14">
        <v>363.37</v>
      </c>
      <c r="G412" s="16">
        <v>354.63</v>
      </c>
      <c r="H412" s="69">
        <f t="shared" si="21"/>
        <v>-3.8454036280547443E-3</v>
      </c>
      <c r="M412" s="225"/>
      <c r="N412" s="1319"/>
      <c r="O412" s="1319"/>
      <c r="P412" s="1319"/>
      <c r="Q412" s="35">
        <v>42916</v>
      </c>
      <c r="R412" s="36">
        <v>2.3099999999999999E-2</v>
      </c>
      <c r="S412" s="37">
        <v>1.89E-2</v>
      </c>
    </row>
    <row r="413" spans="1:19" x14ac:dyDescent="0.2">
      <c r="A413" s="1"/>
      <c r="B413" s="13">
        <v>45118</v>
      </c>
      <c r="C413" s="14">
        <v>358.87</v>
      </c>
      <c r="D413" s="15">
        <v>445630</v>
      </c>
      <c r="E413" s="14">
        <v>348.98</v>
      </c>
      <c r="F413" s="14">
        <v>359.15249999999997</v>
      </c>
      <c r="G413" s="16">
        <v>348.78500000000003</v>
      </c>
      <c r="H413" s="69">
        <f t="shared" si="21"/>
        <v>2.5489355622231757E-2</v>
      </c>
      <c r="M413" s="225"/>
      <c r="N413" s="1319"/>
      <c r="O413" s="1319"/>
      <c r="P413" s="1319"/>
      <c r="Q413" s="35">
        <v>42919</v>
      </c>
      <c r="R413" s="36">
        <v>2.35E-2</v>
      </c>
      <c r="S413" s="37">
        <v>1.9299999999999998E-2</v>
      </c>
    </row>
    <row r="414" spans="1:19" x14ac:dyDescent="0.2">
      <c r="A414" s="1"/>
      <c r="B414" s="13">
        <v>45117</v>
      </c>
      <c r="C414" s="14">
        <v>349.95</v>
      </c>
      <c r="D414" s="15">
        <v>334903</v>
      </c>
      <c r="E414" s="14">
        <v>346.82</v>
      </c>
      <c r="F414" s="14">
        <v>353.28</v>
      </c>
      <c r="G414" s="16">
        <v>344.35</v>
      </c>
      <c r="H414" s="69">
        <f t="shared" si="21"/>
        <v>8.7630797613211797E-3</v>
      </c>
      <c r="M414" s="225"/>
      <c r="N414" s="1319"/>
      <c r="O414" s="1319"/>
      <c r="P414" s="1319"/>
      <c r="Q414" s="35">
        <v>42921</v>
      </c>
      <c r="R414" s="36">
        <v>2.3300000000000001E-2</v>
      </c>
      <c r="S414" s="37">
        <v>1.9199999999999998E-2</v>
      </c>
    </row>
    <row r="415" spans="1:19" x14ac:dyDescent="0.2">
      <c r="A415" s="1"/>
      <c r="B415" s="13">
        <v>45114</v>
      </c>
      <c r="C415" s="14">
        <v>346.91</v>
      </c>
      <c r="D415" s="15">
        <v>589422</v>
      </c>
      <c r="E415" s="14">
        <v>339.96</v>
      </c>
      <c r="F415" s="14">
        <v>349.661</v>
      </c>
      <c r="G415" s="16">
        <v>339.96</v>
      </c>
      <c r="H415" s="69">
        <f t="shared" si="21"/>
        <v>3.4749149913499977E-2</v>
      </c>
      <c r="M415" s="225"/>
      <c r="N415" s="1319"/>
      <c r="O415" s="1319"/>
      <c r="P415" s="1319"/>
      <c r="Q415" s="35">
        <v>42922</v>
      </c>
      <c r="R415" s="36">
        <v>2.3700000000000002E-2</v>
      </c>
      <c r="S415" s="37">
        <v>1.9400000000000001E-2</v>
      </c>
    </row>
    <row r="416" spans="1:19" x14ac:dyDescent="0.2">
      <c r="A416" s="1"/>
      <c r="B416" s="13">
        <v>45113</v>
      </c>
      <c r="C416" s="14">
        <v>335.26</v>
      </c>
      <c r="D416" s="15">
        <v>378706</v>
      </c>
      <c r="E416" s="14">
        <v>331.32</v>
      </c>
      <c r="F416" s="14">
        <v>336.08</v>
      </c>
      <c r="G416" s="16">
        <v>331.23</v>
      </c>
      <c r="H416" s="69">
        <f t="shared" si="21"/>
        <v>-2.8849299586592991E-3</v>
      </c>
      <c r="M416" s="225"/>
      <c r="N416" s="1319"/>
      <c r="O416" s="1319"/>
      <c r="P416" s="1319"/>
      <c r="Q416" s="35">
        <v>42923</v>
      </c>
      <c r="R416" s="36">
        <v>2.3900000000000001E-2</v>
      </c>
      <c r="S416" s="37">
        <v>1.95E-2</v>
      </c>
    </row>
    <row r="417" spans="1:19" x14ac:dyDescent="0.2">
      <c r="A417" s="1"/>
      <c r="B417" s="13">
        <v>45112</v>
      </c>
      <c r="C417" s="14">
        <v>336.23</v>
      </c>
      <c r="D417" s="15">
        <v>269031</v>
      </c>
      <c r="E417" s="14">
        <v>338.53</v>
      </c>
      <c r="F417" s="14">
        <v>343.54</v>
      </c>
      <c r="G417" s="16">
        <v>332.125</v>
      </c>
      <c r="H417" s="69">
        <f t="shared" si="21"/>
        <v>-1.2047130726059896E-2</v>
      </c>
      <c r="M417" s="225"/>
      <c r="N417" s="1319"/>
      <c r="O417" s="1319"/>
      <c r="P417" s="1319"/>
      <c r="Q417" s="35">
        <v>42926</v>
      </c>
      <c r="R417" s="36">
        <v>2.3799999999999998E-2</v>
      </c>
      <c r="S417" s="37">
        <v>1.9299999999999998E-2</v>
      </c>
    </row>
    <row r="418" spans="1:19" x14ac:dyDescent="0.2">
      <c r="A418" s="1"/>
      <c r="B418" s="13">
        <v>45110</v>
      </c>
      <c r="C418" s="14">
        <v>340.33</v>
      </c>
      <c r="D418" s="15">
        <v>208613</v>
      </c>
      <c r="E418" s="14">
        <v>339.99</v>
      </c>
      <c r="F418" s="14">
        <v>344.33</v>
      </c>
      <c r="G418" s="16">
        <v>339.07</v>
      </c>
      <c r="H418" s="69">
        <f t="shared" si="21"/>
        <v>-6.0745889430801059E-3</v>
      </c>
      <c r="M418" s="225"/>
      <c r="N418" s="1319"/>
      <c r="O418" s="1319"/>
      <c r="P418" s="1319"/>
      <c r="Q418" s="35">
        <v>42927</v>
      </c>
      <c r="R418" s="36">
        <v>2.3700000000000002E-2</v>
      </c>
      <c r="S418" s="37">
        <v>1.9199999999999998E-2</v>
      </c>
    </row>
    <row r="419" spans="1:19" x14ac:dyDescent="0.2">
      <c r="A419" s="1"/>
      <c r="B419" s="13">
        <v>45107</v>
      </c>
      <c r="C419" s="14">
        <v>342.41</v>
      </c>
      <c r="D419" s="15">
        <v>587305</v>
      </c>
      <c r="E419" s="14">
        <v>347.68</v>
      </c>
      <c r="F419" s="14">
        <v>348.2251</v>
      </c>
      <c r="G419" s="16">
        <v>338.44499999999999</v>
      </c>
      <c r="H419" s="69">
        <f t="shared" si="21"/>
        <v>-1.2687062080101397E-2</v>
      </c>
      <c r="M419" s="225"/>
      <c r="N419" s="1319"/>
      <c r="O419" s="1319"/>
      <c r="P419" s="1319"/>
      <c r="Q419" s="35">
        <v>42928</v>
      </c>
      <c r="R419" s="36">
        <v>2.3300000000000001E-2</v>
      </c>
      <c r="S419" s="37">
        <v>1.8799999999999997E-2</v>
      </c>
    </row>
    <row r="420" spans="1:19" x14ac:dyDescent="0.2">
      <c r="A420" s="1"/>
      <c r="B420" s="13">
        <v>45106</v>
      </c>
      <c r="C420" s="14">
        <v>346.81</v>
      </c>
      <c r="D420" s="15">
        <v>329831</v>
      </c>
      <c r="E420" s="14">
        <v>345.94</v>
      </c>
      <c r="F420" s="14">
        <v>349.01</v>
      </c>
      <c r="G420" s="16">
        <v>339.94</v>
      </c>
      <c r="H420" s="69">
        <f t="shared" si="21"/>
        <v>7.1146474619583344E-3</v>
      </c>
      <c r="M420" s="225"/>
      <c r="N420" s="1319"/>
      <c r="O420" s="1319"/>
      <c r="P420" s="1319"/>
      <c r="Q420" s="35">
        <v>42929</v>
      </c>
      <c r="R420" s="36">
        <v>2.35E-2</v>
      </c>
      <c r="S420" s="37">
        <v>1.89E-2</v>
      </c>
    </row>
    <row r="421" spans="1:19" x14ac:dyDescent="0.2">
      <c r="A421" s="1"/>
      <c r="B421" s="13">
        <v>45105</v>
      </c>
      <c r="C421" s="14">
        <v>344.36</v>
      </c>
      <c r="D421" s="15">
        <v>610409</v>
      </c>
      <c r="E421" s="14">
        <v>343.73</v>
      </c>
      <c r="F421" s="14">
        <v>351.41</v>
      </c>
      <c r="G421" s="16">
        <v>342.32</v>
      </c>
      <c r="H421" s="69">
        <f t="shared" si="21"/>
        <v>4.111386499489722E-3</v>
      </c>
      <c r="M421" s="225"/>
      <c r="N421" s="1319"/>
      <c r="O421" s="1319"/>
      <c r="P421" s="1319"/>
      <c r="Q421" s="35">
        <v>42930</v>
      </c>
      <c r="R421" s="36">
        <v>2.3300000000000001E-2</v>
      </c>
      <c r="S421" s="37">
        <v>1.8700000000000001E-2</v>
      </c>
    </row>
    <row r="422" spans="1:19" x14ac:dyDescent="0.2">
      <c r="A422" s="1"/>
      <c r="B422" s="13">
        <v>45104</v>
      </c>
      <c r="C422" s="14">
        <v>342.95</v>
      </c>
      <c r="D422" s="15">
        <v>683262</v>
      </c>
      <c r="E422" s="14">
        <v>328.46</v>
      </c>
      <c r="F422" s="14">
        <v>345.87</v>
      </c>
      <c r="G422" s="16">
        <v>328.46</v>
      </c>
      <c r="H422" s="69">
        <f t="shared" si="21"/>
        <v>6.331193997457607E-2</v>
      </c>
      <c r="M422" s="225"/>
      <c r="N422" s="1319"/>
      <c r="O422" s="1319"/>
      <c r="P422" s="1319"/>
      <c r="Q422" s="35">
        <v>42933</v>
      </c>
      <c r="R422" s="36">
        <v>2.3099999999999999E-2</v>
      </c>
      <c r="S422" s="37">
        <v>1.8600000000000002E-2</v>
      </c>
    </row>
    <row r="423" spans="1:19" x14ac:dyDescent="0.2">
      <c r="A423" s="1"/>
      <c r="B423" s="13">
        <v>45103</v>
      </c>
      <c r="C423" s="14">
        <v>322.52999999999997</v>
      </c>
      <c r="D423" s="15">
        <v>432724</v>
      </c>
      <c r="E423" s="14">
        <v>314.58</v>
      </c>
      <c r="F423" s="14">
        <v>325.45</v>
      </c>
      <c r="G423" s="16">
        <v>313.52999999999997</v>
      </c>
      <c r="H423" s="69">
        <f t="shared" si="21"/>
        <v>3.1205038846436661E-2</v>
      </c>
      <c r="M423" s="225"/>
      <c r="N423" s="1319"/>
      <c r="O423" s="1319"/>
      <c r="P423" s="1319"/>
      <c r="Q423" s="35">
        <v>42934</v>
      </c>
      <c r="R423" s="36">
        <v>2.2700000000000001E-2</v>
      </c>
      <c r="S423" s="37">
        <v>1.8200000000000001E-2</v>
      </c>
    </row>
    <row r="424" spans="1:19" x14ac:dyDescent="0.2">
      <c r="A424" s="1"/>
      <c r="B424" s="13">
        <v>45100</v>
      </c>
      <c r="C424" s="14">
        <v>312.77</v>
      </c>
      <c r="D424" s="15">
        <v>3305555</v>
      </c>
      <c r="E424" s="14">
        <v>311.58999999999997</v>
      </c>
      <c r="F424" s="14">
        <v>319.125</v>
      </c>
      <c r="G424" s="16">
        <v>309.89</v>
      </c>
      <c r="H424" s="69">
        <f t="shared" ref="H424:H487" si="22">C424/C425-1</f>
        <v>-6.5432137979226646E-3</v>
      </c>
      <c r="M424" s="225"/>
      <c r="N424" s="1319"/>
      <c r="O424" s="1319"/>
      <c r="P424" s="1319"/>
      <c r="Q424" s="35">
        <v>42935</v>
      </c>
      <c r="R424" s="36">
        <v>2.2700000000000001E-2</v>
      </c>
      <c r="S424" s="37">
        <v>1.83E-2</v>
      </c>
    </row>
    <row r="425" spans="1:19" x14ac:dyDescent="0.2">
      <c r="A425" s="1"/>
      <c r="B425" s="13">
        <v>45099</v>
      </c>
      <c r="C425" s="14">
        <v>314.83</v>
      </c>
      <c r="D425" s="15">
        <v>503071</v>
      </c>
      <c r="E425" s="14">
        <v>310.14</v>
      </c>
      <c r="F425" s="14">
        <v>320.23</v>
      </c>
      <c r="G425" s="16">
        <v>307.14999999999998</v>
      </c>
      <c r="H425" s="69">
        <f t="shared" si="22"/>
        <v>9.0705128205128549E-3</v>
      </c>
      <c r="M425" s="225"/>
      <c r="N425" s="1319"/>
      <c r="O425" s="1319"/>
      <c r="P425" s="1319"/>
      <c r="Q425" s="35">
        <v>42936</v>
      </c>
      <c r="R425" s="36">
        <v>2.2700000000000001E-2</v>
      </c>
      <c r="S425" s="37">
        <v>1.8200000000000001E-2</v>
      </c>
    </row>
    <row r="426" spans="1:19" x14ac:dyDescent="0.2">
      <c r="A426" s="1"/>
      <c r="B426" s="13">
        <v>45098</v>
      </c>
      <c r="C426" s="14">
        <v>312</v>
      </c>
      <c r="D426" s="15">
        <v>362945</v>
      </c>
      <c r="E426" s="14">
        <v>305.62</v>
      </c>
      <c r="F426" s="14">
        <v>316.20999999999998</v>
      </c>
      <c r="G426" s="16">
        <v>302.35000000000002</v>
      </c>
      <c r="H426" s="69">
        <f t="shared" si="22"/>
        <v>1.7247562844380671E-2</v>
      </c>
      <c r="M426" s="225"/>
      <c r="N426" s="1319"/>
      <c r="O426" s="1319"/>
      <c r="P426" s="1319"/>
      <c r="Q426" s="35">
        <v>42937</v>
      </c>
      <c r="R426" s="36">
        <v>2.2400000000000003E-2</v>
      </c>
      <c r="S426" s="37">
        <v>1.8100000000000002E-2</v>
      </c>
    </row>
    <row r="427" spans="1:19" x14ac:dyDescent="0.2">
      <c r="A427" s="1"/>
      <c r="B427" s="13">
        <v>45097</v>
      </c>
      <c r="C427" s="14">
        <v>306.70999999999998</v>
      </c>
      <c r="D427" s="15">
        <v>498335</v>
      </c>
      <c r="E427" s="14">
        <v>312</v>
      </c>
      <c r="F427" s="14">
        <v>314.18</v>
      </c>
      <c r="G427" s="16">
        <v>305.66000000000003</v>
      </c>
      <c r="H427" s="69">
        <f t="shared" si="22"/>
        <v>-2.899927185234441E-2</v>
      </c>
      <c r="M427" s="225"/>
      <c r="N427" s="1319"/>
      <c r="O427" s="1319"/>
      <c r="P427" s="1319"/>
      <c r="Q427" s="35">
        <v>42940</v>
      </c>
      <c r="R427" s="36">
        <v>2.2599999999999999E-2</v>
      </c>
      <c r="S427" s="37">
        <v>1.83E-2</v>
      </c>
    </row>
    <row r="428" spans="1:19" x14ac:dyDescent="0.2">
      <c r="A428" s="1"/>
      <c r="B428" s="13">
        <v>45093</v>
      </c>
      <c r="C428" s="14">
        <v>315.87</v>
      </c>
      <c r="D428" s="15">
        <v>772403</v>
      </c>
      <c r="E428" s="14">
        <v>327.08999999999997</v>
      </c>
      <c r="F428" s="14">
        <v>330.87</v>
      </c>
      <c r="G428" s="16">
        <v>311.52999999999997</v>
      </c>
      <c r="H428" s="69">
        <f t="shared" si="22"/>
        <v>-1.2288930581613511E-2</v>
      </c>
      <c r="M428" s="225"/>
      <c r="N428" s="1319"/>
      <c r="O428" s="1319"/>
      <c r="P428" s="1319"/>
      <c r="Q428" s="35">
        <v>42941</v>
      </c>
      <c r="R428" s="36">
        <v>2.3300000000000001E-2</v>
      </c>
      <c r="S428" s="37">
        <v>1.9E-2</v>
      </c>
    </row>
    <row r="429" spans="1:19" x14ac:dyDescent="0.2">
      <c r="A429" s="1"/>
      <c r="B429" s="13">
        <v>45092</v>
      </c>
      <c r="C429" s="14">
        <v>319.8</v>
      </c>
      <c r="D429" s="15">
        <v>439341</v>
      </c>
      <c r="E429" s="14">
        <v>308.63</v>
      </c>
      <c r="F429" s="14">
        <v>319.83</v>
      </c>
      <c r="G429" s="16">
        <v>308.63</v>
      </c>
      <c r="H429" s="69">
        <f t="shared" si="22"/>
        <v>2.0584011488750553E-2</v>
      </c>
      <c r="M429" s="225"/>
      <c r="N429" s="1319"/>
      <c r="O429" s="1319"/>
      <c r="P429" s="1319"/>
      <c r="Q429" s="35">
        <v>42942</v>
      </c>
      <c r="R429" s="36">
        <v>2.29E-2</v>
      </c>
      <c r="S429" s="37">
        <v>1.83E-2</v>
      </c>
    </row>
    <row r="430" spans="1:19" x14ac:dyDescent="0.2">
      <c r="A430" s="1"/>
      <c r="B430" s="13">
        <v>45091</v>
      </c>
      <c r="C430" s="14">
        <v>313.35000000000002</v>
      </c>
      <c r="D430" s="15">
        <v>666241</v>
      </c>
      <c r="E430" s="14">
        <v>310.63</v>
      </c>
      <c r="F430" s="14">
        <v>319.20999999999998</v>
      </c>
      <c r="G430" s="16">
        <v>307.47809999999998</v>
      </c>
      <c r="H430" s="69">
        <f t="shared" si="22"/>
        <v>8.75639828735153E-3</v>
      </c>
      <c r="M430" s="225"/>
      <c r="N430" s="1319"/>
      <c r="O430" s="1319"/>
      <c r="P430" s="1319"/>
      <c r="Q430" s="35">
        <v>42943</v>
      </c>
      <c r="R430" s="36">
        <v>2.3199999999999998E-2</v>
      </c>
      <c r="S430" s="37">
        <v>1.84E-2</v>
      </c>
    </row>
    <row r="431" spans="1:19" x14ac:dyDescent="0.2">
      <c r="A431" s="1"/>
      <c r="B431" s="13">
        <v>45090</v>
      </c>
      <c r="C431" s="14">
        <v>310.63</v>
      </c>
      <c r="D431" s="15">
        <v>428496</v>
      </c>
      <c r="E431" s="14">
        <v>308.04000000000002</v>
      </c>
      <c r="F431" s="14">
        <v>312.79000000000002</v>
      </c>
      <c r="G431" s="16">
        <v>304.35000000000002</v>
      </c>
      <c r="H431" s="69">
        <f t="shared" si="22"/>
        <v>1.7658236142052086E-2</v>
      </c>
      <c r="M431" s="225"/>
      <c r="N431" s="1319"/>
      <c r="O431" s="1319"/>
      <c r="P431" s="1319"/>
      <c r="Q431" s="35">
        <v>42944</v>
      </c>
      <c r="R431" s="36">
        <v>2.3E-2</v>
      </c>
      <c r="S431" s="37">
        <v>1.83E-2</v>
      </c>
    </row>
    <row r="432" spans="1:19" x14ac:dyDescent="0.2">
      <c r="A432" s="1"/>
      <c r="B432" s="13">
        <v>45089</v>
      </c>
      <c r="C432" s="14">
        <v>305.24</v>
      </c>
      <c r="D432" s="15">
        <v>390388</v>
      </c>
      <c r="E432" s="14">
        <v>300.67</v>
      </c>
      <c r="F432" s="14">
        <v>306.23500000000001</v>
      </c>
      <c r="G432" s="16">
        <v>295.12</v>
      </c>
      <c r="H432" s="69">
        <f t="shared" si="22"/>
        <v>3.544896366905248E-2</v>
      </c>
      <c r="M432" s="225"/>
      <c r="N432" s="1319"/>
      <c r="O432" s="1319"/>
      <c r="P432" s="1319"/>
      <c r="Q432" s="35">
        <v>42947</v>
      </c>
      <c r="R432" s="36">
        <v>2.3E-2</v>
      </c>
      <c r="S432" s="37">
        <v>1.84E-2</v>
      </c>
    </row>
    <row r="433" spans="1:19" x14ac:dyDescent="0.2">
      <c r="A433" s="1"/>
      <c r="B433" s="13">
        <v>45086</v>
      </c>
      <c r="C433" s="14">
        <v>294.79000000000002</v>
      </c>
      <c r="D433" s="15">
        <v>387284</v>
      </c>
      <c r="E433" s="14">
        <v>302.83999999999997</v>
      </c>
      <c r="F433" s="14">
        <v>305.24</v>
      </c>
      <c r="G433" s="16">
        <v>292.66000000000003</v>
      </c>
      <c r="H433" s="69">
        <f t="shared" si="22"/>
        <v>-3.3380332491720566E-2</v>
      </c>
      <c r="M433" s="225"/>
      <c r="N433" s="1319"/>
      <c r="O433" s="1319"/>
      <c r="P433" s="1319"/>
      <c r="Q433" s="35">
        <v>42948</v>
      </c>
      <c r="R433" s="36">
        <v>2.2599999999999999E-2</v>
      </c>
      <c r="S433" s="37">
        <v>1.8000000000000002E-2</v>
      </c>
    </row>
    <row r="434" spans="1:19" x14ac:dyDescent="0.2">
      <c r="A434" s="1"/>
      <c r="B434" s="13">
        <v>45085</v>
      </c>
      <c r="C434" s="14">
        <v>304.97000000000003</v>
      </c>
      <c r="D434" s="15">
        <v>337105</v>
      </c>
      <c r="E434" s="14">
        <v>300.06</v>
      </c>
      <c r="F434" s="14">
        <v>308.98</v>
      </c>
      <c r="G434" s="16">
        <v>298.7</v>
      </c>
      <c r="H434" s="69">
        <f t="shared" si="22"/>
        <v>8.7655464408575856E-3</v>
      </c>
      <c r="M434" s="225"/>
      <c r="N434" s="1319"/>
      <c r="O434" s="1319"/>
      <c r="P434" s="1319"/>
      <c r="Q434" s="35">
        <v>42949</v>
      </c>
      <c r="R434" s="36">
        <v>2.2700000000000001E-2</v>
      </c>
      <c r="S434" s="37">
        <v>1.8200000000000001E-2</v>
      </c>
    </row>
    <row r="435" spans="1:19" x14ac:dyDescent="0.2">
      <c r="A435" s="1"/>
      <c r="B435" s="13">
        <v>45084</v>
      </c>
      <c r="C435" s="14">
        <v>302.32</v>
      </c>
      <c r="D435" s="15">
        <v>630035</v>
      </c>
      <c r="E435" s="14">
        <v>301.88</v>
      </c>
      <c r="F435" s="14">
        <v>308.31</v>
      </c>
      <c r="G435" s="16">
        <v>298.32</v>
      </c>
      <c r="H435" s="69">
        <f t="shared" si="22"/>
        <v>1.68980484410719E-3</v>
      </c>
      <c r="M435" s="225"/>
      <c r="N435" s="1319"/>
      <c r="O435" s="1319"/>
      <c r="P435" s="1319"/>
      <c r="Q435" s="35">
        <v>42950</v>
      </c>
      <c r="R435" s="36">
        <v>2.2400000000000003E-2</v>
      </c>
      <c r="S435" s="37">
        <v>1.7899999999999999E-2</v>
      </c>
    </row>
    <row r="436" spans="1:19" x14ac:dyDescent="0.2">
      <c r="A436" s="1"/>
      <c r="B436" s="13">
        <v>45083</v>
      </c>
      <c r="C436" s="14">
        <v>301.81</v>
      </c>
      <c r="D436" s="15">
        <v>294514</v>
      </c>
      <c r="E436" s="14">
        <v>292.69</v>
      </c>
      <c r="F436" s="14">
        <v>307.36</v>
      </c>
      <c r="G436" s="16">
        <v>288.72000000000003</v>
      </c>
      <c r="H436" s="69">
        <f t="shared" si="22"/>
        <v>2.1042660441828342E-2</v>
      </c>
      <c r="M436" s="225"/>
      <c r="N436" s="1319"/>
      <c r="O436" s="1319"/>
      <c r="P436" s="1319"/>
      <c r="Q436" s="35">
        <v>42951</v>
      </c>
      <c r="R436" s="36">
        <v>2.2700000000000001E-2</v>
      </c>
      <c r="S436" s="37">
        <v>1.8200000000000001E-2</v>
      </c>
    </row>
    <row r="437" spans="1:19" x14ac:dyDescent="0.2">
      <c r="A437" s="1"/>
      <c r="B437" s="13">
        <v>45082</v>
      </c>
      <c r="C437" s="14">
        <v>295.58999999999997</v>
      </c>
      <c r="D437" s="15">
        <v>385899</v>
      </c>
      <c r="E437" s="14">
        <v>298.64</v>
      </c>
      <c r="F437" s="14">
        <v>303.95999999999998</v>
      </c>
      <c r="G437" s="16">
        <v>294.27</v>
      </c>
      <c r="H437" s="69">
        <f t="shared" si="22"/>
        <v>-2.4036715422458554E-2</v>
      </c>
      <c r="M437" s="225"/>
      <c r="N437" s="1319"/>
      <c r="O437" s="1319"/>
      <c r="P437" s="1319"/>
      <c r="Q437" s="35">
        <v>42954</v>
      </c>
      <c r="R437" s="36">
        <v>2.2599999999999999E-2</v>
      </c>
      <c r="S437" s="37">
        <v>1.8100000000000002E-2</v>
      </c>
    </row>
    <row r="438" spans="1:19" x14ac:dyDescent="0.2">
      <c r="A438" s="1"/>
      <c r="B438" s="13">
        <v>45079</v>
      </c>
      <c r="C438" s="14">
        <v>302.87</v>
      </c>
      <c r="D438" s="15">
        <v>560779</v>
      </c>
      <c r="E438" s="14">
        <v>296.69</v>
      </c>
      <c r="F438" s="14">
        <v>305.08</v>
      </c>
      <c r="G438" s="16">
        <v>295.68</v>
      </c>
      <c r="H438" s="69">
        <f t="shared" si="22"/>
        <v>4.096923870080782E-2</v>
      </c>
      <c r="M438" s="225"/>
      <c r="N438" s="1319"/>
      <c r="O438" s="1319"/>
      <c r="P438" s="1319"/>
      <c r="Q438" s="35">
        <v>42955</v>
      </c>
      <c r="R438" s="36">
        <v>2.29E-2</v>
      </c>
      <c r="S438" s="37">
        <v>1.84E-2</v>
      </c>
    </row>
    <row r="439" spans="1:19" x14ac:dyDescent="0.2">
      <c r="A439" s="1"/>
      <c r="B439" s="13">
        <v>45078</v>
      </c>
      <c r="C439" s="14">
        <v>290.95</v>
      </c>
      <c r="D439" s="15">
        <v>264908</v>
      </c>
      <c r="E439" s="14">
        <v>284.55</v>
      </c>
      <c r="F439" s="14">
        <v>291.13</v>
      </c>
      <c r="G439" s="16">
        <v>283.98500000000001</v>
      </c>
      <c r="H439" s="69">
        <f t="shared" si="22"/>
        <v>2.3894988738738521E-2</v>
      </c>
      <c r="M439" s="225"/>
      <c r="N439" s="1319"/>
      <c r="O439" s="1319"/>
      <c r="P439" s="1319"/>
      <c r="Q439" s="35">
        <v>42956</v>
      </c>
      <c r="R439" s="36">
        <v>2.2400000000000003E-2</v>
      </c>
      <c r="S439" s="37">
        <v>1.8100000000000002E-2</v>
      </c>
    </row>
    <row r="440" spans="1:19" x14ac:dyDescent="0.2">
      <c r="A440" s="1"/>
      <c r="B440" s="13">
        <v>45077</v>
      </c>
      <c r="C440" s="14">
        <v>284.16000000000003</v>
      </c>
      <c r="D440" s="15">
        <v>345775</v>
      </c>
      <c r="E440" s="14">
        <v>288.16000000000003</v>
      </c>
      <c r="F440" s="14">
        <v>290.01</v>
      </c>
      <c r="G440" s="16">
        <v>280.81</v>
      </c>
      <c r="H440" s="69">
        <f t="shared" si="22"/>
        <v>-1.442841287458374E-2</v>
      </c>
      <c r="M440" s="225"/>
      <c r="N440" s="1319"/>
      <c r="O440" s="1319"/>
      <c r="P440" s="1319"/>
      <c r="Q440" s="35">
        <v>42957</v>
      </c>
      <c r="R440" s="36">
        <v>2.2000000000000002E-2</v>
      </c>
      <c r="S440" s="37">
        <v>1.78E-2</v>
      </c>
    </row>
    <row r="441" spans="1:19" x14ac:dyDescent="0.2">
      <c r="A441" s="1"/>
      <c r="B441" s="13">
        <v>45076</v>
      </c>
      <c r="C441" s="14">
        <v>288.32</v>
      </c>
      <c r="D441" s="15">
        <v>277501</v>
      </c>
      <c r="E441" s="14">
        <v>285.56</v>
      </c>
      <c r="F441" s="14">
        <v>289.28370000000001</v>
      </c>
      <c r="G441" s="16">
        <v>283.75</v>
      </c>
      <c r="H441" s="69">
        <f t="shared" si="22"/>
        <v>1.4139992965177539E-2</v>
      </c>
      <c r="M441" s="225"/>
      <c r="N441" s="1319"/>
      <c r="O441" s="1319"/>
      <c r="P441" s="1319"/>
      <c r="Q441" s="35">
        <v>42958</v>
      </c>
      <c r="R441" s="36">
        <v>2.1899999999999999E-2</v>
      </c>
      <c r="S441" s="37">
        <v>1.7399999999999999E-2</v>
      </c>
    </row>
    <row r="442" spans="1:19" x14ac:dyDescent="0.2">
      <c r="A442" s="1"/>
      <c r="B442" s="13">
        <v>45072</v>
      </c>
      <c r="C442" s="14">
        <v>284.3</v>
      </c>
      <c r="D442" s="15">
        <v>172002</v>
      </c>
      <c r="E442" s="14">
        <v>280.92</v>
      </c>
      <c r="F442" s="14">
        <v>286.56</v>
      </c>
      <c r="G442" s="16">
        <v>280.92</v>
      </c>
      <c r="H442" s="69">
        <f t="shared" si="22"/>
        <v>1.2031895201480847E-2</v>
      </c>
      <c r="M442" s="225"/>
      <c r="N442" s="1319"/>
      <c r="O442" s="1319"/>
      <c r="P442" s="1319"/>
      <c r="Q442" s="35">
        <v>42961</v>
      </c>
      <c r="R442" s="36">
        <v>2.2200000000000001E-2</v>
      </c>
      <c r="S442" s="37">
        <v>1.77E-2</v>
      </c>
    </row>
    <row r="443" spans="1:19" x14ac:dyDescent="0.2">
      <c r="A443" s="1"/>
      <c r="B443" s="13">
        <v>45071</v>
      </c>
      <c r="C443" s="14">
        <v>280.92</v>
      </c>
      <c r="D443" s="15">
        <v>292514</v>
      </c>
      <c r="E443" s="14">
        <v>274.75</v>
      </c>
      <c r="F443" s="14">
        <v>283.29000000000002</v>
      </c>
      <c r="G443" s="16">
        <v>274.75</v>
      </c>
      <c r="H443" s="69">
        <f t="shared" si="22"/>
        <v>2.7430326969497543E-2</v>
      </c>
      <c r="M443" s="225"/>
      <c r="N443" s="1319"/>
      <c r="O443" s="1319"/>
      <c r="P443" s="1319"/>
      <c r="Q443" s="35">
        <v>42962</v>
      </c>
      <c r="R443" s="36">
        <v>2.2700000000000001E-2</v>
      </c>
      <c r="S443" s="37">
        <v>1.83E-2</v>
      </c>
    </row>
    <row r="444" spans="1:19" x14ac:dyDescent="0.2">
      <c r="A444" s="1"/>
      <c r="B444" s="13">
        <v>45070</v>
      </c>
      <c r="C444" s="14">
        <v>273.42</v>
      </c>
      <c r="D444" s="15">
        <v>262137</v>
      </c>
      <c r="E444" s="14">
        <v>271.95999999999998</v>
      </c>
      <c r="F444" s="14">
        <v>277.20499999999998</v>
      </c>
      <c r="G444" s="16">
        <v>266.91000000000003</v>
      </c>
      <c r="H444" s="69">
        <f t="shared" si="22"/>
        <v>-3.6803556462485787E-3</v>
      </c>
      <c r="M444" s="225"/>
      <c r="N444" s="1319"/>
      <c r="O444" s="1319"/>
      <c r="P444" s="1319"/>
      <c r="Q444" s="35">
        <v>42963</v>
      </c>
      <c r="R444" s="36">
        <v>2.23E-2</v>
      </c>
      <c r="S444" s="37">
        <v>1.7899999999999999E-2</v>
      </c>
    </row>
    <row r="445" spans="1:19" x14ac:dyDescent="0.2">
      <c r="A445" s="1"/>
      <c r="B445" s="13">
        <v>45069</v>
      </c>
      <c r="C445" s="14">
        <v>274.43</v>
      </c>
      <c r="D445" s="15">
        <v>292969</v>
      </c>
      <c r="E445" s="14">
        <v>271.83</v>
      </c>
      <c r="F445" s="14">
        <v>278.91000000000003</v>
      </c>
      <c r="G445" s="16">
        <v>269.53500000000003</v>
      </c>
      <c r="H445" s="69">
        <f t="shared" si="22"/>
        <v>1.2769994162289411E-3</v>
      </c>
      <c r="M445" s="225"/>
      <c r="N445" s="1319"/>
      <c r="O445" s="1319"/>
      <c r="P445" s="1319"/>
      <c r="Q445" s="35">
        <v>42964</v>
      </c>
      <c r="R445" s="36">
        <v>2.1899999999999999E-2</v>
      </c>
      <c r="S445" s="37">
        <v>1.7600000000000001E-2</v>
      </c>
    </row>
    <row r="446" spans="1:19" x14ac:dyDescent="0.2">
      <c r="A446" s="1"/>
      <c r="B446" s="13">
        <v>45068</v>
      </c>
      <c r="C446" s="14">
        <v>274.08</v>
      </c>
      <c r="D446" s="15">
        <v>321906</v>
      </c>
      <c r="E446" s="14">
        <v>281.20999999999998</v>
      </c>
      <c r="F446" s="14">
        <v>285.33999999999997</v>
      </c>
      <c r="G446" s="16">
        <v>273.51</v>
      </c>
      <c r="H446" s="69">
        <f t="shared" si="22"/>
        <v>-1.3106726199049512E-2</v>
      </c>
      <c r="M446" s="225"/>
      <c r="N446" s="1319"/>
      <c r="O446" s="1319"/>
      <c r="P446" s="1319"/>
      <c r="Q446" s="35">
        <v>42965</v>
      </c>
      <c r="R446" s="36">
        <v>2.1899999999999999E-2</v>
      </c>
      <c r="S446" s="37">
        <v>1.77E-2</v>
      </c>
    </row>
    <row r="447" spans="1:19" x14ac:dyDescent="0.2">
      <c r="A447" s="1"/>
      <c r="B447" s="13">
        <v>45065</v>
      </c>
      <c r="C447" s="14">
        <v>277.72000000000003</v>
      </c>
      <c r="D447" s="15">
        <v>322003</v>
      </c>
      <c r="E447" s="14">
        <v>284.17</v>
      </c>
      <c r="F447" s="14">
        <v>285.6225</v>
      </c>
      <c r="G447" s="16">
        <v>273.23500000000001</v>
      </c>
      <c r="H447" s="69">
        <f t="shared" si="22"/>
        <v>-1.5316976315416175E-2</v>
      </c>
      <c r="M447" s="225"/>
      <c r="N447" s="1319"/>
      <c r="O447" s="1319"/>
      <c r="P447" s="1319"/>
      <c r="Q447" s="35">
        <v>42968</v>
      </c>
      <c r="R447" s="36">
        <v>2.18E-2</v>
      </c>
      <c r="S447" s="37">
        <v>1.7600000000000001E-2</v>
      </c>
    </row>
    <row r="448" spans="1:19" x14ac:dyDescent="0.2">
      <c r="A448" s="1"/>
      <c r="B448" s="13">
        <v>45064</v>
      </c>
      <c r="C448" s="14">
        <v>282.04000000000002</v>
      </c>
      <c r="D448" s="15">
        <v>267644</v>
      </c>
      <c r="E448" s="14">
        <v>276.92</v>
      </c>
      <c r="F448" s="14">
        <v>284.16000000000003</v>
      </c>
      <c r="G448" s="16">
        <v>274.70999999999998</v>
      </c>
      <c r="H448" s="69">
        <f t="shared" si="22"/>
        <v>1.7056723522411721E-2</v>
      </c>
      <c r="M448" s="225"/>
      <c r="N448" s="1319"/>
      <c r="O448" s="1319"/>
      <c r="P448" s="1319"/>
      <c r="Q448" s="35">
        <v>42969</v>
      </c>
      <c r="R448" s="36">
        <v>2.2200000000000001E-2</v>
      </c>
      <c r="S448" s="37">
        <v>1.8000000000000002E-2</v>
      </c>
    </row>
    <row r="449" spans="1:19" x14ac:dyDescent="0.2">
      <c r="A449" s="1"/>
      <c r="B449" s="13">
        <v>45063</v>
      </c>
      <c r="C449" s="14">
        <v>277.31</v>
      </c>
      <c r="D449" s="15">
        <v>232181</v>
      </c>
      <c r="E449" s="14">
        <v>271.95</v>
      </c>
      <c r="F449" s="14">
        <v>280.07</v>
      </c>
      <c r="G449" s="16">
        <v>269.06</v>
      </c>
      <c r="H449" s="69">
        <f t="shared" si="22"/>
        <v>2.3964256701868525E-2</v>
      </c>
      <c r="M449" s="225"/>
      <c r="N449" s="1319"/>
      <c r="O449" s="1319"/>
      <c r="P449" s="1319"/>
      <c r="Q449" s="35">
        <v>42970</v>
      </c>
      <c r="R449" s="36">
        <v>2.1700000000000001E-2</v>
      </c>
      <c r="S449" s="37">
        <v>1.7600000000000001E-2</v>
      </c>
    </row>
    <row r="450" spans="1:19" x14ac:dyDescent="0.2">
      <c r="A450" s="1"/>
      <c r="B450" s="13">
        <v>45062</v>
      </c>
      <c r="C450" s="14">
        <v>270.82</v>
      </c>
      <c r="D450" s="15">
        <v>264552</v>
      </c>
      <c r="E450" s="14">
        <v>273.45999999999998</v>
      </c>
      <c r="F450" s="14">
        <v>276.33999999999997</v>
      </c>
      <c r="G450" s="16">
        <v>268.45999999999998</v>
      </c>
      <c r="H450" s="69">
        <f t="shared" si="22"/>
        <v>-2.0259026119673007E-2</v>
      </c>
      <c r="M450" s="225"/>
      <c r="N450" s="1319"/>
      <c r="O450" s="1319"/>
      <c r="P450" s="1319"/>
      <c r="Q450" s="35">
        <v>42971</v>
      </c>
      <c r="R450" s="36">
        <v>2.1899999999999999E-2</v>
      </c>
      <c r="S450" s="37">
        <v>1.78E-2</v>
      </c>
    </row>
    <row r="451" spans="1:19" x14ac:dyDescent="0.2">
      <c r="A451" s="1"/>
      <c r="B451" s="13">
        <v>45061</v>
      </c>
      <c r="C451" s="14">
        <v>276.42</v>
      </c>
      <c r="D451" s="15">
        <v>226382</v>
      </c>
      <c r="E451" s="14">
        <v>282.36</v>
      </c>
      <c r="F451" s="14">
        <v>282.36</v>
      </c>
      <c r="G451" s="16">
        <v>276.14999999999998</v>
      </c>
      <c r="H451" s="69">
        <f t="shared" si="22"/>
        <v>-1.4440047063857153E-2</v>
      </c>
      <c r="M451" s="225"/>
      <c r="N451" s="1319"/>
      <c r="O451" s="1319"/>
      <c r="P451" s="1319"/>
      <c r="Q451" s="35">
        <v>42972</v>
      </c>
      <c r="R451" s="36">
        <v>2.1700000000000001E-2</v>
      </c>
      <c r="S451" s="37">
        <v>1.77E-2</v>
      </c>
    </row>
    <row r="452" spans="1:19" x14ac:dyDescent="0.2">
      <c r="A452" s="1"/>
      <c r="B452" s="13">
        <v>45058</v>
      </c>
      <c r="C452" s="14">
        <v>280.47000000000003</v>
      </c>
      <c r="D452" s="15">
        <v>203996</v>
      </c>
      <c r="E452" s="14">
        <v>283.31</v>
      </c>
      <c r="F452" s="14">
        <v>284.81</v>
      </c>
      <c r="G452" s="16">
        <v>277.33</v>
      </c>
      <c r="H452" s="69">
        <f t="shared" si="22"/>
        <v>-5.3902620660306599E-3</v>
      </c>
      <c r="M452" s="225"/>
      <c r="N452" s="1319"/>
      <c r="O452" s="1319"/>
      <c r="P452" s="1319"/>
      <c r="Q452" s="35">
        <v>42975</v>
      </c>
      <c r="R452" s="36">
        <v>2.1600000000000001E-2</v>
      </c>
      <c r="S452" s="37">
        <v>1.7399999999999999E-2</v>
      </c>
    </row>
    <row r="453" spans="1:19" x14ac:dyDescent="0.2">
      <c r="A453" s="1"/>
      <c r="B453" s="13">
        <v>45057</v>
      </c>
      <c r="C453" s="14">
        <v>281.99</v>
      </c>
      <c r="D453" s="15">
        <v>262484</v>
      </c>
      <c r="E453" s="14">
        <v>284.08999999999997</v>
      </c>
      <c r="F453" s="14">
        <v>285.33730000000003</v>
      </c>
      <c r="G453" s="16">
        <v>276.49</v>
      </c>
      <c r="H453" s="69">
        <f t="shared" si="22"/>
        <v>-7.3920236544755547E-3</v>
      </c>
      <c r="M453" s="225"/>
      <c r="N453" s="1319"/>
      <c r="O453" s="1319"/>
      <c r="P453" s="1319"/>
      <c r="Q453" s="35">
        <v>42976</v>
      </c>
      <c r="R453" s="36">
        <v>2.1299999999999999E-2</v>
      </c>
      <c r="S453" s="37">
        <v>1.7000000000000001E-2</v>
      </c>
    </row>
    <row r="454" spans="1:19" x14ac:dyDescent="0.2">
      <c r="A454" s="1"/>
      <c r="B454" s="13">
        <v>45056</v>
      </c>
      <c r="C454" s="14">
        <v>284.08999999999997</v>
      </c>
      <c r="D454" s="15">
        <v>311291</v>
      </c>
      <c r="E454" s="14">
        <v>289.75</v>
      </c>
      <c r="F454" s="14">
        <v>292.19</v>
      </c>
      <c r="G454" s="16">
        <v>283.33999999999997</v>
      </c>
      <c r="H454" s="69">
        <f t="shared" si="22"/>
        <v>1.0561149053001095E-4</v>
      </c>
      <c r="M454" s="225"/>
      <c r="N454" s="1319"/>
      <c r="O454" s="1319"/>
      <c r="P454" s="1319"/>
      <c r="Q454" s="35">
        <v>42977</v>
      </c>
      <c r="R454" s="36">
        <v>2.1499999999999998E-2</v>
      </c>
      <c r="S454" s="37">
        <v>1.72E-2</v>
      </c>
    </row>
    <row r="455" spans="1:19" x14ac:dyDescent="0.2">
      <c r="A455" s="1"/>
      <c r="B455" s="13">
        <v>45055</v>
      </c>
      <c r="C455" s="14">
        <v>284.06</v>
      </c>
      <c r="D455" s="15">
        <v>337099</v>
      </c>
      <c r="E455" s="14">
        <v>284.69</v>
      </c>
      <c r="F455" s="14">
        <v>286.43</v>
      </c>
      <c r="G455" s="16">
        <v>279.69</v>
      </c>
      <c r="H455" s="69">
        <f t="shared" si="22"/>
        <v>-1.2720700681217889E-2</v>
      </c>
      <c r="M455" s="225"/>
      <c r="N455" s="1319"/>
      <c r="O455" s="1319"/>
      <c r="P455" s="1319"/>
      <c r="Q455" s="35">
        <v>42978</v>
      </c>
      <c r="R455" s="36">
        <v>2.12E-2</v>
      </c>
      <c r="S455" s="37">
        <v>1.7000000000000001E-2</v>
      </c>
    </row>
    <row r="456" spans="1:19" x14ac:dyDescent="0.2">
      <c r="A456" s="1"/>
      <c r="B456" s="13">
        <v>45054</v>
      </c>
      <c r="C456" s="14">
        <v>287.72000000000003</v>
      </c>
      <c r="D456" s="15">
        <v>333463</v>
      </c>
      <c r="E456" s="14">
        <v>293.18</v>
      </c>
      <c r="F456" s="14">
        <v>295.72000000000003</v>
      </c>
      <c r="G456" s="16">
        <v>286.32</v>
      </c>
      <c r="H456" s="69">
        <f t="shared" si="22"/>
        <v>-1.8255024396901631E-2</v>
      </c>
      <c r="M456" s="225"/>
      <c r="N456" s="1319"/>
      <c r="O456" s="1319"/>
      <c r="P456" s="1319"/>
      <c r="Q456" s="35">
        <v>42979</v>
      </c>
      <c r="R456" s="36">
        <v>2.1600000000000001E-2</v>
      </c>
      <c r="S456" s="37">
        <v>1.7299999999999999E-2</v>
      </c>
    </row>
    <row r="457" spans="1:19" x14ac:dyDescent="0.2">
      <c r="A457" s="1"/>
      <c r="B457" s="13">
        <v>45051</v>
      </c>
      <c r="C457" s="14">
        <v>293.07</v>
      </c>
      <c r="D457" s="15">
        <v>277203</v>
      </c>
      <c r="E457" s="14">
        <v>294.72000000000003</v>
      </c>
      <c r="F457" s="14">
        <v>296.64999999999998</v>
      </c>
      <c r="G457" s="16">
        <v>288.70999999999998</v>
      </c>
      <c r="H457" s="69">
        <f t="shared" si="22"/>
        <v>5.8690280065896161E-3</v>
      </c>
      <c r="M457" s="225"/>
      <c r="N457" s="1319"/>
      <c r="O457" s="1319"/>
      <c r="P457" s="1319"/>
      <c r="Q457" s="35">
        <v>42983</v>
      </c>
      <c r="R457" s="36">
        <v>2.07E-2</v>
      </c>
      <c r="S457" s="37">
        <v>1.6500000000000001E-2</v>
      </c>
    </row>
    <row r="458" spans="1:19" x14ac:dyDescent="0.2">
      <c r="A458" s="1"/>
      <c r="B458" s="13">
        <v>45050</v>
      </c>
      <c r="C458" s="14">
        <v>291.36</v>
      </c>
      <c r="D458" s="15">
        <v>250866</v>
      </c>
      <c r="E458" s="14">
        <v>294.10000000000002</v>
      </c>
      <c r="F458" s="14">
        <v>299.39999999999998</v>
      </c>
      <c r="G458" s="16">
        <v>288.95749999999998</v>
      </c>
      <c r="H458" s="69">
        <f t="shared" si="22"/>
        <v>-1.5043440045975465E-2</v>
      </c>
      <c r="M458" s="225"/>
      <c r="N458" s="1319"/>
      <c r="O458" s="1319"/>
      <c r="P458" s="1319"/>
      <c r="Q458" s="35">
        <v>42984</v>
      </c>
      <c r="R458" s="36">
        <v>2.1000000000000001E-2</v>
      </c>
      <c r="S458" s="37">
        <v>1.6899999999999998E-2</v>
      </c>
    </row>
    <row r="459" spans="1:19" x14ac:dyDescent="0.2">
      <c r="A459" s="1"/>
      <c r="B459" s="13">
        <v>45049</v>
      </c>
      <c r="C459" s="14">
        <v>295.81</v>
      </c>
      <c r="D459" s="15">
        <v>293070</v>
      </c>
      <c r="E459" s="14">
        <v>296.20999999999998</v>
      </c>
      <c r="F459" s="14">
        <v>302.99</v>
      </c>
      <c r="G459" s="16">
        <v>295.21499999999997</v>
      </c>
      <c r="H459" s="69">
        <f t="shared" si="22"/>
        <v>5.3357803153888383E-3</v>
      </c>
      <c r="M459" s="225"/>
      <c r="N459" s="1319"/>
      <c r="O459" s="1319"/>
      <c r="P459" s="1319"/>
      <c r="Q459" s="35">
        <v>42985</v>
      </c>
      <c r="R459" s="36">
        <v>2.0499999999999997E-2</v>
      </c>
      <c r="S459" s="37">
        <v>1.6299999999999999E-2</v>
      </c>
    </row>
    <row r="460" spans="1:19" x14ac:dyDescent="0.2">
      <c r="A460" s="1"/>
      <c r="B460" s="13">
        <v>45048</v>
      </c>
      <c r="C460" s="14">
        <v>294.24</v>
      </c>
      <c r="D460" s="15">
        <v>414653</v>
      </c>
      <c r="E460" s="14">
        <v>288.39999999999998</v>
      </c>
      <c r="F460" s="14">
        <v>296.23</v>
      </c>
      <c r="G460" s="16">
        <v>282.70249999999999</v>
      </c>
      <c r="H460" s="69">
        <f t="shared" si="22"/>
        <v>1.1759851454508086E-2</v>
      </c>
      <c r="M460" s="225"/>
      <c r="N460" s="1319"/>
      <c r="O460" s="1319"/>
      <c r="P460" s="1319"/>
      <c r="Q460" s="35">
        <v>42986</v>
      </c>
      <c r="R460" s="36">
        <v>2.06E-2</v>
      </c>
      <c r="S460" s="37">
        <v>1.6399999999999998E-2</v>
      </c>
    </row>
    <row r="461" spans="1:19" x14ac:dyDescent="0.2">
      <c r="A461" s="1"/>
      <c r="B461" s="13">
        <v>45047</v>
      </c>
      <c r="C461" s="14">
        <v>290.82</v>
      </c>
      <c r="D461" s="15">
        <v>527042</v>
      </c>
      <c r="E461" s="14">
        <v>298</v>
      </c>
      <c r="F461" s="14">
        <v>299.2</v>
      </c>
      <c r="G461" s="16">
        <v>286.57249999999999</v>
      </c>
      <c r="H461" s="69">
        <f t="shared" si="22"/>
        <v>-2.3340161869899512E-2</v>
      </c>
      <c r="M461" s="225"/>
      <c r="N461" s="1319"/>
      <c r="O461" s="1319"/>
      <c r="P461" s="1319"/>
      <c r="Q461" s="35">
        <v>42989</v>
      </c>
      <c r="R461" s="36">
        <v>2.1400000000000002E-2</v>
      </c>
      <c r="S461" s="37">
        <v>1.7100000000000001E-2</v>
      </c>
    </row>
    <row r="462" spans="1:19" x14ac:dyDescent="0.2">
      <c r="A462" s="1"/>
      <c r="B462" s="13">
        <v>45044</v>
      </c>
      <c r="C462" s="14">
        <v>297.77</v>
      </c>
      <c r="D462" s="15">
        <v>1330000</v>
      </c>
      <c r="E462" s="14">
        <v>279.51</v>
      </c>
      <c r="F462" s="14">
        <v>305.61</v>
      </c>
      <c r="G462" s="16">
        <v>277.01010000000002</v>
      </c>
      <c r="H462" s="69">
        <f t="shared" si="22"/>
        <v>0.1456217297630038</v>
      </c>
      <c r="M462" s="225"/>
      <c r="N462" s="1319"/>
      <c r="O462" s="1319"/>
      <c r="P462" s="1319"/>
      <c r="Q462" s="35">
        <v>42990</v>
      </c>
      <c r="R462" s="36">
        <v>2.1700000000000001E-2</v>
      </c>
      <c r="S462" s="37">
        <v>1.7500000000000002E-2</v>
      </c>
    </row>
    <row r="463" spans="1:19" x14ac:dyDescent="0.2">
      <c r="A463" s="1"/>
      <c r="B463" s="13">
        <v>45043</v>
      </c>
      <c r="C463" s="14">
        <v>259.92</v>
      </c>
      <c r="D463" s="15">
        <v>809273</v>
      </c>
      <c r="E463" s="14">
        <v>250.14</v>
      </c>
      <c r="F463" s="14">
        <v>262.58</v>
      </c>
      <c r="G463" s="16">
        <v>247.625</v>
      </c>
      <c r="H463" s="69">
        <f t="shared" si="22"/>
        <v>4.7811013464484464E-2</v>
      </c>
      <c r="M463" s="225"/>
      <c r="N463" s="1319"/>
      <c r="O463" s="1319"/>
      <c r="P463" s="1319"/>
      <c r="Q463" s="35">
        <v>42991</v>
      </c>
      <c r="R463" s="36">
        <v>2.2000000000000002E-2</v>
      </c>
      <c r="S463" s="37">
        <v>1.78E-2</v>
      </c>
    </row>
    <row r="464" spans="1:19" x14ac:dyDescent="0.2">
      <c r="A464" s="1"/>
      <c r="B464" s="13">
        <v>45042</v>
      </c>
      <c r="C464" s="14">
        <v>248.06</v>
      </c>
      <c r="D464" s="15">
        <v>968361</v>
      </c>
      <c r="E464" s="14">
        <v>275.07</v>
      </c>
      <c r="F464" s="14">
        <v>275.07</v>
      </c>
      <c r="G464" s="16">
        <v>244.69</v>
      </c>
      <c r="H464" s="69">
        <f t="shared" si="22"/>
        <v>-0.11697280364516593</v>
      </c>
      <c r="M464" s="225"/>
      <c r="N464" s="1319"/>
      <c r="O464" s="1319"/>
      <c r="P464" s="1319"/>
      <c r="Q464" s="35">
        <v>42992</v>
      </c>
      <c r="R464" s="36">
        <v>2.2000000000000002E-2</v>
      </c>
      <c r="S464" s="37">
        <v>1.7899999999999999E-2</v>
      </c>
    </row>
    <row r="465" spans="1:19" x14ac:dyDescent="0.2">
      <c r="A465" s="1"/>
      <c r="B465" s="13">
        <v>45041</v>
      </c>
      <c r="C465" s="14">
        <v>280.92</v>
      </c>
      <c r="D465" s="15">
        <v>326614</v>
      </c>
      <c r="E465" s="14">
        <v>281.12</v>
      </c>
      <c r="F465" s="14">
        <v>283.67</v>
      </c>
      <c r="G465" s="16">
        <v>275.66000000000003</v>
      </c>
      <c r="H465" s="69">
        <f t="shared" si="22"/>
        <v>-2.0775237032905625E-2</v>
      </c>
      <c r="M465" s="225"/>
      <c r="N465" s="1319"/>
      <c r="O465" s="1319"/>
      <c r="P465" s="1319"/>
      <c r="Q465" s="35">
        <v>42993</v>
      </c>
      <c r="R465" s="36">
        <v>2.2000000000000002E-2</v>
      </c>
      <c r="S465" s="37">
        <v>1.8100000000000002E-2</v>
      </c>
    </row>
    <row r="466" spans="1:19" x14ac:dyDescent="0.2">
      <c r="A466" s="1"/>
      <c r="B466" s="13">
        <v>45040</v>
      </c>
      <c r="C466" s="14">
        <v>286.88</v>
      </c>
      <c r="D466" s="15">
        <v>284703</v>
      </c>
      <c r="E466" s="14">
        <v>277.76</v>
      </c>
      <c r="F466" s="14">
        <v>288.48</v>
      </c>
      <c r="G466" s="16">
        <v>277.76</v>
      </c>
      <c r="H466" s="69">
        <f t="shared" si="22"/>
        <v>2.4644617472676433E-2</v>
      </c>
      <c r="M466" s="225"/>
      <c r="N466" s="1319"/>
      <c r="O466" s="1319"/>
      <c r="P466" s="1319"/>
      <c r="Q466" s="35">
        <v>42996</v>
      </c>
      <c r="R466" s="36">
        <v>2.23E-2</v>
      </c>
      <c r="S466" s="37">
        <v>1.83E-2</v>
      </c>
    </row>
    <row r="467" spans="1:19" x14ac:dyDescent="0.2">
      <c r="A467" s="1"/>
      <c r="B467" s="13">
        <v>45037</v>
      </c>
      <c r="C467" s="14">
        <v>279.98</v>
      </c>
      <c r="D467" s="15">
        <v>581593</v>
      </c>
      <c r="E467" s="14">
        <v>280.72000000000003</v>
      </c>
      <c r="F467" s="14">
        <v>291.92</v>
      </c>
      <c r="G467" s="16">
        <v>277.71499999999997</v>
      </c>
      <c r="H467" s="69">
        <f t="shared" si="22"/>
        <v>4.809072638530143E-3</v>
      </c>
      <c r="M467" s="225"/>
      <c r="N467" s="1319"/>
      <c r="O467" s="1319"/>
      <c r="P467" s="1319"/>
      <c r="Q467" s="35">
        <v>42997</v>
      </c>
      <c r="R467" s="36">
        <v>2.2400000000000003E-2</v>
      </c>
      <c r="S467" s="37">
        <v>1.84E-2</v>
      </c>
    </row>
    <row r="468" spans="1:19" x14ac:dyDescent="0.2">
      <c r="A468" s="1"/>
      <c r="B468" s="13">
        <v>45036</v>
      </c>
      <c r="C468" s="14">
        <v>278.64</v>
      </c>
      <c r="D468" s="15">
        <v>396142</v>
      </c>
      <c r="E468" s="14">
        <v>271.36</v>
      </c>
      <c r="F468" s="14">
        <v>285.38</v>
      </c>
      <c r="G468" s="16">
        <v>271.36</v>
      </c>
      <c r="H468" s="69">
        <f t="shared" si="22"/>
        <v>1.6007292616226021E-2</v>
      </c>
      <c r="M468" s="225"/>
      <c r="N468" s="1319"/>
      <c r="O468" s="1319"/>
      <c r="P468" s="1319"/>
      <c r="Q468" s="35">
        <v>42998</v>
      </c>
      <c r="R468" s="36">
        <v>2.2799999999999997E-2</v>
      </c>
      <c r="S468" s="37">
        <v>1.89E-2</v>
      </c>
    </row>
    <row r="469" spans="1:19" x14ac:dyDescent="0.2">
      <c r="A469" s="1"/>
      <c r="B469" s="13">
        <v>45035</v>
      </c>
      <c r="C469" s="14">
        <v>274.25</v>
      </c>
      <c r="D469" s="15">
        <v>393424</v>
      </c>
      <c r="E469" s="14">
        <v>272.38</v>
      </c>
      <c r="F469" s="14">
        <v>276.06</v>
      </c>
      <c r="G469" s="16">
        <v>268.12180000000001</v>
      </c>
      <c r="H469" s="69">
        <f t="shared" si="22"/>
        <v>3.62292322330382E-3</v>
      </c>
      <c r="M469" s="225"/>
      <c r="N469" s="1319"/>
      <c r="O469" s="1319"/>
      <c r="P469" s="1319"/>
      <c r="Q469" s="35">
        <v>42999</v>
      </c>
      <c r="R469" s="36">
        <v>2.2700000000000001E-2</v>
      </c>
      <c r="S469" s="37">
        <v>1.89E-2</v>
      </c>
    </row>
    <row r="470" spans="1:19" x14ac:dyDescent="0.2">
      <c r="A470" s="1"/>
      <c r="B470" s="13">
        <v>45034</v>
      </c>
      <c r="C470" s="14">
        <v>273.26</v>
      </c>
      <c r="D470" s="15">
        <v>297450</v>
      </c>
      <c r="E470" s="14">
        <v>271.61</v>
      </c>
      <c r="F470" s="14">
        <v>278.44</v>
      </c>
      <c r="G470" s="16">
        <v>267.5</v>
      </c>
      <c r="H470" s="69">
        <f t="shared" si="22"/>
        <v>1.6365394629174856E-2</v>
      </c>
      <c r="M470" s="225"/>
      <c r="N470" s="1319"/>
      <c r="O470" s="1319"/>
      <c r="P470" s="1319"/>
      <c r="Q470" s="35">
        <v>43000</v>
      </c>
      <c r="R470" s="36">
        <v>2.2599999999999999E-2</v>
      </c>
      <c r="S470" s="37">
        <v>1.8799999999999997E-2</v>
      </c>
    </row>
    <row r="471" spans="1:19" x14ac:dyDescent="0.2">
      <c r="A471" s="1"/>
      <c r="B471" s="13">
        <v>45033</v>
      </c>
      <c r="C471" s="14">
        <v>268.86</v>
      </c>
      <c r="D471" s="15">
        <v>245402</v>
      </c>
      <c r="E471" s="14">
        <v>263.45</v>
      </c>
      <c r="F471" s="14">
        <v>269.25</v>
      </c>
      <c r="G471" s="16">
        <v>260.16000000000003</v>
      </c>
      <c r="H471" s="69">
        <f t="shared" si="22"/>
        <v>2.8302608429587872E-2</v>
      </c>
      <c r="M471" s="225"/>
      <c r="N471" s="1319"/>
      <c r="O471" s="1319"/>
      <c r="P471" s="1319"/>
      <c r="Q471" s="35">
        <v>43003</v>
      </c>
      <c r="R471" s="36">
        <v>2.2200000000000001E-2</v>
      </c>
      <c r="S471" s="37">
        <v>1.8500000000000003E-2</v>
      </c>
    </row>
    <row r="472" spans="1:19" x14ac:dyDescent="0.2">
      <c r="A472" s="1"/>
      <c r="B472" s="13">
        <v>45030</v>
      </c>
      <c r="C472" s="14">
        <v>261.45999999999998</v>
      </c>
      <c r="D472" s="15">
        <v>427952</v>
      </c>
      <c r="E472" s="14">
        <v>257.24</v>
      </c>
      <c r="F472" s="14">
        <v>264.70999999999998</v>
      </c>
      <c r="G472" s="16">
        <v>255.31010000000001</v>
      </c>
      <c r="H472" s="69">
        <f t="shared" si="22"/>
        <v>1.3332299821719129E-2</v>
      </c>
      <c r="M472" s="225"/>
      <c r="N472" s="1319"/>
      <c r="O472" s="1319"/>
      <c r="P472" s="1319"/>
      <c r="Q472" s="35">
        <v>43004</v>
      </c>
      <c r="R472" s="36">
        <v>2.2400000000000003E-2</v>
      </c>
      <c r="S472" s="37">
        <v>1.8700000000000001E-2</v>
      </c>
    </row>
    <row r="473" spans="1:19" x14ac:dyDescent="0.2">
      <c r="A473" s="1"/>
      <c r="B473" s="13">
        <v>45029</v>
      </c>
      <c r="C473" s="14">
        <v>258.02</v>
      </c>
      <c r="D473" s="15">
        <v>533823</v>
      </c>
      <c r="E473" s="14">
        <v>273.93</v>
      </c>
      <c r="F473" s="14">
        <v>273.93</v>
      </c>
      <c r="G473" s="16">
        <v>253.59</v>
      </c>
      <c r="H473" s="69">
        <f t="shared" si="22"/>
        <v>-5.2755240647600843E-2</v>
      </c>
      <c r="M473" s="225"/>
      <c r="N473" s="1319"/>
      <c r="O473" s="1319"/>
      <c r="P473" s="1319"/>
      <c r="Q473" s="35">
        <v>43005</v>
      </c>
      <c r="R473" s="36">
        <v>2.3099999999999999E-2</v>
      </c>
      <c r="S473" s="37">
        <v>1.9099999999999999E-2</v>
      </c>
    </row>
    <row r="474" spans="1:19" x14ac:dyDescent="0.2">
      <c r="A474" s="1"/>
      <c r="B474" s="13">
        <v>45028</v>
      </c>
      <c r="C474" s="14">
        <v>272.39</v>
      </c>
      <c r="D474" s="15">
        <v>261179</v>
      </c>
      <c r="E474" s="14">
        <v>273.88</v>
      </c>
      <c r="F474" s="14">
        <v>276.97000000000003</v>
      </c>
      <c r="G474" s="16">
        <v>270.10000000000002</v>
      </c>
      <c r="H474" s="69">
        <f t="shared" si="22"/>
        <v>3.2041838538596767E-3</v>
      </c>
      <c r="M474" s="225"/>
      <c r="N474" s="1319"/>
      <c r="O474" s="1319"/>
      <c r="P474" s="1319"/>
      <c r="Q474" s="35">
        <v>43006</v>
      </c>
      <c r="R474" s="36">
        <v>2.3099999999999999E-2</v>
      </c>
      <c r="S474" s="37">
        <v>1.89E-2</v>
      </c>
    </row>
    <row r="475" spans="1:19" x14ac:dyDescent="0.2">
      <c r="A475" s="1"/>
      <c r="B475" s="13">
        <v>45027</v>
      </c>
      <c r="C475" s="14">
        <v>271.52</v>
      </c>
      <c r="D475" s="15">
        <v>336686</v>
      </c>
      <c r="E475" s="14">
        <v>268.68</v>
      </c>
      <c r="F475" s="14">
        <v>273.91989999999998</v>
      </c>
      <c r="G475" s="16">
        <v>268.01249999999999</v>
      </c>
      <c r="H475" s="69">
        <f t="shared" si="22"/>
        <v>1.7157413651007758E-2</v>
      </c>
      <c r="M475" s="225"/>
      <c r="N475" s="1319"/>
      <c r="O475" s="1319"/>
      <c r="P475" s="1319"/>
      <c r="Q475" s="35">
        <v>43007</v>
      </c>
      <c r="R475" s="36">
        <v>2.3300000000000001E-2</v>
      </c>
      <c r="S475" s="37">
        <v>1.9199999999999998E-2</v>
      </c>
    </row>
    <row r="476" spans="1:19" x14ac:dyDescent="0.2">
      <c r="A476" s="1"/>
      <c r="B476" s="13">
        <v>45026</v>
      </c>
      <c r="C476" s="14">
        <v>266.94</v>
      </c>
      <c r="D476" s="15">
        <v>311450</v>
      </c>
      <c r="E476" s="14">
        <v>252.46</v>
      </c>
      <c r="F476" s="14">
        <v>267.38499999999999</v>
      </c>
      <c r="G476" s="16">
        <v>252.46</v>
      </c>
      <c r="H476" s="69">
        <f t="shared" si="22"/>
        <v>5.0572631744657315E-2</v>
      </c>
      <c r="M476" s="225"/>
      <c r="N476" s="1319"/>
      <c r="O476" s="1319"/>
      <c r="P476" s="1319"/>
      <c r="Q476" s="35">
        <v>43010</v>
      </c>
      <c r="R476" s="36">
        <v>2.3399999999999997E-2</v>
      </c>
      <c r="S476" s="37">
        <v>1.9400000000000001E-2</v>
      </c>
    </row>
    <row r="477" spans="1:19" x14ac:dyDescent="0.2">
      <c r="A477" s="1"/>
      <c r="B477" s="13">
        <v>45022</v>
      </c>
      <c r="C477" s="14">
        <v>254.09</v>
      </c>
      <c r="D477" s="15">
        <v>357588</v>
      </c>
      <c r="E477" s="14">
        <v>255.22</v>
      </c>
      <c r="F477" s="14">
        <v>259.99</v>
      </c>
      <c r="G477" s="16">
        <v>249.45</v>
      </c>
      <c r="H477" s="69">
        <f t="shared" si="22"/>
        <v>-7.6935093337499039E-3</v>
      </c>
      <c r="M477" s="225"/>
      <c r="N477" s="1319"/>
      <c r="O477" s="1319"/>
      <c r="P477" s="1319"/>
      <c r="Q477" s="35">
        <v>43011</v>
      </c>
      <c r="R477" s="36">
        <v>2.3300000000000001E-2</v>
      </c>
      <c r="S477" s="37">
        <v>1.9199999999999998E-2</v>
      </c>
    </row>
    <row r="478" spans="1:19" x14ac:dyDescent="0.2">
      <c r="A478" s="1"/>
      <c r="B478" s="13">
        <v>45021</v>
      </c>
      <c r="C478" s="14">
        <v>256.06</v>
      </c>
      <c r="D478" s="15">
        <v>695424</v>
      </c>
      <c r="E478" s="14">
        <v>253.02</v>
      </c>
      <c r="F478" s="14">
        <v>256.91000000000003</v>
      </c>
      <c r="G478" s="16">
        <v>244.7</v>
      </c>
      <c r="H478" s="69">
        <f t="shared" si="22"/>
        <v>-8.9742089039768214E-4</v>
      </c>
      <c r="M478" s="225"/>
      <c r="N478" s="1319"/>
      <c r="O478" s="1319"/>
      <c r="P478" s="1319"/>
      <c r="Q478" s="35">
        <v>43012</v>
      </c>
      <c r="R478" s="36">
        <v>2.3300000000000001E-2</v>
      </c>
      <c r="S478" s="37">
        <v>1.9199999999999998E-2</v>
      </c>
    </row>
    <row r="479" spans="1:19" x14ac:dyDescent="0.2">
      <c r="A479" s="1"/>
      <c r="B479" s="13">
        <v>45020</v>
      </c>
      <c r="C479" s="14">
        <v>256.29000000000002</v>
      </c>
      <c r="D479" s="15">
        <v>388708</v>
      </c>
      <c r="E479" s="14">
        <v>265.16000000000003</v>
      </c>
      <c r="F479" s="14">
        <v>265.16000000000003</v>
      </c>
      <c r="G479" s="16">
        <v>253.9</v>
      </c>
      <c r="H479" s="69">
        <f t="shared" si="22"/>
        <v>-3.1625481750169993E-2</v>
      </c>
      <c r="M479" s="225"/>
      <c r="N479" s="1319"/>
      <c r="O479" s="1319"/>
      <c r="P479" s="1319"/>
      <c r="Q479" s="35">
        <v>43013</v>
      </c>
      <c r="R479" s="36">
        <v>2.35E-2</v>
      </c>
      <c r="S479" s="37">
        <v>1.9400000000000001E-2</v>
      </c>
    </row>
    <row r="480" spans="1:19" x14ac:dyDescent="0.2">
      <c r="A480" s="1"/>
      <c r="B480" s="13">
        <v>45019</v>
      </c>
      <c r="C480" s="14">
        <v>264.66000000000003</v>
      </c>
      <c r="D480" s="15">
        <v>412226</v>
      </c>
      <c r="E480" s="14">
        <v>271.49</v>
      </c>
      <c r="F480" s="14">
        <v>273.98680000000002</v>
      </c>
      <c r="G480" s="16">
        <v>258.33</v>
      </c>
      <c r="H480" s="69">
        <f t="shared" si="22"/>
        <v>-2.7271390767421244E-2</v>
      </c>
      <c r="M480" s="225"/>
      <c r="N480" s="1319"/>
      <c r="O480" s="1319"/>
      <c r="P480" s="1319"/>
      <c r="Q480" s="35">
        <v>43014</v>
      </c>
      <c r="R480" s="36">
        <v>2.3700000000000002E-2</v>
      </c>
      <c r="S480" s="37">
        <v>1.9699999999999999E-2</v>
      </c>
    </row>
    <row r="481" spans="1:19" x14ac:dyDescent="0.2">
      <c r="A481" s="1"/>
      <c r="B481" s="13">
        <v>45016</v>
      </c>
      <c r="C481" s="14">
        <v>272.08</v>
      </c>
      <c r="D481" s="15">
        <v>333448</v>
      </c>
      <c r="E481" s="14">
        <v>272.02999999999997</v>
      </c>
      <c r="F481" s="14">
        <v>275.87</v>
      </c>
      <c r="G481" s="16">
        <v>267.91000000000003</v>
      </c>
      <c r="H481" s="69">
        <f t="shared" si="22"/>
        <v>3.577883515915925E-3</v>
      </c>
      <c r="M481" s="225"/>
      <c r="N481" s="1319"/>
      <c r="O481" s="1319"/>
      <c r="P481" s="1319"/>
      <c r="Q481" s="35">
        <v>43018</v>
      </c>
      <c r="R481" s="36">
        <v>2.35E-2</v>
      </c>
      <c r="S481" s="37">
        <v>1.95E-2</v>
      </c>
    </row>
    <row r="482" spans="1:19" x14ac:dyDescent="0.2">
      <c r="A482" s="1"/>
      <c r="B482" s="13">
        <v>45015</v>
      </c>
      <c r="C482" s="14">
        <v>271.11</v>
      </c>
      <c r="D482" s="15">
        <v>274282</v>
      </c>
      <c r="E482" s="14">
        <v>271.57</v>
      </c>
      <c r="F482" s="14">
        <v>273.19</v>
      </c>
      <c r="G482" s="16">
        <v>270.08</v>
      </c>
      <c r="H482" s="69">
        <f t="shared" si="22"/>
        <v>9.9839809261259571E-3</v>
      </c>
      <c r="M482" s="225"/>
      <c r="N482" s="1319"/>
      <c r="O482" s="1319"/>
      <c r="P482" s="1319"/>
      <c r="Q482" s="35">
        <v>43019</v>
      </c>
      <c r="R482" s="36">
        <v>2.35E-2</v>
      </c>
      <c r="S482" s="37">
        <v>1.95E-2</v>
      </c>
    </row>
    <row r="483" spans="1:19" x14ac:dyDescent="0.2">
      <c r="A483" s="1"/>
      <c r="B483" s="13">
        <v>45014</v>
      </c>
      <c r="C483" s="14">
        <v>268.43</v>
      </c>
      <c r="D483" s="15">
        <v>333214</v>
      </c>
      <c r="E483" s="14">
        <v>275.32</v>
      </c>
      <c r="F483" s="14">
        <v>281.79000000000002</v>
      </c>
      <c r="G483" s="16">
        <v>266</v>
      </c>
      <c r="H483" s="69">
        <f t="shared" si="22"/>
        <v>-1.3668932573948078E-2</v>
      </c>
      <c r="M483" s="225"/>
      <c r="N483" s="1319"/>
      <c r="O483" s="1319"/>
      <c r="P483" s="1319"/>
      <c r="Q483" s="35">
        <v>43020</v>
      </c>
      <c r="R483" s="36">
        <v>2.3300000000000001E-2</v>
      </c>
      <c r="S483" s="37">
        <v>1.95E-2</v>
      </c>
    </row>
    <row r="484" spans="1:19" x14ac:dyDescent="0.2">
      <c r="A484" s="1"/>
      <c r="B484" s="13">
        <v>45013</v>
      </c>
      <c r="C484" s="14">
        <v>272.14999999999998</v>
      </c>
      <c r="D484" s="15">
        <v>169699</v>
      </c>
      <c r="E484" s="14">
        <v>274.64999999999998</v>
      </c>
      <c r="F484" s="14">
        <v>276.48</v>
      </c>
      <c r="G484" s="16">
        <v>271.36</v>
      </c>
      <c r="H484" s="69">
        <f t="shared" si="22"/>
        <v>-1.3234227701232948E-2</v>
      </c>
      <c r="M484" s="225"/>
      <c r="N484" s="1319"/>
      <c r="O484" s="1319"/>
      <c r="P484" s="1319"/>
      <c r="Q484" s="35">
        <v>43021</v>
      </c>
      <c r="R484" s="36">
        <v>2.2799999999999997E-2</v>
      </c>
      <c r="S484" s="37">
        <v>1.9099999999999999E-2</v>
      </c>
    </row>
    <row r="485" spans="1:19" x14ac:dyDescent="0.2">
      <c r="A485" s="1"/>
      <c r="B485" s="13">
        <v>45012</v>
      </c>
      <c r="C485" s="14">
        <v>275.8</v>
      </c>
      <c r="D485" s="15">
        <v>201648</v>
      </c>
      <c r="E485" s="14">
        <v>273.74</v>
      </c>
      <c r="F485" s="14">
        <v>278.19</v>
      </c>
      <c r="G485" s="16">
        <v>271.41000000000003</v>
      </c>
      <c r="H485" s="69">
        <f t="shared" si="22"/>
        <v>1.6025050653895923E-2</v>
      </c>
      <c r="M485" s="225"/>
      <c r="N485" s="1319"/>
      <c r="O485" s="1319"/>
      <c r="P485" s="1319"/>
      <c r="Q485" s="35">
        <v>43024</v>
      </c>
      <c r="R485" s="36">
        <v>2.3E-2</v>
      </c>
      <c r="S485" s="37">
        <v>1.95E-2</v>
      </c>
    </row>
    <row r="486" spans="1:19" x14ac:dyDescent="0.2">
      <c r="A486" s="1"/>
      <c r="B486" s="13">
        <v>45009</v>
      </c>
      <c r="C486" s="14">
        <v>271.45</v>
      </c>
      <c r="D486" s="15">
        <v>212644</v>
      </c>
      <c r="E486" s="14">
        <v>266</v>
      </c>
      <c r="F486" s="14">
        <v>273</v>
      </c>
      <c r="G486" s="16">
        <v>262.30500000000001</v>
      </c>
      <c r="H486" s="69">
        <f t="shared" si="22"/>
        <v>7.7591327591326475E-3</v>
      </c>
      <c r="M486" s="225"/>
      <c r="N486" s="1319"/>
      <c r="O486" s="1319"/>
      <c r="P486" s="1319"/>
      <c r="Q486" s="35">
        <v>43025</v>
      </c>
      <c r="R486" s="36">
        <v>2.3E-2</v>
      </c>
      <c r="S486" s="37">
        <v>1.9699999999999999E-2</v>
      </c>
    </row>
    <row r="487" spans="1:19" x14ac:dyDescent="0.2">
      <c r="A487" s="1"/>
      <c r="B487" s="13">
        <v>45008</v>
      </c>
      <c r="C487" s="14">
        <v>269.36</v>
      </c>
      <c r="D487" s="15">
        <v>365261</v>
      </c>
      <c r="E487" s="14">
        <v>277.2</v>
      </c>
      <c r="F487" s="14">
        <v>281.49</v>
      </c>
      <c r="G487" s="16">
        <v>266.39</v>
      </c>
      <c r="H487" s="69">
        <f t="shared" si="22"/>
        <v>-1.7991578410105902E-2</v>
      </c>
      <c r="M487" s="225"/>
      <c r="N487" s="1319"/>
      <c r="O487" s="1319"/>
      <c r="P487" s="1319"/>
      <c r="Q487" s="35">
        <v>43026</v>
      </c>
      <c r="R487" s="36">
        <v>2.3399999999999997E-2</v>
      </c>
      <c r="S487" s="37">
        <v>1.9900000000000001E-2</v>
      </c>
    </row>
    <row r="488" spans="1:19" x14ac:dyDescent="0.2">
      <c r="A488" s="1"/>
      <c r="B488" s="13">
        <v>45007</v>
      </c>
      <c r="C488" s="14">
        <v>274.29500000000002</v>
      </c>
      <c r="D488" s="15">
        <v>272559</v>
      </c>
      <c r="E488" s="14">
        <v>278.32</v>
      </c>
      <c r="F488" s="14">
        <v>283.39999999999998</v>
      </c>
      <c r="G488" s="16">
        <v>272.8107</v>
      </c>
      <c r="H488" s="69">
        <f t="shared" ref="H488:H551" si="23">C488/C489-1</f>
        <v>-2.5629640154879008E-2</v>
      </c>
      <c r="M488" s="225"/>
      <c r="N488" s="1319"/>
      <c r="O488" s="1319"/>
      <c r="P488" s="1319"/>
      <c r="Q488" s="35">
        <v>43027</v>
      </c>
      <c r="R488" s="36">
        <v>2.3300000000000001E-2</v>
      </c>
      <c r="S488" s="37">
        <v>1.9799999999999998E-2</v>
      </c>
    </row>
    <row r="489" spans="1:19" x14ac:dyDescent="0.2">
      <c r="A489" s="1"/>
      <c r="B489" s="13">
        <v>45006</v>
      </c>
      <c r="C489" s="14">
        <v>281.51</v>
      </c>
      <c r="D489" s="15">
        <v>382646</v>
      </c>
      <c r="E489" s="14">
        <v>277.97000000000003</v>
      </c>
      <c r="F489" s="14">
        <v>282.95</v>
      </c>
      <c r="G489" s="16">
        <v>275.89</v>
      </c>
      <c r="H489" s="69">
        <f t="shared" si="23"/>
        <v>4.0125623498983964E-2</v>
      </c>
      <c r="M489" s="225"/>
      <c r="N489" s="1319"/>
      <c r="O489" s="1319"/>
      <c r="P489" s="1319"/>
      <c r="Q489" s="35">
        <v>43028</v>
      </c>
      <c r="R489" s="36">
        <v>2.3900000000000001E-2</v>
      </c>
      <c r="S489" s="37">
        <v>2.0299999999999999E-2</v>
      </c>
    </row>
    <row r="490" spans="1:19" x14ac:dyDescent="0.2">
      <c r="A490" s="1"/>
      <c r="B490" s="13">
        <v>45005</v>
      </c>
      <c r="C490" s="14">
        <v>270.64999999999998</v>
      </c>
      <c r="D490" s="15">
        <v>312082</v>
      </c>
      <c r="E490" s="14">
        <v>268.08999999999997</v>
      </c>
      <c r="F490" s="14">
        <v>272.83</v>
      </c>
      <c r="G490" s="16">
        <v>264.72000000000003</v>
      </c>
      <c r="H490" s="69">
        <f t="shared" si="23"/>
        <v>1.0566798596072013E-2</v>
      </c>
      <c r="M490" s="225"/>
      <c r="N490" s="1319"/>
      <c r="O490" s="1319"/>
      <c r="P490" s="1319"/>
      <c r="Q490" s="35">
        <v>43031</v>
      </c>
      <c r="R490" s="36">
        <v>2.3799999999999998E-2</v>
      </c>
      <c r="S490" s="37">
        <v>2.0099999999999996E-2</v>
      </c>
    </row>
    <row r="491" spans="1:19" x14ac:dyDescent="0.2">
      <c r="A491" s="1"/>
      <c r="B491" s="13">
        <v>45002</v>
      </c>
      <c r="C491" s="14">
        <v>267.82</v>
      </c>
      <c r="D491" s="15">
        <v>472517</v>
      </c>
      <c r="E491" s="14">
        <v>275.26</v>
      </c>
      <c r="F491" s="14">
        <v>281.20999999999998</v>
      </c>
      <c r="G491" s="16">
        <v>266.91000000000003</v>
      </c>
      <c r="H491" s="69">
        <f t="shared" si="23"/>
        <v>-3.8037426816565634E-2</v>
      </c>
      <c r="M491" s="225"/>
      <c r="N491" s="1319"/>
      <c r="O491" s="1319"/>
      <c r="P491" s="1319"/>
      <c r="Q491" s="35">
        <v>43032</v>
      </c>
      <c r="R491" s="36">
        <v>2.4199999999999999E-2</v>
      </c>
      <c r="S491" s="37">
        <v>2.0499999999999997E-2</v>
      </c>
    </row>
    <row r="492" spans="1:19" x14ac:dyDescent="0.2">
      <c r="A492" s="1"/>
      <c r="B492" s="13">
        <v>45001</v>
      </c>
      <c r="C492" s="14">
        <v>278.41000000000003</v>
      </c>
      <c r="D492" s="15">
        <v>292537</v>
      </c>
      <c r="E492" s="14">
        <v>267.64999999999998</v>
      </c>
      <c r="F492" s="14">
        <v>279.99</v>
      </c>
      <c r="G492" s="16">
        <v>264.67</v>
      </c>
      <c r="H492" s="69">
        <f t="shared" si="23"/>
        <v>2.3039611964430273E-2</v>
      </c>
      <c r="M492" s="225"/>
      <c r="N492" s="1319"/>
      <c r="O492" s="1319"/>
      <c r="P492" s="1319"/>
      <c r="Q492" s="35">
        <v>43033</v>
      </c>
      <c r="R492" s="36">
        <v>2.4399999999999998E-2</v>
      </c>
      <c r="S492" s="37">
        <v>2.06E-2</v>
      </c>
    </row>
    <row r="493" spans="1:19" x14ac:dyDescent="0.2">
      <c r="A493" s="1"/>
      <c r="B493" s="13">
        <v>45000</v>
      </c>
      <c r="C493" s="14">
        <v>272.14</v>
      </c>
      <c r="D493" s="15">
        <v>441778</v>
      </c>
      <c r="E493" s="14">
        <v>270.12</v>
      </c>
      <c r="F493" s="14">
        <v>273.85000000000002</v>
      </c>
      <c r="G493" s="16">
        <v>264.17</v>
      </c>
      <c r="H493" s="69">
        <f t="shared" si="23"/>
        <v>-1.5519299641862383E-2</v>
      </c>
      <c r="M493" s="225"/>
      <c r="N493" s="1319"/>
      <c r="O493" s="1319"/>
      <c r="P493" s="1319"/>
      <c r="Q493" s="35">
        <v>43034</v>
      </c>
      <c r="R493" s="36">
        <v>2.46E-2</v>
      </c>
      <c r="S493" s="37">
        <v>2.07E-2</v>
      </c>
    </row>
    <row r="494" spans="1:19" x14ac:dyDescent="0.2">
      <c r="A494" s="1"/>
      <c r="B494" s="13">
        <v>44999</v>
      </c>
      <c r="C494" s="14">
        <v>276.43</v>
      </c>
      <c r="D494" s="15">
        <v>467887</v>
      </c>
      <c r="E494" s="14">
        <v>278.43</v>
      </c>
      <c r="F494" s="14">
        <v>283.22000000000003</v>
      </c>
      <c r="G494" s="16">
        <v>269.76</v>
      </c>
      <c r="H494" s="69">
        <f t="shared" si="23"/>
        <v>2.218688754945819E-2</v>
      </c>
      <c r="M494" s="225"/>
      <c r="N494" s="1319"/>
      <c r="O494" s="1319"/>
      <c r="P494" s="1319"/>
      <c r="Q494" s="35">
        <v>43035</v>
      </c>
      <c r="R494" s="36">
        <v>2.4199999999999999E-2</v>
      </c>
      <c r="S494" s="37">
        <v>2.0299999999999999E-2</v>
      </c>
    </row>
    <row r="495" spans="1:19" x14ac:dyDescent="0.2">
      <c r="A495" s="1"/>
      <c r="B495" s="13">
        <v>44998</v>
      </c>
      <c r="C495" s="14">
        <v>270.43</v>
      </c>
      <c r="D495" s="15">
        <v>289373</v>
      </c>
      <c r="E495" s="14">
        <v>272.32</v>
      </c>
      <c r="F495" s="14">
        <v>274.48500000000001</v>
      </c>
      <c r="G495" s="16">
        <v>263.84500000000003</v>
      </c>
      <c r="H495" s="69">
        <f t="shared" si="23"/>
        <v>-2.1280445876008858E-2</v>
      </c>
      <c r="M495" s="225"/>
      <c r="N495" s="1319"/>
      <c r="O495" s="1319"/>
      <c r="P495" s="1319"/>
      <c r="Q495" s="35">
        <v>43038</v>
      </c>
      <c r="R495" s="36">
        <v>2.3700000000000002E-2</v>
      </c>
      <c r="S495" s="37">
        <v>0.02</v>
      </c>
    </row>
    <row r="496" spans="1:19" x14ac:dyDescent="0.2">
      <c r="A496" s="1"/>
      <c r="B496" s="13">
        <v>44995</v>
      </c>
      <c r="C496" s="14">
        <v>276.31</v>
      </c>
      <c r="D496" s="15">
        <v>457078</v>
      </c>
      <c r="E496" s="14">
        <v>279.95</v>
      </c>
      <c r="F496" s="14">
        <v>281.76749999999998</v>
      </c>
      <c r="G496" s="16">
        <v>272.8</v>
      </c>
      <c r="H496" s="69">
        <f t="shared" si="23"/>
        <v>-1.5499180503099952E-2</v>
      </c>
      <c r="M496" s="225"/>
      <c r="N496" s="1319"/>
      <c r="O496" s="1319"/>
      <c r="P496" s="1319"/>
      <c r="Q496" s="35">
        <v>43039</v>
      </c>
      <c r="R496" s="36">
        <v>2.3799999999999998E-2</v>
      </c>
      <c r="S496" s="37">
        <v>2.0099999999999996E-2</v>
      </c>
    </row>
    <row r="497" spans="1:19" x14ac:dyDescent="0.2">
      <c r="A497" s="1"/>
      <c r="B497" s="13">
        <v>44994</v>
      </c>
      <c r="C497" s="14">
        <v>280.66000000000003</v>
      </c>
      <c r="D497" s="15">
        <v>232281</v>
      </c>
      <c r="E497" s="14">
        <v>289.56</v>
      </c>
      <c r="F497" s="14">
        <v>295.04500000000002</v>
      </c>
      <c r="G497" s="16">
        <v>280.17</v>
      </c>
      <c r="H497" s="69">
        <f t="shared" si="23"/>
        <v>-3.0736289542754425E-2</v>
      </c>
      <c r="M497" s="225"/>
      <c r="N497" s="1319"/>
      <c r="O497" s="1319"/>
      <c r="P497" s="1319"/>
      <c r="Q497" s="35">
        <v>43040</v>
      </c>
      <c r="R497" s="36">
        <v>2.3700000000000002E-2</v>
      </c>
      <c r="S497" s="37">
        <v>2.0099999999999996E-2</v>
      </c>
    </row>
    <row r="498" spans="1:19" x14ac:dyDescent="0.2">
      <c r="A498" s="1"/>
      <c r="B498" s="13">
        <v>44993</v>
      </c>
      <c r="C498" s="14">
        <v>289.56</v>
      </c>
      <c r="D498" s="15">
        <v>117529</v>
      </c>
      <c r="E498" s="14">
        <v>287.22000000000003</v>
      </c>
      <c r="F498" s="14">
        <v>289.91000000000003</v>
      </c>
      <c r="G498" s="16">
        <v>284.43</v>
      </c>
      <c r="H498" s="69">
        <f t="shared" si="23"/>
        <v>3.9525691699604515E-3</v>
      </c>
      <c r="M498" s="225"/>
      <c r="N498" s="1319"/>
      <c r="O498" s="1319"/>
      <c r="P498" s="1319"/>
      <c r="Q498" s="35">
        <v>43041</v>
      </c>
      <c r="R498" s="36">
        <v>2.35E-2</v>
      </c>
      <c r="S498" s="37">
        <v>0.02</v>
      </c>
    </row>
    <row r="499" spans="1:19" x14ac:dyDescent="0.2">
      <c r="A499" s="1"/>
      <c r="B499" s="13">
        <v>44992</v>
      </c>
      <c r="C499" s="14">
        <v>288.42</v>
      </c>
      <c r="D499" s="15">
        <v>308364</v>
      </c>
      <c r="E499" s="14">
        <v>292.81</v>
      </c>
      <c r="F499" s="14">
        <v>295.72000000000003</v>
      </c>
      <c r="G499" s="16">
        <v>286.17</v>
      </c>
      <c r="H499" s="69">
        <f t="shared" si="23"/>
        <v>-1.4992657354598538E-2</v>
      </c>
      <c r="M499" s="225"/>
      <c r="N499" s="1319"/>
      <c r="O499" s="1319"/>
      <c r="P499" s="1319"/>
      <c r="Q499" s="35">
        <v>43042</v>
      </c>
      <c r="R499" s="36">
        <v>2.3399999999999997E-2</v>
      </c>
      <c r="S499" s="37">
        <v>1.9900000000000001E-2</v>
      </c>
    </row>
    <row r="500" spans="1:19" x14ac:dyDescent="0.2">
      <c r="A500" s="1"/>
      <c r="B500" s="13">
        <v>44991</v>
      </c>
      <c r="C500" s="14">
        <v>292.81</v>
      </c>
      <c r="D500" s="15">
        <v>330042</v>
      </c>
      <c r="E500" s="14">
        <v>293.25</v>
      </c>
      <c r="F500" s="14">
        <v>298.35000000000002</v>
      </c>
      <c r="G500" s="16">
        <v>291.3</v>
      </c>
      <c r="H500" s="69">
        <f t="shared" si="23"/>
        <v>-9.6059529849483738E-3</v>
      </c>
      <c r="M500" s="225"/>
      <c r="N500" s="1319"/>
      <c r="O500" s="1319"/>
      <c r="P500" s="1319"/>
      <c r="Q500" s="35">
        <v>43045</v>
      </c>
      <c r="R500" s="36">
        <v>2.3199999999999998E-2</v>
      </c>
      <c r="S500" s="37">
        <v>1.9900000000000001E-2</v>
      </c>
    </row>
    <row r="501" spans="1:19" x14ac:dyDescent="0.2">
      <c r="A501" s="1"/>
      <c r="B501" s="13">
        <v>44988</v>
      </c>
      <c r="C501" s="14">
        <v>295.64999999999998</v>
      </c>
      <c r="D501" s="15">
        <v>544768</v>
      </c>
      <c r="E501" s="14">
        <v>289.01</v>
      </c>
      <c r="F501" s="14">
        <v>296.73</v>
      </c>
      <c r="G501" s="16">
        <v>288.66000000000003</v>
      </c>
      <c r="H501" s="69">
        <f t="shared" si="23"/>
        <v>3.5442860645116037E-2</v>
      </c>
      <c r="M501" s="225"/>
      <c r="N501" s="1319"/>
      <c r="O501" s="1319"/>
      <c r="P501" s="1319"/>
      <c r="Q501" s="35">
        <v>43046</v>
      </c>
      <c r="R501" s="36">
        <v>2.3199999999999998E-2</v>
      </c>
      <c r="S501" s="37">
        <v>1.9900000000000001E-2</v>
      </c>
    </row>
    <row r="502" spans="1:19" x14ac:dyDescent="0.2">
      <c r="A502" s="1"/>
      <c r="B502" s="13">
        <v>44987</v>
      </c>
      <c r="C502" s="14">
        <v>285.52999999999997</v>
      </c>
      <c r="D502" s="15">
        <v>392884</v>
      </c>
      <c r="E502" s="14">
        <v>270.49</v>
      </c>
      <c r="F502" s="14">
        <v>287.77</v>
      </c>
      <c r="G502" s="16">
        <v>269.26</v>
      </c>
      <c r="H502" s="69">
        <f t="shared" si="23"/>
        <v>4.8124219954481795E-2</v>
      </c>
      <c r="M502" s="225"/>
      <c r="N502" s="1319"/>
      <c r="O502" s="1319"/>
      <c r="P502" s="1319"/>
      <c r="Q502" s="35">
        <v>43047</v>
      </c>
      <c r="R502" s="36">
        <v>2.3199999999999998E-2</v>
      </c>
      <c r="S502" s="37">
        <v>2.0099999999999996E-2</v>
      </c>
    </row>
    <row r="503" spans="1:19" x14ac:dyDescent="0.2">
      <c r="A503" s="1"/>
      <c r="B503" s="13">
        <v>44986</v>
      </c>
      <c r="C503" s="14">
        <v>272.42</v>
      </c>
      <c r="D503" s="15">
        <v>289809</v>
      </c>
      <c r="E503" s="14">
        <v>270.87</v>
      </c>
      <c r="F503" s="14">
        <v>277.04500000000002</v>
      </c>
      <c r="G503" s="16">
        <v>269.565</v>
      </c>
      <c r="H503" s="69">
        <f t="shared" si="23"/>
        <v>5.7223022113930266E-3</v>
      </c>
      <c r="M503" s="225"/>
      <c r="N503" s="1319"/>
      <c r="O503" s="1319"/>
      <c r="P503" s="1319"/>
      <c r="Q503" s="35">
        <v>43048</v>
      </c>
      <c r="R503" s="36">
        <v>2.3300000000000001E-2</v>
      </c>
      <c r="S503" s="37">
        <v>2.0099999999999996E-2</v>
      </c>
    </row>
    <row r="504" spans="1:19" x14ac:dyDescent="0.2">
      <c r="A504" s="1"/>
      <c r="B504" s="13">
        <v>44985</v>
      </c>
      <c r="C504" s="14">
        <v>270.87</v>
      </c>
      <c r="D504" s="15">
        <v>377327</v>
      </c>
      <c r="E504" s="14">
        <v>270.47000000000003</v>
      </c>
      <c r="F504" s="14">
        <v>273.93</v>
      </c>
      <c r="G504" s="16">
        <v>266.44</v>
      </c>
      <c r="H504" s="69">
        <f t="shared" si="23"/>
        <v>8.8681964305514782E-4</v>
      </c>
      <c r="M504" s="225"/>
      <c r="N504" s="1319"/>
      <c r="O504" s="1319"/>
      <c r="P504" s="1319"/>
      <c r="Q504" s="35">
        <v>43049</v>
      </c>
      <c r="R504" s="36">
        <v>2.4E-2</v>
      </c>
      <c r="S504" s="37">
        <v>2.06E-2</v>
      </c>
    </row>
    <row r="505" spans="1:19" x14ac:dyDescent="0.2">
      <c r="A505" s="1"/>
      <c r="B505" s="13">
        <v>44984</v>
      </c>
      <c r="C505" s="14">
        <v>270.63</v>
      </c>
      <c r="D505" s="15">
        <v>263014</v>
      </c>
      <c r="E505" s="14">
        <v>273.79000000000002</v>
      </c>
      <c r="F505" s="14">
        <v>274.89</v>
      </c>
      <c r="G505" s="16">
        <v>269.51</v>
      </c>
      <c r="H505" s="69">
        <f t="shared" si="23"/>
        <v>9.6164515293861719E-4</v>
      </c>
      <c r="M505" s="225"/>
      <c r="N505" s="1319"/>
      <c r="O505" s="1319"/>
      <c r="P505" s="1319"/>
      <c r="Q505" s="35">
        <v>43052</v>
      </c>
      <c r="R505" s="36">
        <v>2.4E-2</v>
      </c>
      <c r="S505" s="37">
        <v>2.0799999999999999E-2</v>
      </c>
    </row>
    <row r="506" spans="1:19" x14ac:dyDescent="0.2">
      <c r="A506" s="1"/>
      <c r="B506" s="13">
        <v>44981</v>
      </c>
      <c r="C506" s="14">
        <v>270.37</v>
      </c>
      <c r="D506" s="15">
        <v>359548</v>
      </c>
      <c r="E506" s="14">
        <v>271.08</v>
      </c>
      <c r="F506" s="14">
        <v>273.35000000000002</v>
      </c>
      <c r="G506" s="16">
        <v>267.54000000000002</v>
      </c>
      <c r="H506" s="69">
        <f t="shared" si="23"/>
        <v>-2.3617781950814432E-2</v>
      </c>
      <c r="M506" s="225"/>
      <c r="N506" s="1319"/>
      <c r="O506" s="1319"/>
      <c r="P506" s="1319"/>
      <c r="Q506" s="35">
        <v>43053</v>
      </c>
      <c r="R506" s="36">
        <v>2.3799999999999998E-2</v>
      </c>
      <c r="S506" s="37">
        <v>2.06E-2</v>
      </c>
    </row>
    <row r="507" spans="1:19" x14ac:dyDescent="0.2">
      <c r="A507" s="1"/>
      <c r="B507" s="13">
        <v>44980</v>
      </c>
      <c r="C507" s="14">
        <v>276.91000000000003</v>
      </c>
      <c r="D507" s="15">
        <v>330357</v>
      </c>
      <c r="E507" s="14">
        <v>275.14</v>
      </c>
      <c r="F507" s="14">
        <v>279.2</v>
      </c>
      <c r="G507" s="16">
        <v>270.98</v>
      </c>
      <c r="H507" s="69">
        <f t="shared" si="23"/>
        <v>8.4489602680362097E-3</v>
      </c>
      <c r="M507" s="225"/>
      <c r="N507" s="1319"/>
      <c r="O507" s="1319"/>
      <c r="P507" s="1319"/>
      <c r="Q507" s="35">
        <v>43054</v>
      </c>
      <c r="R507" s="36">
        <v>2.3300000000000001E-2</v>
      </c>
      <c r="S507" s="37">
        <v>2.0400000000000001E-2</v>
      </c>
    </row>
    <row r="508" spans="1:19" x14ac:dyDescent="0.2">
      <c r="A508" s="1"/>
      <c r="B508" s="13">
        <v>44979</v>
      </c>
      <c r="C508" s="14">
        <v>274.58999999999997</v>
      </c>
      <c r="D508" s="15">
        <v>452595</v>
      </c>
      <c r="E508" s="14">
        <v>273</v>
      </c>
      <c r="F508" s="14">
        <v>278.2</v>
      </c>
      <c r="G508" s="16">
        <v>272.89499999999998</v>
      </c>
      <c r="H508" s="69">
        <f t="shared" si="23"/>
        <v>6.9306930693069368E-3</v>
      </c>
      <c r="M508" s="225"/>
      <c r="N508" s="1319"/>
      <c r="O508" s="1319"/>
      <c r="P508" s="1319"/>
      <c r="Q508" s="35">
        <v>43055</v>
      </c>
      <c r="R508" s="36">
        <v>2.3700000000000002E-2</v>
      </c>
      <c r="S508" s="37">
        <v>2.07E-2</v>
      </c>
    </row>
    <row r="509" spans="1:19" x14ac:dyDescent="0.2">
      <c r="A509" s="1"/>
      <c r="B509" s="13">
        <v>44978</v>
      </c>
      <c r="C509" s="14">
        <v>272.7</v>
      </c>
      <c r="D509" s="15">
        <v>466421</v>
      </c>
      <c r="E509" s="14">
        <v>277.58</v>
      </c>
      <c r="F509" s="14">
        <v>281.89</v>
      </c>
      <c r="G509" s="16">
        <v>271.13</v>
      </c>
      <c r="H509" s="69">
        <f t="shared" si="23"/>
        <v>-3.5918829102736471E-2</v>
      </c>
      <c r="M509" s="225"/>
      <c r="N509" s="1319"/>
      <c r="O509" s="1319"/>
      <c r="P509" s="1319"/>
      <c r="Q509" s="35">
        <v>43056</v>
      </c>
      <c r="R509" s="36">
        <v>2.35E-2</v>
      </c>
      <c r="S509" s="37">
        <v>2.06E-2</v>
      </c>
    </row>
    <row r="510" spans="1:19" x14ac:dyDescent="0.2">
      <c r="A510" s="1"/>
      <c r="B510" s="13">
        <v>44974</v>
      </c>
      <c r="C510" s="14">
        <v>282.86</v>
      </c>
      <c r="D510" s="15">
        <v>370939</v>
      </c>
      <c r="E510" s="14">
        <v>277.81</v>
      </c>
      <c r="F510" s="14">
        <v>283.11</v>
      </c>
      <c r="G510" s="16">
        <v>273.64999999999998</v>
      </c>
      <c r="H510" s="69">
        <f t="shared" si="23"/>
        <v>1.9976921967402417E-2</v>
      </c>
      <c r="M510" s="225"/>
      <c r="N510" s="1319"/>
      <c r="O510" s="1319"/>
      <c r="P510" s="1319"/>
      <c r="Q510" s="35">
        <v>43059</v>
      </c>
      <c r="R510" s="36">
        <v>2.3700000000000002E-2</v>
      </c>
      <c r="S510" s="37">
        <v>2.0899999999999998E-2</v>
      </c>
    </row>
    <row r="511" spans="1:19" x14ac:dyDescent="0.2">
      <c r="A511" s="1"/>
      <c r="B511" s="13">
        <v>44973</v>
      </c>
      <c r="C511" s="14">
        <v>277.32</v>
      </c>
      <c r="D511" s="15">
        <v>384743</v>
      </c>
      <c r="E511" s="14">
        <v>277.47000000000003</v>
      </c>
      <c r="F511" s="14">
        <v>286.06</v>
      </c>
      <c r="G511" s="16">
        <v>272.61</v>
      </c>
      <c r="H511" s="69">
        <f t="shared" si="23"/>
        <v>-1.4638999431495159E-2</v>
      </c>
      <c r="M511" s="225"/>
      <c r="N511" s="1319"/>
      <c r="O511" s="1319"/>
      <c r="P511" s="1319"/>
      <c r="Q511" s="35">
        <v>43060</v>
      </c>
      <c r="R511" s="36">
        <v>2.3599999999999999E-2</v>
      </c>
      <c r="S511" s="37">
        <v>2.1099999999999997E-2</v>
      </c>
    </row>
    <row r="512" spans="1:19" x14ac:dyDescent="0.2">
      <c r="A512" s="1"/>
      <c r="B512" s="13">
        <v>44972</v>
      </c>
      <c r="C512" s="14">
        <v>281.44</v>
      </c>
      <c r="D512" s="15">
        <v>238834</v>
      </c>
      <c r="E512" s="14">
        <v>272.44</v>
      </c>
      <c r="F512" s="14">
        <v>281.44</v>
      </c>
      <c r="G512" s="16">
        <v>272.44</v>
      </c>
      <c r="H512" s="69">
        <f t="shared" si="23"/>
        <v>1.2811285446955534E-2</v>
      </c>
      <c r="M512" s="225"/>
      <c r="N512" s="1319"/>
      <c r="O512" s="1319"/>
      <c r="P512" s="1319"/>
      <c r="Q512" s="35">
        <v>43061</v>
      </c>
      <c r="R512" s="36">
        <v>2.3199999999999998E-2</v>
      </c>
      <c r="S512" s="37">
        <v>2.0499999999999997E-2</v>
      </c>
    </row>
    <row r="513" spans="1:19" x14ac:dyDescent="0.2">
      <c r="A513" s="1"/>
      <c r="B513" s="13">
        <v>44971</v>
      </c>
      <c r="C513" s="14">
        <v>277.88</v>
      </c>
      <c r="D513" s="15">
        <v>229168</v>
      </c>
      <c r="E513" s="14">
        <v>272.43</v>
      </c>
      <c r="F513" s="14">
        <v>278.41000000000003</v>
      </c>
      <c r="G513" s="16">
        <v>268.04000000000002</v>
      </c>
      <c r="H513" s="69">
        <f t="shared" si="23"/>
        <v>1.0472727272727189E-2</v>
      </c>
      <c r="M513" s="225"/>
      <c r="N513" s="1319"/>
      <c r="O513" s="1319"/>
      <c r="P513" s="1319"/>
      <c r="Q513" s="35">
        <v>43063</v>
      </c>
      <c r="R513" s="36">
        <v>2.3399999999999997E-2</v>
      </c>
      <c r="S513" s="37">
        <v>2.07E-2</v>
      </c>
    </row>
    <row r="514" spans="1:19" x14ac:dyDescent="0.2">
      <c r="A514" s="1"/>
      <c r="B514" s="13">
        <v>44970</v>
      </c>
      <c r="C514" s="14">
        <v>275</v>
      </c>
      <c r="D514" s="15">
        <v>418021</v>
      </c>
      <c r="E514" s="14">
        <v>265.60000000000002</v>
      </c>
      <c r="F514" s="14">
        <v>275.11</v>
      </c>
      <c r="G514" s="16">
        <v>265.57</v>
      </c>
      <c r="H514" s="69">
        <f t="shared" si="23"/>
        <v>1.1029411764705843E-2</v>
      </c>
      <c r="M514" s="225"/>
      <c r="N514" s="1319"/>
      <c r="O514" s="1319"/>
      <c r="P514" s="1319"/>
      <c r="Q514" s="35">
        <v>43066</v>
      </c>
      <c r="R514" s="36">
        <v>2.3199999999999998E-2</v>
      </c>
      <c r="S514" s="37">
        <v>2.06E-2</v>
      </c>
    </row>
    <row r="515" spans="1:19" x14ac:dyDescent="0.2">
      <c r="A515" s="1"/>
      <c r="B515" s="13">
        <v>44967</v>
      </c>
      <c r="C515" s="14">
        <v>272</v>
      </c>
      <c r="D515" s="15">
        <v>526879</v>
      </c>
      <c r="E515" s="14">
        <v>273.04000000000002</v>
      </c>
      <c r="F515" s="14">
        <v>277.39999999999998</v>
      </c>
      <c r="G515" s="16">
        <v>269.10000000000002</v>
      </c>
      <c r="H515" s="69">
        <f t="shared" si="23"/>
        <v>-1.8865202178696472E-2</v>
      </c>
      <c r="M515" s="225"/>
      <c r="N515" s="1319"/>
      <c r="O515" s="1319"/>
      <c r="P515" s="1319"/>
      <c r="Q515" s="35">
        <v>43067</v>
      </c>
      <c r="R515" s="36">
        <v>2.3399999999999997E-2</v>
      </c>
      <c r="S515" s="37">
        <v>2.07E-2</v>
      </c>
    </row>
    <row r="516" spans="1:19" x14ac:dyDescent="0.2">
      <c r="A516" s="1"/>
      <c r="B516" s="13">
        <v>44966</v>
      </c>
      <c r="C516" s="14">
        <v>277.23</v>
      </c>
      <c r="D516" s="15">
        <v>831370</v>
      </c>
      <c r="E516" s="14">
        <v>291.93</v>
      </c>
      <c r="F516" s="14">
        <v>291.93</v>
      </c>
      <c r="G516" s="16">
        <v>274.62</v>
      </c>
      <c r="H516" s="69">
        <f t="shared" si="23"/>
        <v>-4.5745559686079962E-2</v>
      </c>
      <c r="M516" s="225"/>
      <c r="N516" s="1319"/>
      <c r="O516" s="1319"/>
      <c r="P516" s="1319"/>
      <c r="Q516" s="35">
        <v>43068</v>
      </c>
      <c r="R516" s="36">
        <v>2.3700000000000002E-2</v>
      </c>
      <c r="S516" s="37">
        <v>2.0899999999999998E-2</v>
      </c>
    </row>
    <row r="517" spans="1:19" x14ac:dyDescent="0.2">
      <c r="A517" s="1"/>
      <c r="B517" s="13">
        <v>44965</v>
      </c>
      <c r="C517" s="14">
        <v>290.52</v>
      </c>
      <c r="D517" s="15">
        <v>290737</v>
      </c>
      <c r="E517" s="14">
        <v>295.08</v>
      </c>
      <c r="F517" s="14">
        <v>298.29000000000002</v>
      </c>
      <c r="G517" s="16">
        <v>287.60500000000002</v>
      </c>
      <c r="H517" s="69">
        <f t="shared" si="23"/>
        <v>-1.8612978414349834E-2</v>
      </c>
      <c r="M517" s="225"/>
      <c r="N517" s="1319"/>
      <c r="O517" s="1319"/>
      <c r="P517" s="1319"/>
      <c r="Q517" s="35">
        <v>43069</v>
      </c>
      <c r="R517" s="36">
        <v>2.4199999999999999E-2</v>
      </c>
      <c r="S517" s="37">
        <v>2.1400000000000002E-2</v>
      </c>
    </row>
    <row r="518" spans="1:19" x14ac:dyDescent="0.2">
      <c r="A518" s="1"/>
      <c r="B518" s="13">
        <v>44964</v>
      </c>
      <c r="C518" s="14">
        <v>296.02999999999997</v>
      </c>
      <c r="D518" s="15">
        <v>367796</v>
      </c>
      <c r="E518" s="14">
        <v>292.17</v>
      </c>
      <c r="F518" s="14">
        <v>299.62</v>
      </c>
      <c r="G518" s="16">
        <v>288.97000000000003</v>
      </c>
      <c r="H518" s="69">
        <f t="shared" si="23"/>
        <v>8.0362311438006984E-3</v>
      </c>
      <c r="M518" s="225"/>
      <c r="N518" s="1319"/>
      <c r="O518" s="1319"/>
      <c r="P518" s="1319"/>
      <c r="Q518" s="35">
        <v>43070</v>
      </c>
      <c r="R518" s="36">
        <v>2.3700000000000002E-2</v>
      </c>
      <c r="S518" s="37">
        <v>2.1299999999999999E-2</v>
      </c>
    </row>
    <row r="519" spans="1:19" x14ac:dyDescent="0.2">
      <c r="A519" s="1"/>
      <c r="B519" s="13">
        <v>44963</v>
      </c>
      <c r="C519" s="14">
        <v>293.67</v>
      </c>
      <c r="D519" s="15">
        <v>418601</v>
      </c>
      <c r="E519" s="14">
        <v>290.10000000000002</v>
      </c>
      <c r="F519" s="14">
        <v>297.8</v>
      </c>
      <c r="G519" s="16">
        <v>282.95</v>
      </c>
      <c r="H519" s="69">
        <f t="shared" si="23"/>
        <v>2.552730828327987E-2</v>
      </c>
      <c r="M519" s="225"/>
      <c r="N519" s="1319"/>
      <c r="O519" s="1319"/>
      <c r="P519" s="1319"/>
      <c r="Q519" s="35">
        <v>43073</v>
      </c>
      <c r="R519" s="36">
        <v>2.3700000000000002E-2</v>
      </c>
      <c r="S519" s="37">
        <v>2.1499999999999998E-2</v>
      </c>
    </row>
    <row r="520" spans="1:19" x14ac:dyDescent="0.2">
      <c r="A520" s="1"/>
      <c r="B520" s="13">
        <v>44960</v>
      </c>
      <c r="C520" s="14">
        <v>286.36</v>
      </c>
      <c r="D520" s="15">
        <v>746178</v>
      </c>
      <c r="E520" s="14">
        <v>268.52999999999997</v>
      </c>
      <c r="F520" s="14">
        <v>302.54000000000002</v>
      </c>
      <c r="G520" s="16">
        <v>263.91000000000003</v>
      </c>
      <c r="H520" s="69">
        <f t="shared" si="23"/>
        <v>-4.346163207120779E-3</v>
      </c>
      <c r="M520" s="225"/>
      <c r="N520" s="1319"/>
      <c r="O520" s="1319"/>
      <c r="P520" s="1319"/>
      <c r="Q520" s="35">
        <v>43074</v>
      </c>
      <c r="R520" s="36">
        <v>2.3599999999999999E-2</v>
      </c>
      <c r="S520" s="37">
        <v>2.1499999999999998E-2</v>
      </c>
    </row>
    <row r="521" spans="1:19" x14ac:dyDescent="0.2">
      <c r="A521" s="1"/>
      <c r="B521" s="13">
        <v>44959</v>
      </c>
      <c r="C521" s="14">
        <v>287.61</v>
      </c>
      <c r="D521" s="15">
        <v>1652168</v>
      </c>
      <c r="E521" s="14">
        <v>294.56</v>
      </c>
      <c r="F521" s="14">
        <v>306.39999999999998</v>
      </c>
      <c r="G521" s="16">
        <v>286.24</v>
      </c>
      <c r="H521" s="69">
        <f t="shared" si="23"/>
        <v>-2.7161412528751039E-2</v>
      </c>
      <c r="M521" s="225"/>
      <c r="N521" s="1319"/>
      <c r="O521" s="1319"/>
      <c r="P521" s="1319"/>
      <c r="Q521" s="35">
        <v>43075</v>
      </c>
      <c r="R521" s="36">
        <v>2.3300000000000001E-2</v>
      </c>
      <c r="S521" s="37">
        <v>2.1099999999999997E-2</v>
      </c>
    </row>
    <row r="522" spans="1:19" x14ac:dyDescent="0.2">
      <c r="A522" s="1"/>
      <c r="B522" s="13">
        <v>44958</v>
      </c>
      <c r="C522" s="14">
        <v>295.64</v>
      </c>
      <c r="D522" s="15">
        <v>1016982</v>
      </c>
      <c r="E522" s="14">
        <v>279.08999999999997</v>
      </c>
      <c r="F522" s="14">
        <v>300.39</v>
      </c>
      <c r="G522" s="16">
        <v>278.22000000000003</v>
      </c>
      <c r="H522" s="69">
        <f t="shared" si="23"/>
        <v>8.3803797932399782E-2</v>
      </c>
      <c r="M522" s="225"/>
      <c r="N522" s="1319"/>
      <c r="O522" s="1319"/>
      <c r="P522" s="1319"/>
      <c r="Q522" s="35">
        <v>43076</v>
      </c>
      <c r="R522" s="36">
        <v>2.3700000000000002E-2</v>
      </c>
      <c r="S522" s="37">
        <v>2.1400000000000002E-2</v>
      </c>
    </row>
    <row r="523" spans="1:19" x14ac:dyDescent="0.2">
      <c r="A523" s="1"/>
      <c r="B523" s="13">
        <v>44957</v>
      </c>
      <c r="C523" s="14">
        <v>272.77999999999997</v>
      </c>
      <c r="D523" s="15">
        <v>628360</v>
      </c>
      <c r="E523" s="14">
        <v>266.22000000000003</v>
      </c>
      <c r="F523" s="14">
        <v>277.505</v>
      </c>
      <c r="G523" s="16">
        <v>262.27999999999997</v>
      </c>
      <c r="H523" s="69">
        <f t="shared" si="23"/>
        <v>3.1655383684429328E-2</v>
      </c>
      <c r="M523" s="225"/>
      <c r="N523" s="1319"/>
      <c r="O523" s="1319"/>
      <c r="P523" s="1319"/>
      <c r="Q523" s="35">
        <v>43077</v>
      </c>
      <c r="R523" s="36">
        <v>2.3799999999999998E-2</v>
      </c>
      <c r="S523" s="37">
        <v>2.1400000000000002E-2</v>
      </c>
    </row>
    <row r="524" spans="1:19" x14ac:dyDescent="0.2">
      <c r="A524" s="1"/>
      <c r="B524" s="13">
        <v>44956</v>
      </c>
      <c r="C524" s="14">
        <v>264.41000000000003</v>
      </c>
      <c r="D524" s="15">
        <v>449878</v>
      </c>
      <c r="E524" s="14">
        <v>267.67</v>
      </c>
      <c r="F524" s="14">
        <v>271.2</v>
      </c>
      <c r="G524" s="16">
        <v>263.12</v>
      </c>
      <c r="H524" s="69">
        <f t="shared" si="23"/>
        <v>-3.0577451879009954E-2</v>
      </c>
      <c r="M524" s="225"/>
      <c r="N524" s="1319"/>
      <c r="O524" s="1319"/>
      <c r="P524" s="1319"/>
      <c r="Q524" s="35">
        <v>43080</v>
      </c>
      <c r="R524" s="36">
        <v>2.3900000000000001E-2</v>
      </c>
      <c r="S524" s="37">
        <v>2.1600000000000001E-2</v>
      </c>
    </row>
    <row r="525" spans="1:19" x14ac:dyDescent="0.2">
      <c r="A525" s="1"/>
      <c r="B525" s="13">
        <v>44953</v>
      </c>
      <c r="C525" s="14">
        <v>272.75</v>
      </c>
      <c r="D525" s="15">
        <v>728288</v>
      </c>
      <c r="E525" s="14">
        <v>255.8</v>
      </c>
      <c r="F525" s="14">
        <v>278.10000000000002</v>
      </c>
      <c r="G525" s="16">
        <v>255.8</v>
      </c>
      <c r="H525" s="69">
        <f t="shared" si="23"/>
        <v>6.6179344851849065E-2</v>
      </c>
      <c r="M525" s="225"/>
      <c r="N525" s="1319"/>
      <c r="O525" s="1319"/>
      <c r="P525" s="1319"/>
      <c r="Q525" s="35">
        <v>43081</v>
      </c>
      <c r="R525" s="36">
        <v>2.4E-2</v>
      </c>
      <c r="S525" s="37">
        <v>2.18E-2</v>
      </c>
    </row>
    <row r="526" spans="1:19" x14ac:dyDescent="0.2">
      <c r="A526" s="1"/>
      <c r="B526" s="13">
        <v>44952</v>
      </c>
      <c r="C526" s="14">
        <v>255.82</v>
      </c>
      <c r="D526" s="15">
        <v>431993</v>
      </c>
      <c r="E526" s="14">
        <v>259</v>
      </c>
      <c r="F526" s="14">
        <v>261.57</v>
      </c>
      <c r="G526" s="16">
        <v>249.07</v>
      </c>
      <c r="H526" s="69">
        <f t="shared" si="23"/>
        <v>-6.8328286357636214E-3</v>
      </c>
      <c r="M526" s="225"/>
      <c r="N526" s="1319"/>
      <c r="O526" s="1319"/>
      <c r="P526" s="1319"/>
      <c r="Q526" s="35">
        <v>43082</v>
      </c>
      <c r="R526" s="36">
        <v>2.3599999999999999E-2</v>
      </c>
      <c r="S526" s="37">
        <v>2.12E-2</v>
      </c>
    </row>
    <row r="527" spans="1:19" x14ac:dyDescent="0.2">
      <c r="A527" s="1"/>
      <c r="B527" s="13">
        <v>44951</v>
      </c>
      <c r="C527" s="14">
        <v>257.58</v>
      </c>
      <c r="D527" s="15">
        <v>348570</v>
      </c>
      <c r="E527" s="14">
        <v>253.54</v>
      </c>
      <c r="F527" s="14">
        <v>258.68</v>
      </c>
      <c r="G527" s="16">
        <v>250.54</v>
      </c>
      <c r="H527" s="69">
        <f t="shared" si="23"/>
        <v>-4.2138632234122175E-3</v>
      </c>
      <c r="M527" s="225"/>
      <c r="N527" s="1319"/>
      <c r="O527" s="1319"/>
      <c r="P527" s="1319"/>
      <c r="Q527" s="35">
        <v>43083</v>
      </c>
      <c r="R527" s="36">
        <v>2.35E-2</v>
      </c>
      <c r="S527" s="37">
        <v>2.1400000000000002E-2</v>
      </c>
    </row>
    <row r="528" spans="1:19" x14ac:dyDescent="0.2">
      <c r="A528" s="1"/>
      <c r="B528" s="13">
        <v>44950</v>
      </c>
      <c r="C528" s="14">
        <v>258.67</v>
      </c>
      <c r="D528" s="15">
        <v>209362</v>
      </c>
      <c r="E528" s="14">
        <v>257.19</v>
      </c>
      <c r="F528" s="14">
        <v>260.99</v>
      </c>
      <c r="G528" s="16">
        <v>255.745</v>
      </c>
      <c r="H528" s="69">
        <f t="shared" si="23"/>
        <v>-9.0031415217223243E-3</v>
      </c>
      <c r="M528" s="225"/>
      <c r="N528" s="1319"/>
      <c r="O528" s="1319"/>
      <c r="P528" s="1319"/>
      <c r="Q528" s="35">
        <v>43084</v>
      </c>
      <c r="R528" s="36">
        <v>2.35E-2</v>
      </c>
      <c r="S528" s="37">
        <v>2.1600000000000001E-2</v>
      </c>
    </row>
    <row r="529" spans="1:19" x14ac:dyDescent="0.2">
      <c r="A529" s="1"/>
      <c r="B529" s="13">
        <v>44949</v>
      </c>
      <c r="C529" s="14">
        <v>261.02</v>
      </c>
      <c r="D529" s="15">
        <v>527789</v>
      </c>
      <c r="E529" s="14">
        <v>250.76</v>
      </c>
      <c r="F529" s="14">
        <v>264.43</v>
      </c>
      <c r="G529" s="16">
        <v>248.3</v>
      </c>
      <c r="H529" s="69">
        <f t="shared" si="23"/>
        <v>4.8609995179174081E-2</v>
      </c>
      <c r="M529" s="225"/>
      <c r="N529" s="1319"/>
      <c r="O529" s="1319"/>
      <c r="P529" s="1319"/>
      <c r="Q529" s="35">
        <v>43087</v>
      </c>
      <c r="R529" s="36">
        <v>2.3900000000000001E-2</v>
      </c>
      <c r="S529" s="37">
        <v>2.1700000000000001E-2</v>
      </c>
    </row>
    <row r="530" spans="1:19" x14ac:dyDescent="0.2">
      <c r="A530" s="1"/>
      <c r="B530" s="13">
        <v>44946</v>
      </c>
      <c r="C530" s="14">
        <v>248.92</v>
      </c>
      <c r="D530" s="15">
        <v>306122</v>
      </c>
      <c r="E530" s="14">
        <v>243.26</v>
      </c>
      <c r="F530" s="14">
        <v>249.45</v>
      </c>
      <c r="G530" s="16">
        <v>240.87</v>
      </c>
      <c r="H530" s="69">
        <f t="shared" si="23"/>
        <v>3.5182566747067989E-2</v>
      </c>
      <c r="M530" s="225"/>
      <c r="N530" s="1319"/>
      <c r="O530" s="1319"/>
      <c r="P530" s="1319"/>
      <c r="Q530" s="35">
        <v>43088</v>
      </c>
      <c r="R530" s="36">
        <v>2.46E-2</v>
      </c>
      <c r="S530" s="37">
        <v>2.23E-2</v>
      </c>
    </row>
    <row r="531" spans="1:19" x14ac:dyDescent="0.2">
      <c r="A531" s="1"/>
      <c r="B531" s="13">
        <v>44945</v>
      </c>
      <c r="C531" s="14">
        <v>240.46</v>
      </c>
      <c r="D531" s="15">
        <v>350636</v>
      </c>
      <c r="E531" s="14">
        <v>238.52</v>
      </c>
      <c r="F531" s="14">
        <v>243.44</v>
      </c>
      <c r="G531" s="16">
        <v>235.52250000000001</v>
      </c>
      <c r="H531" s="69">
        <f t="shared" si="23"/>
        <v>-1.0208281880299652E-2</v>
      </c>
      <c r="M531" s="225"/>
      <c r="N531" s="1319"/>
      <c r="O531" s="1319"/>
      <c r="P531" s="1319"/>
      <c r="Q531" s="35">
        <v>43089</v>
      </c>
      <c r="R531" s="36">
        <v>2.4900000000000002E-2</v>
      </c>
      <c r="S531" s="37">
        <v>2.2400000000000003E-2</v>
      </c>
    </row>
    <row r="532" spans="1:19" x14ac:dyDescent="0.2">
      <c r="A532" s="1"/>
      <c r="B532" s="13">
        <v>44944</v>
      </c>
      <c r="C532" s="14">
        <v>242.94</v>
      </c>
      <c r="D532" s="15">
        <v>468501</v>
      </c>
      <c r="E532" s="14">
        <v>239.21</v>
      </c>
      <c r="F532" s="14">
        <v>254.32</v>
      </c>
      <c r="G532" s="16">
        <v>227.33</v>
      </c>
      <c r="H532" s="69">
        <f t="shared" si="23"/>
        <v>1.9642407454041777E-2</v>
      </c>
      <c r="M532" s="225"/>
      <c r="N532" s="1319"/>
      <c r="O532" s="1319"/>
      <c r="P532" s="1319"/>
      <c r="Q532" s="35">
        <v>43090</v>
      </c>
      <c r="R532" s="36">
        <v>2.4799999999999999E-2</v>
      </c>
      <c r="S532" s="37">
        <v>2.2599999999999999E-2</v>
      </c>
    </row>
    <row r="533" spans="1:19" x14ac:dyDescent="0.2">
      <c r="A533" s="1"/>
      <c r="B533" s="13">
        <v>44943</v>
      </c>
      <c r="C533" s="14">
        <v>238.26</v>
      </c>
      <c r="D533" s="15">
        <v>275806</v>
      </c>
      <c r="E533" s="14">
        <v>241.37</v>
      </c>
      <c r="F533" s="14">
        <v>243.38</v>
      </c>
      <c r="G533" s="16">
        <v>237.13</v>
      </c>
      <c r="H533" s="69">
        <f t="shared" si="23"/>
        <v>-1.5820562600685761E-2</v>
      </c>
      <c r="M533" s="225"/>
      <c r="N533" s="1319"/>
      <c r="O533" s="1319"/>
      <c r="P533" s="1319"/>
      <c r="Q533" s="35">
        <v>43091</v>
      </c>
      <c r="R533" s="36">
        <v>2.4799999999999999E-2</v>
      </c>
      <c r="S533" s="37">
        <v>2.2599999999999999E-2</v>
      </c>
    </row>
    <row r="534" spans="1:19" x14ac:dyDescent="0.2">
      <c r="A534" s="1"/>
      <c r="B534" s="13">
        <v>44939</v>
      </c>
      <c r="C534" s="14">
        <v>242.09</v>
      </c>
      <c r="D534" s="15">
        <v>276929</v>
      </c>
      <c r="E534" s="14">
        <v>238.49</v>
      </c>
      <c r="F534" s="14">
        <v>242.16</v>
      </c>
      <c r="G534" s="16">
        <v>235.03</v>
      </c>
      <c r="H534" s="69">
        <f t="shared" si="23"/>
        <v>8.7083333333333179E-3</v>
      </c>
      <c r="M534" s="225"/>
      <c r="N534" s="1319"/>
      <c r="O534" s="1319"/>
      <c r="P534" s="1319"/>
      <c r="Q534" s="35">
        <v>43095</v>
      </c>
      <c r="R534" s="36">
        <v>2.4700000000000003E-2</v>
      </c>
      <c r="S534" s="37">
        <v>2.2499999999999999E-2</v>
      </c>
    </row>
    <row r="535" spans="1:19" x14ac:dyDescent="0.2">
      <c r="A535" s="1"/>
      <c r="B535" s="13">
        <v>44938</v>
      </c>
      <c r="C535" s="14">
        <v>240</v>
      </c>
      <c r="D535" s="15">
        <v>308132</v>
      </c>
      <c r="E535" s="14">
        <v>238.06</v>
      </c>
      <c r="F535" s="14">
        <v>240.09</v>
      </c>
      <c r="G535" s="16">
        <v>232.27</v>
      </c>
      <c r="H535" s="69">
        <f t="shared" si="23"/>
        <v>1.4198782961460488E-2</v>
      </c>
      <c r="M535" s="225"/>
      <c r="N535" s="1319"/>
      <c r="O535" s="1319"/>
      <c r="P535" s="1319"/>
      <c r="Q535" s="35">
        <v>43096</v>
      </c>
      <c r="R535" s="36">
        <v>2.4199999999999999E-2</v>
      </c>
      <c r="S535" s="37">
        <v>2.2200000000000001E-2</v>
      </c>
    </row>
    <row r="536" spans="1:19" x14ac:dyDescent="0.2">
      <c r="A536" s="1"/>
      <c r="B536" s="13">
        <v>44937</v>
      </c>
      <c r="C536" s="14">
        <v>236.64</v>
      </c>
      <c r="D536" s="15">
        <v>370258</v>
      </c>
      <c r="E536" s="14">
        <v>235.2</v>
      </c>
      <c r="F536" s="14">
        <v>240.0634</v>
      </c>
      <c r="G536" s="16">
        <v>231.51</v>
      </c>
      <c r="H536" s="69">
        <f t="shared" si="23"/>
        <v>1.942876836255536E-2</v>
      </c>
      <c r="M536" s="225"/>
      <c r="N536" s="1319"/>
      <c r="O536" s="1319"/>
      <c r="P536" s="1319"/>
      <c r="Q536" s="35">
        <v>43097</v>
      </c>
      <c r="R536" s="36">
        <v>2.4300000000000002E-2</v>
      </c>
      <c r="S536" s="37">
        <v>2.23E-2</v>
      </c>
    </row>
    <row r="537" spans="1:19" x14ac:dyDescent="0.2">
      <c r="A537" s="1"/>
      <c r="B537" s="13">
        <v>44936</v>
      </c>
      <c r="C537" s="14">
        <v>232.13</v>
      </c>
      <c r="D537" s="15">
        <v>304056</v>
      </c>
      <c r="E537" s="14">
        <v>227.41</v>
      </c>
      <c r="F537" s="14">
        <v>232.54</v>
      </c>
      <c r="G537" s="16">
        <v>223.63</v>
      </c>
      <c r="H537" s="69">
        <f t="shared" si="23"/>
        <v>2.0755463699925203E-2</v>
      </c>
      <c r="M537" s="225"/>
      <c r="N537" s="1319"/>
      <c r="O537" s="1319"/>
      <c r="P537" s="1319"/>
      <c r="Q537" s="35">
        <v>43098</v>
      </c>
      <c r="R537" s="36">
        <v>2.4E-2</v>
      </c>
      <c r="S537" s="37">
        <v>2.2000000000000002E-2</v>
      </c>
    </row>
    <row r="538" spans="1:19" x14ac:dyDescent="0.2">
      <c r="A538" s="1"/>
      <c r="B538" s="13">
        <v>44935</v>
      </c>
      <c r="C538" s="14">
        <v>227.41</v>
      </c>
      <c r="D538" s="15">
        <v>392027</v>
      </c>
      <c r="E538" s="14">
        <v>227.21</v>
      </c>
      <c r="F538" s="14">
        <v>234.9</v>
      </c>
      <c r="G538" s="16">
        <v>222.02</v>
      </c>
      <c r="H538" s="69">
        <f t="shared" si="23"/>
        <v>2.0920314253647598E-2</v>
      </c>
      <c r="M538" s="225"/>
      <c r="N538" s="1319"/>
      <c r="O538" s="1319"/>
      <c r="P538" s="1319"/>
      <c r="Q538" s="35">
        <v>43102</v>
      </c>
      <c r="R538" s="36">
        <v>2.46E-2</v>
      </c>
      <c r="S538" s="37">
        <v>2.2499999999999999E-2</v>
      </c>
    </row>
    <row r="539" spans="1:19" x14ac:dyDescent="0.2">
      <c r="A539" s="1"/>
      <c r="B539" s="13">
        <v>44932</v>
      </c>
      <c r="C539" s="14">
        <v>222.75</v>
      </c>
      <c r="D539" s="15">
        <v>375207</v>
      </c>
      <c r="E539" s="14">
        <v>212.95</v>
      </c>
      <c r="F539" s="14">
        <v>225.95</v>
      </c>
      <c r="G539" s="16">
        <v>211.55</v>
      </c>
      <c r="H539" s="69">
        <f t="shared" si="23"/>
        <v>5.789323708206684E-2</v>
      </c>
      <c r="M539" s="225"/>
      <c r="N539" s="1319"/>
      <c r="O539" s="1319"/>
      <c r="P539" s="1319"/>
      <c r="Q539" s="35">
        <v>43103</v>
      </c>
      <c r="R539" s="36">
        <v>2.4399999999999998E-2</v>
      </c>
      <c r="S539" s="37">
        <v>2.2499999999999999E-2</v>
      </c>
    </row>
    <row r="540" spans="1:19" x14ac:dyDescent="0.2">
      <c r="A540" s="1"/>
      <c r="B540" s="13">
        <v>44931</v>
      </c>
      <c r="C540" s="14">
        <v>210.56</v>
      </c>
      <c r="D540" s="15">
        <v>389575</v>
      </c>
      <c r="E540" s="14">
        <v>206.88</v>
      </c>
      <c r="F540" s="14">
        <v>212.1925</v>
      </c>
      <c r="G540" s="16">
        <v>204.02</v>
      </c>
      <c r="H540" s="69">
        <f t="shared" si="23"/>
        <v>-1.4227449492555388E-3</v>
      </c>
      <c r="M540" s="225"/>
      <c r="N540" s="1319"/>
      <c r="O540" s="1319"/>
      <c r="P540" s="1319"/>
      <c r="Q540" s="35">
        <v>43104</v>
      </c>
      <c r="R540" s="36">
        <v>2.46E-2</v>
      </c>
      <c r="S540" s="37">
        <v>2.2700000000000001E-2</v>
      </c>
    </row>
    <row r="541" spans="1:19" x14ac:dyDescent="0.2">
      <c r="A541" s="1"/>
      <c r="B541" s="13">
        <v>44930</v>
      </c>
      <c r="C541" s="14">
        <v>210.86</v>
      </c>
      <c r="D541" s="15">
        <v>423535</v>
      </c>
      <c r="E541" s="14">
        <v>210.98</v>
      </c>
      <c r="F541" s="14">
        <v>214.07</v>
      </c>
      <c r="G541" s="16">
        <v>206.89</v>
      </c>
      <c r="H541" s="69">
        <f t="shared" si="23"/>
        <v>1.0785676621446694E-2</v>
      </c>
      <c r="M541" s="225"/>
      <c r="N541" s="1319"/>
      <c r="O541" s="1319"/>
      <c r="P541" s="1319"/>
      <c r="Q541" s="35">
        <v>43105</v>
      </c>
      <c r="R541" s="36">
        <v>2.4700000000000003E-2</v>
      </c>
      <c r="S541" s="37">
        <v>2.29E-2</v>
      </c>
    </row>
    <row r="542" spans="1:19" x14ac:dyDescent="0.2">
      <c r="A542" s="1"/>
      <c r="B542" s="13">
        <v>44929</v>
      </c>
      <c r="C542" s="14">
        <v>208.61</v>
      </c>
      <c r="D542" s="15">
        <v>288256</v>
      </c>
      <c r="E542" s="14">
        <v>212.7</v>
      </c>
      <c r="F542" s="14">
        <v>213.995</v>
      </c>
      <c r="G542" s="16">
        <v>205.05</v>
      </c>
      <c r="H542" s="69">
        <f t="shared" si="23"/>
        <v>-5.1030141167492937E-3</v>
      </c>
      <c r="M542" s="225"/>
      <c r="N542" s="1319"/>
      <c r="O542" s="1319"/>
      <c r="P542" s="1319"/>
      <c r="Q542" s="35">
        <v>43108</v>
      </c>
      <c r="R542" s="36">
        <v>2.4900000000000002E-2</v>
      </c>
      <c r="S542" s="37">
        <v>2.29E-2</v>
      </c>
    </row>
    <row r="543" spans="1:19" x14ac:dyDescent="0.2">
      <c r="A543" s="1"/>
      <c r="B543" s="13">
        <v>44925</v>
      </c>
      <c r="C543" s="14">
        <v>209.68</v>
      </c>
      <c r="D543" s="15">
        <v>219342</v>
      </c>
      <c r="E543" s="14">
        <v>210.02</v>
      </c>
      <c r="F543" s="14">
        <v>214.16</v>
      </c>
      <c r="G543" s="16">
        <v>207.215</v>
      </c>
      <c r="H543" s="69">
        <f t="shared" si="23"/>
        <v>-1.9820493642483061E-2</v>
      </c>
      <c r="M543" s="225"/>
      <c r="N543" s="1319"/>
      <c r="O543" s="1319"/>
      <c r="P543" s="1319"/>
      <c r="Q543" s="35">
        <v>43109</v>
      </c>
      <c r="R543" s="36">
        <v>2.5499999999999998E-2</v>
      </c>
      <c r="S543" s="37">
        <v>2.3300000000000001E-2</v>
      </c>
    </row>
    <row r="544" spans="1:19" x14ac:dyDescent="0.2">
      <c r="A544" s="1"/>
      <c r="B544" s="13">
        <v>44924</v>
      </c>
      <c r="C544" s="14">
        <v>213.92</v>
      </c>
      <c r="D544" s="15">
        <v>198531</v>
      </c>
      <c r="E544" s="14">
        <v>210</v>
      </c>
      <c r="F544" s="14">
        <v>217.24</v>
      </c>
      <c r="G544" s="16">
        <v>207.26</v>
      </c>
      <c r="H544" s="69">
        <f t="shared" si="23"/>
        <v>2.7522935779816571E-2</v>
      </c>
      <c r="M544" s="225"/>
      <c r="N544" s="1319"/>
      <c r="O544" s="1319"/>
      <c r="P544" s="1319"/>
      <c r="Q544" s="35">
        <v>43110</v>
      </c>
      <c r="R544" s="36">
        <v>2.5499999999999998E-2</v>
      </c>
      <c r="S544" s="37">
        <v>2.3199999999999998E-2</v>
      </c>
    </row>
    <row r="545" spans="1:19" x14ac:dyDescent="0.2">
      <c r="A545" s="1"/>
      <c r="B545" s="13">
        <v>44923</v>
      </c>
      <c r="C545" s="14">
        <v>208.19</v>
      </c>
      <c r="D545" s="15">
        <v>204128</v>
      </c>
      <c r="E545" s="14">
        <v>210.83</v>
      </c>
      <c r="F545" s="14">
        <v>212.375</v>
      </c>
      <c r="G545" s="16">
        <v>205.59</v>
      </c>
      <c r="H545" s="69">
        <f t="shared" si="23"/>
        <v>-1.5370790768066578E-2</v>
      </c>
      <c r="M545" s="225"/>
      <c r="N545" s="1319"/>
      <c r="O545" s="1319"/>
      <c r="P545" s="1319"/>
      <c r="Q545" s="35">
        <v>43111</v>
      </c>
      <c r="R545" s="36">
        <v>2.5399999999999999E-2</v>
      </c>
      <c r="S545" s="37">
        <v>2.3199999999999998E-2</v>
      </c>
    </row>
    <row r="546" spans="1:19" x14ac:dyDescent="0.2">
      <c r="A546" s="1"/>
      <c r="B546" s="13">
        <v>44922</v>
      </c>
      <c r="C546" s="14">
        <v>211.44</v>
      </c>
      <c r="D546" s="15">
        <v>216057</v>
      </c>
      <c r="E546" s="14">
        <v>212.81</v>
      </c>
      <c r="F546" s="14">
        <v>214.84</v>
      </c>
      <c r="G546" s="16">
        <v>209.32</v>
      </c>
      <c r="H546" s="69">
        <f t="shared" si="23"/>
        <v>-1.3575927221833428E-2</v>
      </c>
      <c r="M546" s="225"/>
      <c r="N546" s="1319"/>
      <c r="O546" s="1319"/>
      <c r="P546" s="1319"/>
      <c r="Q546" s="35">
        <v>43112</v>
      </c>
      <c r="R546" s="36">
        <v>2.5499999999999998E-2</v>
      </c>
      <c r="S546" s="37">
        <v>2.35E-2</v>
      </c>
    </row>
    <row r="547" spans="1:19" x14ac:dyDescent="0.2">
      <c r="A547" s="1"/>
      <c r="B547" s="13">
        <v>44918</v>
      </c>
      <c r="C547" s="14">
        <v>214.35</v>
      </c>
      <c r="D547" s="15">
        <v>178383</v>
      </c>
      <c r="E547" s="14">
        <v>213.67</v>
      </c>
      <c r="F547" s="14">
        <v>218.23</v>
      </c>
      <c r="G547" s="16">
        <v>211.45</v>
      </c>
      <c r="H547" s="69">
        <f t="shared" si="23"/>
        <v>4.8755332614505154E-3</v>
      </c>
      <c r="M547" s="225"/>
      <c r="N547" s="1319"/>
      <c r="O547" s="1319"/>
      <c r="P547" s="1319"/>
      <c r="Q547" s="35">
        <v>43116</v>
      </c>
      <c r="R547" s="36">
        <v>2.5399999999999999E-2</v>
      </c>
      <c r="S547" s="37">
        <v>2.3599999999999999E-2</v>
      </c>
    </row>
    <row r="548" spans="1:19" x14ac:dyDescent="0.2">
      <c r="A548" s="1"/>
      <c r="B548" s="13">
        <v>44917</v>
      </c>
      <c r="C548" s="14">
        <v>213.31</v>
      </c>
      <c r="D548" s="15">
        <v>203620</v>
      </c>
      <c r="E548" s="14">
        <v>215.73</v>
      </c>
      <c r="F548" s="14">
        <v>215.75</v>
      </c>
      <c r="G548" s="16">
        <v>209.26</v>
      </c>
      <c r="H548" s="69">
        <f t="shared" si="23"/>
        <v>-2.890831284712736E-2</v>
      </c>
      <c r="M548" s="225"/>
      <c r="N548" s="1319"/>
      <c r="O548" s="1319"/>
      <c r="P548" s="1319"/>
      <c r="Q548" s="35">
        <v>43117</v>
      </c>
      <c r="R548" s="36">
        <v>2.5699999999999997E-2</v>
      </c>
      <c r="S548" s="37">
        <v>2.3900000000000001E-2</v>
      </c>
    </row>
    <row r="549" spans="1:19" x14ac:dyDescent="0.2">
      <c r="A549" s="1"/>
      <c r="B549" s="13">
        <v>44916</v>
      </c>
      <c r="C549" s="14">
        <v>219.66</v>
      </c>
      <c r="D549" s="15">
        <v>293846</v>
      </c>
      <c r="E549" s="14">
        <v>216.6</v>
      </c>
      <c r="F549" s="14">
        <v>221.81</v>
      </c>
      <c r="G549" s="16">
        <v>215.52500000000001</v>
      </c>
      <c r="H549" s="69">
        <f t="shared" si="23"/>
        <v>9.0495658964582226E-3</v>
      </c>
      <c r="M549" s="225"/>
      <c r="N549" s="1319"/>
      <c r="O549" s="1319"/>
      <c r="P549" s="1319"/>
      <c r="Q549" s="35">
        <v>43118</v>
      </c>
      <c r="R549" s="36">
        <v>2.6200000000000001E-2</v>
      </c>
      <c r="S549" s="37">
        <v>2.4300000000000002E-2</v>
      </c>
    </row>
    <row r="550" spans="1:19" x14ac:dyDescent="0.2">
      <c r="A550" s="1"/>
      <c r="B550" s="13">
        <v>44915</v>
      </c>
      <c r="C550" s="14">
        <v>217.69</v>
      </c>
      <c r="D550" s="15">
        <v>224182</v>
      </c>
      <c r="E550" s="14">
        <v>219.52</v>
      </c>
      <c r="F550" s="14">
        <v>222.66499999999999</v>
      </c>
      <c r="G550" s="16">
        <v>215.57</v>
      </c>
      <c r="H550" s="69">
        <f t="shared" si="23"/>
        <v>-2.0869878109117113E-2</v>
      </c>
      <c r="M550" s="225"/>
      <c r="N550" s="1319"/>
      <c r="O550" s="1319"/>
      <c r="P550" s="1319"/>
      <c r="Q550" s="35">
        <v>43119</v>
      </c>
      <c r="R550" s="36">
        <v>2.64E-2</v>
      </c>
      <c r="S550" s="37">
        <v>2.4500000000000001E-2</v>
      </c>
    </row>
    <row r="551" spans="1:19" x14ac:dyDescent="0.2">
      <c r="A551" s="1"/>
      <c r="B551" s="13">
        <v>44914</v>
      </c>
      <c r="C551" s="14">
        <v>222.33</v>
      </c>
      <c r="D551" s="15">
        <v>351175</v>
      </c>
      <c r="E551" s="14">
        <v>230.85</v>
      </c>
      <c r="F551" s="14">
        <v>231.095</v>
      </c>
      <c r="G551" s="16">
        <v>219.13</v>
      </c>
      <c r="H551" s="69">
        <f t="shared" si="23"/>
        <v>-2.9762164521056067E-2</v>
      </c>
      <c r="M551" s="225"/>
      <c r="N551" s="1319"/>
      <c r="O551" s="1319"/>
      <c r="P551" s="1319"/>
      <c r="Q551" s="35">
        <v>43122</v>
      </c>
      <c r="R551" s="36">
        <v>2.6600000000000002E-2</v>
      </c>
      <c r="S551" s="37">
        <v>2.46E-2</v>
      </c>
    </row>
    <row r="552" spans="1:19" x14ac:dyDescent="0.2">
      <c r="A552" s="1"/>
      <c r="B552" s="13">
        <v>44911</v>
      </c>
      <c r="C552" s="14">
        <v>229.15</v>
      </c>
      <c r="D552" s="15">
        <v>626859</v>
      </c>
      <c r="E552" s="14">
        <v>225.23</v>
      </c>
      <c r="F552" s="14">
        <v>231.22</v>
      </c>
      <c r="G552" s="16">
        <v>223.73</v>
      </c>
      <c r="H552" s="69">
        <f t="shared" ref="H552:H615" si="24">C552/C553-1</f>
        <v>-6.3310350808725158E-3</v>
      </c>
      <c r="M552" s="225"/>
      <c r="N552" s="1319"/>
      <c r="O552" s="1319"/>
      <c r="P552" s="1319"/>
      <c r="Q552" s="35">
        <v>43123</v>
      </c>
      <c r="R552" s="36">
        <v>2.63E-2</v>
      </c>
      <c r="S552" s="37">
        <v>2.4300000000000002E-2</v>
      </c>
    </row>
    <row r="553" spans="1:19" x14ac:dyDescent="0.2">
      <c r="A553" s="1"/>
      <c r="B553" s="13">
        <v>44910</v>
      </c>
      <c r="C553" s="14">
        <v>230.61</v>
      </c>
      <c r="D553" s="15">
        <v>503331</v>
      </c>
      <c r="E553" s="14">
        <v>234.41</v>
      </c>
      <c r="F553" s="14">
        <v>238.7</v>
      </c>
      <c r="G553" s="16">
        <v>226.98</v>
      </c>
      <c r="H553" s="69">
        <f t="shared" si="24"/>
        <v>-3.4660303905563072E-2</v>
      </c>
      <c r="M553" s="225"/>
      <c r="N553" s="1319"/>
      <c r="O553" s="1319"/>
      <c r="P553" s="1319"/>
      <c r="Q553" s="35">
        <v>43124</v>
      </c>
      <c r="R553" s="36">
        <v>2.6499999999999999E-2</v>
      </c>
      <c r="S553" s="37">
        <v>2.4300000000000002E-2</v>
      </c>
    </row>
    <row r="554" spans="1:19" x14ac:dyDescent="0.2">
      <c r="A554" s="1"/>
      <c r="B554" s="13">
        <v>44909</v>
      </c>
      <c r="C554" s="14">
        <v>238.89</v>
      </c>
      <c r="D554" s="15">
        <v>415494</v>
      </c>
      <c r="E554" s="14">
        <v>234.02</v>
      </c>
      <c r="F554" s="14">
        <v>243.83</v>
      </c>
      <c r="G554" s="16">
        <v>233.55</v>
      </c>
      <c r="H554" s="69">
        <f t="shared" si="24"/>
        <v>1.4481059962629494E-2</v>
      </c>
      <c r="M554" s="225"/>
      <c r="N554" s="1319"/>
      <c r="O554" s="1319"/>
      <c r="P554" s="1319"/>
      <c r="Q554" s="35">
        <v>43125</v>
      </c>
      <c r="R554" s="36">
        <v>2.63E-2</v>
      </c>
      <c r="S554" s="37">
        <v>2.41E-2</v>
      </c>
    </row>
    <row r="555" spans="1:19" x14ac:dyDescent="0.2">
      <c r="A555" s="1"/>
      <c r="B555" s="13">
        <v>44908</v>
      </c>
      <c r="C555" s="14">
        <v>235.48</v>
      </c>
      <c r="D555" s="15">
        <v>410094</v>
      </c>
      <c r="E555" s="14">
        <v>261.36</v>
      </c>
      <c r="F555" s="14">
        <v>261.36</v>
      </c>
      <c r="G555" s="16">
        <v>232.56</v>
      </c>
      <c r="H555" s="69">
        <f t="shared" si="24"/>
        <v>-8.5887504210172549E-3</v>
      </c>
      <c r="M555" s="225"/>
      <c r="N555" s="1319"/>
      <c r="O555" s="1319"/>
      <c r="P555" s="1319"/>
      <c r="Q555" s="35">
        <v>43126</v>
      </c>
      <c r="R555" s="36">
        <v>2.6600000000000002E-2</v>
      </c>
      <c r="S555" s="37">
        <v>2.4700000000000003E-2</v>
      </c>
    </row>
    <row r="556" spans="1:19" x14ac:dyDescent="0.2">
      <c r="A556" s="1"/>
      <c r="B556" s="13">
        <v>44907</v>
      </c>
      <c r="C556" s="14">
        <v>237.52</v>
      </c>
      <c r="D556" s="15">
        <v>379813</v>
      </c>
      <c r="E556" s="14">
        <v>228.59</v>
      </c>
      <c r="F556" s="14">
        <v>238.34</v>
      </c>
      <c r="G556" s="16">
        <v>226.14</v>
      </c>
      <c r="H556" s="69">
        <f t="shared" si="24"/>
        <v>4.0294323756131734E-2</v>
      </c>
      <c r="M556" s="225"/>
      <c r="N556" s="1319"/>
      <c r="O556" s="1319"/>
      <c r="P556" s="1319"/>
      <c r="Q556" s="35">
        <v>43129</v>
      </c>
      <c r="R556" s="36">
        <v>2.7000000000000003E-2</v>
      </c>
      <c r="S556" s="37">
        <v>2.4900000000000002E-2</v>
      </c>
    </row>
    <row r="557" spans="1:19" x14ac:dyDescent="0.2">
      <c r="A557" s="1"/>
      <c r="B557" s="13">
        <v>44904</v>
      </c>
      <c r="C557" s="14">
        <v>228.32</v>
      </c>
      <c r="D557" s="15">
        <v>336511</v>
      </c>
      <c r="E557" s="14">
        <v>225.26</v>
      </c>
      <c r="F557" s="14">
        <v>231.08</v>
      </c>
      <c r="G557" s="16">
        <v>222.33</v>
      </c>
      <c r="H557" s="69">
        <f t="shared" si="24"/>
        <v>3.6485120225064893E-3</v>
      </c>
      <c r="M557" s="225"/>
      <c r="N557" s="1319"/>
      <c r="O557" s="1319"/>
      <c r="P557" s="1319"/>
      <c r="Q557" s="35">
        <v>43130</v>
      </c>
      <c r="R557" s="36">
        <v>2.7300000000000001E-2</v>
      </c>
      <c r="S557" s="37">
        <v>2.5099999999999997E-2</v>
      </c>
    </row>
    <row r="558" spans="1:19" x14ac:dyDescent="0.2">
      <c r="A558" s="1"/>
      <c r="B558" s="13">
        <v>44903</v>
      </c>
      <c r="C558" s="14">
        <v>227.49</v>
      </c>
      <c r="D558" s="15">
        <v>332944</v>
      </c>
      <c r="E558" s="14">
        <v>228.52</v>
      </c>
      <c r="F558" s="14">
        <v>232.14</v>
      </c>
      <c r="G558" s="16">
        <v>224.85</v>
      </c>
      <c r="H558" s="69">
        <f t="shared" si="24"/>
        <v>5.7178043631234132E-4</v>
      </c>
      <c r="M558" s="225"/>
      <c r="N558" s="1319"/>
      <c r="O558" s="1319"/>
      <c r="P558" s="1319"/>
      <c r="Q558" s="35">
        <v>43131</v>
      </c>
      <c r="R558" s="36">
        <v>2.7200000000000002E-2</v>
      </c>
      <c r="S558" s="37">
        <v>2.52E-2</v>
      </c>
    </row>
    <row r="559" spans="1:19" x14ac:dyDescent="0.2">
      <c r="A559" s="1"/>
      <c r="B559" s="13">
        <v>44902</v>
      </c>
      <c r="C559" s="14">
        <v>227.36</v>
      </c>
      <c r="D559" s="15">
        <v>279257</v>
      </c>
      <c r="E559" s="14">
        <v>227.49</v>
      </c>
      <c r="F559" s="14">
        <v>233.3</v>
      </c>
      <c r="G559" s="16">
        <v>225.82</v>
      </c>
      <c r="H559" s="69">
        <f t="shared" si="24"/>
        <v>-7.854773957060468E-3</v>
      </c>
      <c r="M559" s="225"/>
      <c r="N559" s="1319"/>
      <c r="O559" s="1319"/>
      <c r="P559" s="1319"/>
      <c r="Q559" s="35">
        <v>43132</v>
      </c>
      <c r="R559" s="36">
        <v>2.7799999999999998E-2</v>
      </c>
      <c r="S559" s="37">
        <v>2.5600000000000001E-2</v>
      </c>
    </row>
    <row r="560" spans="1:19" x14ac:dyDescent="0.2">
      <c r="A560" s="1"/>
      <c r="B560" s="13">
        <v>44901</v>
      </c>
      <c r="C560" s="14">
        <v>229.16</v>
      </c>
      <c r="D560" s="15">
        <v>354292</v>
      </c>
      <c r="E560" s="14">
        <v>229.72</v>
      </c>
      <c r="F560" s="14">
        <v>231.56</v>
      </c>
      <c r="G560" s="16">
        <v>223.535</v>
      </c>
      <c r="H560" s="69">
        <f t="shared" si="24"/>
        <v>3.4922297887196585E-4</v>
      </c>
      <c r="M560" s="225"/>
      <c r="N560" s="1319"/>
      <c r="O560" s="1319"/>
      <c r="P560" s="1319"/>
      <c r="Q560" s="35">
        <v>43133</v>
      </c>
      <c r="R560" s="36">
        <v>2.8399999999999998E-2</v>
      </c>
      <c r="S560" s="37">
        <v>2.58E-2</v>
      </c>
    </row>
    <row r="561" spans="1:19" x14ac:dyDescent="0.2">
      <c r="A561" s="1"/>
      <c r="B561" s="13">
        <v>44900</v>
      </c>
      <c r="C561" s="14">
        <v>229.08</v>
      </c>
      <c r="D561" s="15">
        <v>339990</v>
      </c>
      <c r="E561" s="14">
        <v>233.07</v>
      </c>
      <c r="F561" s="14">
        <v>236.77</v>
      </c>
      <c r="G561" s="16">
        <v>226.36</v>
      </c>
      <c r="H561" s="69">
        <f t="shared" si="24"/>
        <v>-3.6345280161534488E-2</v>
      </c>
      <c r="M561" s="225"/>
      <c r="N561" s="1319"/>
      <c r="O561" s="1319"/>
      <c r="P561" s="1319"/>
      <c r="Q561" s="35">
        <v>43136</v>
      </c>
      <c r="R561" s="36">
        <v>2.7699999999999999E-2</v>
      </c>
      <c r="S561" s="37">
        <v>2.5000000000000001E-2</v>
      </c>
    </row>
    <row r="562" spans="1:19" x14ac:dyDescent="0.2">
      <c r="A562" s="1"/>
      <c r="B562" s="13">
        <v>44897</v>
      </c>
      <c r="C562" s="14">
        <v>237.72</v>
      </c>
      <c r="D562" s="15">
        <v>403554</v>
      </c>
      <c r="E562" s="14">
        <v>235.07</v>
      </c>
      <c r="F562" s="14">
        <v>241.2</v>
      </c>
      <c r="G562" s="16">
        <v>230.66</v>
      </c>
      <c r="H562" s="69">
        <f t="shared" si="24"/>
        <v>-1.6823687752354211E-4</v>
      </c>
      <c r="M562" s="225"/>
      <c r="N562" s="1319"/>
      <c r="O562" s="1319"/>
      <c r="P562" s="1319"/>
      <c r="Q562" s="35">
        <v>43137</v>
      </c>
      <c r="R562" s="36">
        <v>2.7900000000000001E-2</v>
      </c>
      <c r="S562" s="37">
        <v>2.52E-2</v>
      </c>
    </row>
    <row r="563" spans="1:19" x14ac:dyDescent="0.2">
      <c r="A563" s="1"/>
      <c r="B563" s="13">
        <v>44896</v>
      </c>
      <c r="C563" s="14">
        <v>237.76</v>
      </c>
      <c r="D563" s="15">
        <v>687858</v>
      </c>
      <c r="E563" s="14">
        <v>231.93</v>
      </c>
      <c r="F563" s="14">
        <v>238.923</v>
      </c>
      <c r="G563" s="16">
        <v>228.76</v>
      </c>
      <c r="H563" s="69">
        <f t="shared" si="24"/>
        <v>-2.3933659017201125E-2</v>
      </c>
      <c r="M563" s="225"/>
      <c r="N563" s="1319"/>
      <c r="O563" s="1319"/>
      <c r="P563" s="1319"/>
      <c r="Q563" s="35">
        <v>43138</v>
      </c>
      <c r="R563" s="36">
        <v>2.8399999999999998E-2</v>
      </c>
      <c r="S563" s="37">
        <v>2.5699999999999997E-2</v>
      </c>
    </row>
    <row r="564" spans="1:19" x14ac:dyDescent="0.2">
      <c r="A564" s="1"/>
      <c r="B564" s="13">
        <v>44895</v>
      </c>
      <c r="C564" s="14">
        <v>243.59</v>
      </c>
      <c r="D564" s="15">
        <v>456710</v>
      </c>
      <c r="E564" s="14">
        <v>232.2</v>
      </c>
      <c r="F564" s="14">
        <v>244.55</v>
      </c>
      <c r="G564" s="16">
        <v>230.8</v>
      </c>
      <c r="H564" s="69">
        <f t="shared" si="24"/>
        <v>3.9117822711372874E-2</v>
      </c>
      <c r="M564" s="225"/>
      <c r="N564" s="1319"/>
      <c r="O564" s="1319"/>
      <c r="P564" s="1319"/>
      <c r="Q564" s="35">
        <v>43139</v>
      </c>
      <c r="R564" s="36">
        <v>2.8500000000000001E-2</v>
      </c>
      <c r="S564" s="37">
        <v>2.5699999999999997E-2</v>
      </c>
    </row>
    <row r="565" spans="1:19" x14ac:dyDescent="0.2">
      <c r="A565" s="1"/>
      <c r="B565" s="13">
        <v>44894</v>
      </c>
      <c r="C565" s="14">
        <v>234.42</v>
      </c>
      <c r="D565" s="15">
        <v>405037</v>
      </c>
      <c r="E565" s="14">
        <v>230</v>
      </c>
      <c r="F565" s="14">
        <v>237.32</v>
      </c>
      <c r="G565" s="16">
        <v>226.64</v>
      </c>
      <c r="H565" s="69">
        <f t="shared" si="24"/>
        <v>3.0644097603868881E-2</v>
      </c>
      <c r="M565" s="225"/>
      <c r="N565" s="1319"/>
      <c r="O565" s="1319"/>
      <c r="P565" s="1319"/>
      <c r="Q565" s="35">
        <v>43140</v>
      </c>
      <c r="R565" s="36">
        <v>2.8300000000000002E-2</v>
      </c>
      <c r="S565" s="37">
        <v>2.52E-2</v>
      </c>
    </row>
    <row r="566" spans="1:19" x14ac:dyDescent="0.2">
      <c r="A566" s="1"/>
      <c r="B566" s="13">
        <v>44893</v>
      </c>
      <c r="C566" s="14">
        <v>227.45</v>
      </c>
      <c r="D566" s="15">
        <v>276270</v>
      </c>
      <c r="E566" s="14">
        <v>233.3</v>
      </c>
      <c r="F566" s="14">
        <v>237.72499999999999</v>
      </c>
      <c r="G566" s="16">
        <v>226.405</v>
      </c>
      <c r="H566" s="69">
        <f t="shared" si="24"/>
        <v>-3.936309498669599E-2</v>
      </c>
      <c r="M566" s="225"/>
      <c r="N566" s="1319"/>
      <c r="O566" s="1319"/>
      <c r="P566" s="1319"/>
      <c r="Q566" s="35">
        <v>43143</v>
      </c>
      <c r="R566" s="36">
        <v>2.86E-2</v>
      </c>
      <c r="S566" s="37">
        <v>2.5600000000000001E-2</v>
      </c>
    </row>
    <row r="567" spans="1:19" x14ac:dyDescent="0.2">
      <c r="A567" s="1"/>
      <c r="B567" s="13">
        <v>44890</v>
      </c>
      <c r="C567" s="14">
        <v>236.77</v>
      </c>
      <c r="D567" s="15">
        <v>145247</v>
      </c>
      <c r="E567" s="14">
        <v>232.33</v>
      </c>
      <c r="F567" s="14">
        <v>238.21</v>
      </c>
      <c r="G567" s="16">
        <v>232.33</v>
      </c>
      <c r="H567" s="69">
        <f t="shared" si="24"/>
        <v>1.3533516599704143E-3</v>
      </c>
      <c r="M567" s="225"/>
      <c r="N567" s="1319"/>
      <c r="O567" s="1319"/>
      <c r="P567" s="1319"/>
      <c r="Q567" s="35">
        <v>43144</v>
      </c>
      <c r="R567" s="36">
        <v>2.8300000000000002E-2</v>
      </c>
      <c r="S567" s="37">
        <v>2.5399999999999999E-2</v>
      </c>
    </row>
    <row r="568" spans="1:19" x14ac:dyDescent="0.2">
      <c r="A568" s="1"/>
      <c r="B568" s="13">
        <v>44888</v>
      </c>
      <c r="C568" s="14">
        <v>236.45</v>
      </c>
      <c r="D568" s="15">
        <v>234338</v>
      </c>
      <c r="E568" s="14">
        <v>230.35</v>
      </c>
      <c r="F568" s="14">
        <v>238.6</v>
      </c>
      <c r="G568" s="16">
        <v>229.04249999999999</v>
      </c>
      <c r="H568" s="69">
        <f t="shared" si="24"/>
        <v>2.4346921977212554E-2</v>
      </c>
      <c r="M568" s="225"/>
      <c r="N568" s="1319"/>
      <c r="O568" s="1319"/>
      <c r="P568" s="1319"/>
      <c r="Q568" s="35">
        <v>43145</v>
      </c>
      <c r="R568" s="36">
        <v>2.9100000000000001E-2</v>
      </c>
      <c r="S568" s="37">
        <v>2.6499999999999999E-2</v>
      </c>
    </row>
    <row r="569" spans="1:19" x14ac:dyDescent="0.2">
      <c r="A569" s="1"/>
      <c r="B569" s="13">
        <v>44887</v>
      </c>
      <c r="C569" s="14">
        <v>230.83</v>
      </c>
      <c r="D569" s="15">
        <v>190087</v>
      </c>
      <c r="E569" s="14">
        <v>235.28</v>
      </c>
      <c r="F569" s="14">
        <v>237.44</v>
      </c>
      <c r="G569" s="16">
        <v>228.74</v>
      </c>
      <c r="H569" s="69">
        <f t="shared" si="24"/>
        <v>-1.6991738352780783E-2</v>
      </c>
      <c r="M569" s="225"/>
      <c r="N569" s="1319"/>
      <c r="O569" s="1319"/>
      <c r="P569" s="1319"/>
      <c r="Q569" s="35">
        <v>43146</v>
      </c>
      <c r="R569" s="36">
        <v>2.8999999999999998E-2</v>
      </c>
      <c r="S569" s="37">
        <v>2.6499999999999999E-2</v>
      </c>
    </row>
    <row r="570" spans="1:19" x14ac:dyDescent="0.2">
      <c r="A570" s="1"/>
      <c r="B570" s="13">
        <v>44886</v>
      </c>
      <c r="C570" s="14">
        <v>234.82</v>
      </c>
      <c r="D570" s="15">
        <v>166321</v>
      </c>
      <c r="E570" s="14">
        <v>235.01</v>
      </c>
      <c r="F570" s="14">
        <v>237.97399999999999</v>
      </c>
      <c r="G570" s="16">
        <v>233.36500000000001</v>
      </c>
      <c r="H570" s="69">
        <f t="shared" si="24"/>
        <v>-6.8096265279364854E-3</v>
      </c>
      <c r="M570" s="225"/>
      <c r="N570" s="1319"/>
      <c r="O570" s="1319"/>
      <c r="P570" s="1319"/>
      <c r="Q570" s="35">
        <v>43147</v>
      </c>
      <c r="R570" s="36">
        <v>2.87E-2</v>
      </c>
      <c r="S570" s="37">
        <v>2.63E-2</v>
      </c>
    </row>
    <row r="571" spans="1:19" x14ac:dyDescent="0.2">
      <c r="A571" s="1"/>
      <c r="B571" s="13">
        <v>44883</v>
      </c>
      <c r="C571" s="14">
        <v>236.43</v>
      </c>
      <c r="D571" s="15">
        <v>430142</v>
      </c>
      <c r="E571" s="14">
        <v>242.66</v>
      </c>
      <c r="F571" s="14">
        <v>243.37</v>
      </c>
      <c r="G571" s="16">
        <v>229.27</v>
      </c>
      <c r="H571" s="69">
        <f t="shared" si="24"/>
        <v>-2.4471541285177034E-3</v>
      </c>
      <c r="M571" s="225"/>
      <c r="N571" s="1319"/>
      <c r="O571" s="1319"/>
      <c r="P571" s="1319"/>
      <c r="Q571" s="35">
        <v>43151</v>
      </c>
      <c r="R571" s="36">
        <v>2.8799999999999999E-2</v>
      </c>
      <c r="S571" s="37">
        <v>2.6499999999999999E-2</v>
      </c>
    </row>
    <row r="572" spans="1:19" x14ac:dyDescent="0.2">
      <c r="A572" s="1"/>
      <c r="B572" s="13">
        <v>44882</v>
      </c>
      <c r="C572" s="14">
        <v>237.01</v>
      </c>
      <c r="D572" s="15">
        <v>444936</v>
      </c>
      <c r="E572" s="14">
        <v>239.78</v>
      </c>
      <c r="F572" s="14">
        <v>241.85</v>
      </c>
      <c r="G572" s="16">
        <v>230.73</v>
      </c>
      <c r="H572" s="69">
        <f t="shared" si="24"/>
        <v>-4.4545674433604798E-2</v>
      </c>
      <c r="M572" s="225"/>
      <c r="N572" s="1319"/>
      <c r="O572" s="1319"/>
      <c r="P572" s="1319"/>
      <c r="Q572" s="35">
        <v>43152</v>
      </c>
      <c r="R572" s="36">
        <v>2.9399999999999999E-2</v>
      </c>
      <c r="S572" s="37">
        <v>2.69E-2</v>
      </c>
    </row>
    <row r="573" spans="1:19" x14ac:dyDescent="0.2">
      <c r="A573" s="1"/>
      <c r="B573" s="13">
        <v>44881</v>
      </c>
      <c r="C573" s="14">
        <v>248.06</v>
      </c>
      <c r="D573" s="15">
        <v>549295</v>
      </c>
      <c r="E573" s="14">
        <v>256.54000000000002</v>
      </c>
      <c r="F573" s="14">
        <v>257.10500000000002</v>
      </c>
      <c r="G573" s="16">
        <v>246.35</v>
      </c>
      <c r="H573" s="69">
        <f t="shared" si="24"/>
        <v>-5.1722160633051573E-2</v>
      </c>
      <c r="M573" s="225"/>
      <c r="N573" s="1319"/>
      <c r="O573" s="1319"/>
      <c r="P573" s="1319"/>
      <c r="Q573" s="35">
        <v>43153</v>
      </c>
      <c r="R573" s="36">
        <v>2.92E-2</v>
      </c>
      <c r="S573" s="37">
        <v>2.6600000000000002E-2</v>
      </c>
    </row>
    <row r="574" spans="1:19" x14ac:dyDescent="0.2">
      <c r="A574" s="1"/>
      <c r="B574" s="13">
        <v>44880</v>
      </c>
      <c r="C574" s="14">
        <v>261.58999999999997</v>
      </c>
      <c r="D574" s="15">
        <v>451836</v>
      </c>
      <c r="E574" s="14">
        <v>259.62</v>
      </c>
      <c r="F574" s="14">
        <v>265.56</v>
      </c>
      <c r="G574" s="16">
        <v>256</v>
      </c>
      <c r="H574" s="69">
        <f t="shared" si="24"/>
        <v>2.8262578616352174E-2</v>
      </c>
      <c r="M574" s="225"/>
      <c r="N574" s="1319"/>
      <c r="O574" s="1319"/>
      <c r="P574" s="1319"/>
      <c r="Q574" s="35">
        <v>43154</v>
      </c>
      <c r="R574" s="36">
        <v>2.8799999999999999E-2</v>
      </c>
      <c r="S574" s="37">
        <v>2.6200000000000001E-2</v>
      </c>
    </row>
    <row r="575" spans="1:19" x14ac:dyDescent="0.2">
      <c r="A575" s="1"/>
      <c r="B575" s="13">
        <v>44879</v>
      </c>
      <c r="C575" s="14">
        <v>254.4</v>
      </c>
      <c r="D575" s="15">
        <v>602789</v>
      </c>
      <c r="E575" s="14">
        <v>244.78</v>
      </c>
      <c r="F575" s="14">
        <v>256.38</v>
      </c>
      <c r="G575" s="16">
        <v>240.24</v>
      </c>
      <c r="H575" s="69">
        <f t="shared" si="24"/>
        <v>2.7878787878787836E-2</v>
      </c>
      <c r="M575" s="225"/>
      <c r="N575" s="1319"/>
      <c r="O575" s="1319"/>
      <c r="P575" s="1319"/>
      <c r="Q575" s="35">
        <v>43157</v>
      </c>
      <c r="R575" s="36">
        <v>2.86E-2</v>
      </c>
      <c r="S575" s="37">
        <v>2.6000000000000002E-2</v>
      </c>
    </row>
    <row r="576" spans="1:19" x14ac:dyDescent="0.2">
      <c r="A576" s="1"/>
      <c r="B576" s="13">
        <v>44876</v>
      </c>
      <c r="C576" s="14">
        <v>247.5</v>
      </c>
      <c r="D576" s="15">
        <v>545862</v>
      </c>
      <c r="E576" s="14">
        <v>245.75</v>
      </c>
      <c r="F576" s="14">
        <v>254.13499999999999</v>
      </c>
      <c r="G576" s="16">
        <v>244.66</v>
      </c>
      <c r="H576" s="69">
        <f t="shared" si="24"/>
        <v>1.0162850495898157E-2</v>
      </c>
      <c r="M576" s="225"/>
      <c r="N576" s="1319"/>
      <c r="O576" s="1319"/>
      <c r="P576" s="1319"/>
      <c r="Q576" s="35">
        <v>43158</v>
      </c>
      <c r="R576" s="36">
        <v>2.8999999999999998E-2</v>
      </c>
      <c r="S576" s="37">
        <v>2.6699999999999998E-2</v>
      </c>
    </row>
    <row r="577" spans="1:19" x14ac:dyDescent="0.2">
      <c r="A577" s="1"/>
      <c r="B577" s="13">
        <v>44875</v>
      </c>
      <c r="C577" s="14">
        <v>245.01</v>
      </c>
      <c r="D577" s="15">
        <v>537605</v>
      </c>
      <c r="E577" s="14">
        <v>228.02</v>
      </c>
      <c r="F577" s="14">
        <v>246.13</v>
      </c>
      <c r="G577" s="16">
        <v>228.02</v>
      </c>
      <c r="H577" s="69">
        <f t="shared" si="24"/>
        <v>0.14149273201639967</v>
      </c>
      <c r="M577" s="225"/>
      <c r="N577" s="1319"/>
      <c r="O577" s="1319"/>
      <c r="P577" s="1319"/>
      <c r="Q577" s="35">
        <v>43159</v>
      </c>
      <c r="R577" s="36">
        <v>2.87E-2</v>
      </c>
      <c r="S577" s="37">
        <v>2.6499999999999999E-2</v>
      </c>
    </row>
    <row r="578" spans="1:19" x14ac:dyDescent="0.2">
      <c r="A578" s="1"/>
      <c r="B578" s="13">
        <v>44874</v>
      </c>
      <c r="C578" s="14">
        <v>214.64</v>
      </c>
      <c r="D578" s="15">
        <v>429236</v>
      </c>
      <c r="E578" s="14">
        <v>218.19</v>
      </c>
      <c r="F578" s="14">
        <v>224.24</v>
      </c>
      <c r="G578" s="16">
        <v>212.95</v>
      </c>
      <c r="H578" s="69">
        <f t="shared" si="24"/>
        <v>-3.7488789237668185E-2</v>
      </c>
      <c r="M578" s="225"/>
      <c r="N578" s="1319"/>
      <c r="O578" s="1319"/>
      <c r="P578" s="1319"/>
      <c r="Q578" s="35">
        <v>43160</v>
      </c>
      <c r="R578" s="36">
        <v>2.81E-2</v>
      </c>
      <c r="S578" s="37">
        <v>2.58E-2</v>
      </c>
    </row>
    <row r="579" spans="1:19" x14ac:dyDescent="0.2">
      <c r="A579" s="1"/>
      <c r="B579" s="13">
        <v>44873</v>
      </c>
      <c r="C579" s="14">
        <v>223</v>
      </c>
      <c r="D579" s="15">
        <v>577276</v>
      </c>
      <c r="E579" s="14">
        <v>221.04</v>
      </c>
      <c r="F579" s="14">
        <v>225.33</v>
      </c>
      <c r="G579" s="16">
        <v>215.56</v>
      </c>
      <c r="H579" s="69">
        <f t="shared" si="24"/>
        <v>1.9102458641806042E-2</v>
      </c>
      <c r="M579" s="225"/>
      <c r="N579" s="1319"/>
      <c r="O579" s="1319"/>
      <c r="P579" s="1319"/>
      <c r="Q579" s="35">
        <v>43161</v>
      </c>
      <c r="R579" s="36">
        <v>2.86E-2</v>
      </c>
      <c r="S579" s="37">
        <v>2.63E-2</v>
      </c>
    </row>
    <row r="580" spans="1:19" x14ac:dyDescent="0.2">
      <c r="A580" s="1"/>
      <c r="B580" s="13">
        <v>44872</v>
      </c>
      <c r="C580" s="14">
        <v>218.82</v>
      </c>
      <c r="D580" s="15">
        <v>468764</v>
      </c>
      <c r="E580" s="14">
        <v>209.71</v>
      </c>
      <c r="F580" s="14">
        <v>221.19</v>
      </c>
      <c r="G580" s="16">
        <v>209.25</v>
      </c>
      <c r="H580" s="69">
        <f t="shared" si="24"/>
        <v>4.2496426869937931E-2</v>
      </c>
      <c r="M580" s="225"/>
      <c r="N580" s="1319"/>
      <c r="O580" s="1319"/>
      <c r="P580" s="1319"/>
      <c r="Q580" s="35">
        <v>43164</v>
      </c>
      <c r="R580" s="36">
        <v>2.8799999999999999E-2</v>
      </c>
      <c r="S580" s="37">
        <v>2.6499999999999999E-2</v>
      </c>
    </row>
    <row r="581" spans="1:19" x14ac:dyDescent="0.2">
      <c r="A581" s="1"/>
      <c r="B581" s="13">
        <v>44869</v>
      </c>
      <c r="C581" s="14">
        <v>209.9</v>
      </c>
      <c r="D581" s="15">
        <v>412197</v>
      </c>
      <c r="E581" s="14">
        <v>198.9</v>
      </c>
      <c r="F581" s="14">
        <v>209.91</v>
      </c>
      <c r="G581" s="16">
        <v>197.83</v>
      </c>
      <c r="H581" s="69">
        <f t="shared" si="24"/>
        <v>7.641025641025645E-2</v>
      </c>
      <c r="M581" s="225"/>
      <c r="N581" s="1319"/>
      <c r="O581" s="1319"/>
      <c r="P581" s="1319"/>
      <c r="Q581" s="35">
        <v>43165</v>
      </c>
      <c r="R581" s="36">
        <v>2.8799999999999999E-2</v>
      </c>
      <c r="S581" s="37">
        <v>2.6499999999999999E-2</v>
      </c>
    </row>
    <row r="582" spans="1:19" x14ac:dyDescent="0.2">
      <c r="A582" s="1"/>
      <c r="B582" s="13">
        <v>44868</v>
      </c>
      <c r="C582" s="14">
        <v>195</v>
      </c>
      <c r="D582" s="15">
        <v>473901</v>
      </c>
      <c r="E582" s="14">
        <v>196.06</v>
      </c>
      <c r="F582" s="14">
        <v>198.56</v>
      </c>
      <c r="G582" s="16">
        <v>185</v>
      </c>
      <c r="H582" s="69">
        <f t="shared" si="24"/>
        <v>-2.2213307927593684E-2</v>
      </c>
      <c r="M582" s="225"/>
      <c r="N582" s="1319"/>
      <c r="O582" s="1319"/>
      <c r="P582" s="1319"/>
      <c r="Q582" s="35">
        <v>43166</v>
      </c>
      <c r="R582" s="36">
        <v>2.8900000000000002E-2</v>
      </c>
      <c r="S582" s="37">
        <v>2.6499999999999999E-2</v>
      </c>
    </row>
    <row r="583" spans="1:19" x14ac:dyDescent="0.2">
      <c r="A583" s="1"/>
      <c r="B583" s="13">
        <v>44867</v>
      </c>
      <c r="C583" s="14">
        <v>199.43</v>
      </c>
      <c r="D583" s="15">
        <v>528797</v>
      </c>
      <c r="E583" s="14">
        <v>205.71</v>
      </c>
      <c r="F583" s="14">
        <v>212.12</v>
      </c>
      <c r="G583" s="16">
        <v>199.42</v>
      </c>
      <c r="H583" s="69">
        <f t="shared" si="24"/>
        <v>-3.8057109781979515E-2</v>
      </c>
      <c r="M583" s="225"/>
      <c r="N583" s="1319"/>
      <c r="O583" s="1319"/>
      <c r="P583" s="1319"/>
      <c r="Q583" s="35">
        <v>43167</v>
      </c>
      <c r="R583" s="36">
        <v>2.86E-2</v>
      </c>
      <c r="S583" s="37">
        <v>2.63E-2</v>
      </c>
    </row>
    <row r="584" spans="1:19" x14ac:dyDescent="0.2">
      <c r="A584" s="1"/>
      <c r="B584" s="13">
        <v>44866</v>
      </c>
      <c r="C584" s="14">
        <v>207.32</v>
      </c>
      <c r="D584" s="15">
        <v>875000</v>
      </c>
      <c r="E584" s="14">
        <v>196.73</v>
      </c>
      <c r="F584" s="14">
        <v>208.31</v>
      </c>
      <c r="G584" s="16">
        <v>190.66</v>
      </c>
      <c r="H584" s="69">
        <f t="shared" si="24"/>
        <v>4.2542492205571714E-2</v>
      </c>
      <c r="M584" s="225"/>
      <c r="N584" s="1319"/>
      <c r="O584" s="1319"/>
      <c r="P584" s="1319"/>
      <c r="Q584" s="35">
        <v>43168</v>
      </c>
      <c r="R584" s="36">
        <v>2.8999999999999998E-2</v>
      </c>
      <c r="S584" s="37">
        <v>2.6499999999999999E-2</v>
      </c>
    </row>
    <row r="585" spans="1:19" x14ac:dyDescent="0.2">
      <c r="A585" s="1"/>
      <c r="B585" s="13">
        <v>44865</v>
      </c>
      <c r="C585" s="14">
        <v>198.86</v>
      </c>
      <c r="D585" s="15">
        <v>568454</v>
      </c>
      <c r="E585" s="14">
        <v>192.37</v>
      </c>
      <c r="F585" s="14">
        <v>202.85</v>
      </c>
      <c r="G585" s="16">
        <v>190.23</v>
      </c>
      <c r="H585" s="69">
        <f t="shared" si="24"/>
        <v>3.4597575568388717E-2</v>
      </c>
      <c r="M585" s="225"/>
      <c r="N585" s="1319"/>
      <c r="O585" s="1319"/>
      <c r="P585" s="1319"/>
      <c r="Q585" s="35">
        <v>43171</v>
      </c>
      <c r="R585" s="36">
        <v>2.87E-2</v>
      </c>
      <c r="S585" s="37">
        <v>2.64E-2</v>
      </c>
    </row>
    <row r="586" spans="1:19" x14ac:dyDescent="0.2">
      <c r="A586" s="1"/>
      <c r="B586" s="13">
        <v>44862</v>
      </c>
      <c r="C586" s="14">
        <v>192.21</v>
      </c>
      <c r="D586" s="15">
        <v>467490</v>
      </c>
      <c r="E586" s="14">
        <v>192.04</v>
      </c>
      <c r="F586" s="14">
        <v>195.77500000000001</v>
      </c>
      <c r="G586" s="16">
        <v>187.32</v>
      </c>
      <c r="H586" s="69">
        <f t="shared" si="24"/>
        <v>1.2377541346255017E-2</v>
      </c>
      <c r="M586" s="225"/>
      <c r="N586" s="1319"/>
      <c r="O586" s="1319"/>
      <c r="P586" s="1319"/>
      <c r="Q586" s="35">
        <v>43172</v>
      </c>
      <c r="R586" s="36">
        <v>2.8399999999999998E-2</v>
      </c>
      <c r="S586" s="37">
        <v>2.6200000000000001E-2</v>
      </c>
    </row>
    <row r="587" spans="1:19" x14ac:dyDescent="0.2">
      <c r="A587" s="1"/>
      <c r="B587" s="13">
        <v>44861</v>
      </c>
      <c r="C587" s="14">
        <v>189.86</v>
      </c>
      <c r="D587" s="15">
        <v>338473</v>
      </c>
      <c r="E587" s="14">
        <v>200.28</v>
      </c>
      <c r="F587" s="14">
        <v>203.72</v>
      </c>
      <c r="G587" s="16">
        <v>188.53</v>
      </c>
      <c r="H587" s="69">
        <f t="shared" si="24"/>
        <v>-4.5449974861739517E-2</v>
      </c>
      <c r="M587" s="225"/>
      <c r="N587" s="1319"/>
      <c r="O587" s="1319"/>
      <c r="P587" s="1319"/>
      <c r="Q587" s="35">
        <v>43173</v>
      </c>
      <c r="R587" s="36">
        <v>2.81E-2</v>
      </c>
      <c r="S587" s="37">
        <v>2.6099999999999998E-2</v>
      </c>
    </row>
    <row r="588" spans="1:19" x14ac:dyDescent="0.2">
      <c r="A588" s="1"/>
      <c r="B588" s="13">
        <v>44860</v>
      </c>
      <c r="C588" s="14">
        <v>198.9</v>
      </c>
      <c r="D588" s="15">
        <v>565545</v>
      </c>
      <c r="E588" s="14">
        <v>199.17</v>
      </c>
      <c r="F588" s="14">
        <v>201.81</v>
      </c>
      <c r="G588" s="16">
        <v>189.3</v>
      </c>
      <c r="H588" s="69">
        <f t="shared" si="24"/>
        <v>3.6330608537693543E-3</v>
      </c>
      <c r="M588" s="225"/>
      <c r="N588" s="1319"/>
      <c r="O588" s="1319"/>
      <c r="P588" s="1319"/>
      <c r="Q588" s="35">
        <v>43174</v>
      </c>
      <c r="R588" s="36">
        <v>2.8199999999999999E-2</v>
      </c>
      <c r="S588" s="37">
        <v>2.6200000000000001E-2</v>
      </c>
    </row>
    <row r="589" spans="1:19" x14ac:dyDescent="0.2">
      <c r="A589" s="1"/>
      <c r="B589" s="13">
        <v>44859</v>
      </c>
      <c r="C589" s="14">
        <v>198.18</v>
      </c>
      <c r="D589" s="15">
        <v>493107</v>
      </c>
      <c r="E589" s="14">
        <v>195.66</v>
      </c>
      <c r="F589" s="14">
        <v>204.58</v>
      </c>
      <c r="G589" s="16">
        <v>195.4</v>
      </c>
      <c r="H589" s="69">
        <f t="shared" si="24"/>
        <v>1.8501387604070274E-2</v>
      </c>
      <c r="M589" s="225"/>
      <c r="N589" s="1319"/>
      <c r="O589" s="1319"/>
      <c r="P589" s="1319"/>
      <c r="Q589" s="35">
        <v>43175</v>
      </c>
      <c r="R589" s="36">
        <v>2.8500000000000001E-2</v>
      </c>
      <c r="S589" s="37">
        <v>2.6499999999999999E-2</v>
      </c>
    </row>
    <row r="590" spans="1:19" x14ac:dyDescent="0.2">
      <c r="A590" s="1"/>
      <c r="B590" s="13">
        <v>44858</v>
      </c>
      <c r="C590" s="14">
        <v>194.58</v>
      </c>
      <c r="D590" s="15">
        <v>381242</v>
      </c>
      <c r="E590" s="14">
        <v>190.68</v>
      </c>
      <c r="F590" s="14">
        <v>198.17</v>
      </c>
      <c r="G590" s="16">
        <v>187.77500000000001</v>
      </c>
      <c r="H590" s="69">
        <f t="shared" si="24"/>
        <v>2.8163804491413647E-2</v>
      </c>
      <c r="M590" s="225"/>
      <c r="N590" s="1319"/>
      <c r="O590" s="1319"/>
      <c r="P590" s="1319"/>
      <c r="Q590" s="35">
        <v>43178</v>
      </c>
      <c r="R590" s="36">
        <v>2.8500000000000001E-2</v>
      </c>
      <c r="S590" s="37">
        <v>2.6499999999999999E-2</v>
      </c>
    </row>
    <row r="591" spans="1:19" x14ac:dyDescent="0.2">
      <c r="A591" s="1"/>
      <c r="B591" s="13">
        <v>44855</v>
      </c>
      <c r="C591" s="14">
        <v>189.25</v>
      </c>
      <c r="D591" s="15">
        <v>695864</v>
      </c>
      <c r="E591" s="14">
        <v>187.43</v>
      </c>
      <c r="F591" s="14">
        <v>189.34</v>
      </c>
      <c r="G591" s="16">
        <v>180.17</v>
      </c>
      <c r="H591" s="69">
        <f t="shared" si="24"/>
        <v>1.5453130868702036E-2</v>
      </c>
      <c r="M591" s="225"/>
      <c r="N591" s="1319"/>
      <c r="O591" s="1319"/>
      <c r="P591" s="1319"/>
      <c r="Q591" s="35">
        <v>43179</v>
      </c>
      <c r="R591" s="36">
        <v>2.8900000000000002E-2</v>
      </c>
      <c r="S591" s="37">
        <v>2.69E-2</v>
      </c>
    </row>
    <row r="592" spans="1:19" x14ac:dyDescent="0.2">
      <c r="A592" s="1"/>
      <c r="B592" s="13">
        <v>44854</v>
      </c>
      <c r="C592" s="14">
        <v>186.37</v>
      </c>
      <c r="D592" s="15">
        <v>512636</v>
      </c>
      <c r="E592" s="14">
        <v>193.91</v>
      </c>
      <c r="F592" s="14">
        <v>197.01</v>
      </c>
      <c r="G592" s="16">
        <v>185.76</v>
      </c>
      <c r="H592" s="69">
        <f t="shared" si="24"/>
        <v>-5.3334687865088659E-2</v>
      </c>
      <c r="M592" s="225"/>
      <c r="N592" s="1319"/>
      <c r="O592" s="1319"/>
      <c r="P592" s="1319"/>
      <c r="Q592" s="35">
        <v>43180</v>
      </c>
      <c r="R592" s="36">
        <v>2.8900000000000002E-2</v>
      </c>
      <c r="S592" s="37">
        <v>2.69E-2</v>
      </c>
    </row>
    <row r="593" spans="1:19" x14ac:dyDescent="0.2">
      <c r="A593" s="1"/>
      <c r="B593" s="13">
        <v>44853</v>
      </c>
      <c r="C593" s="14">
        <v>196.87</v>
      </c>
      <c r="D593" s="15">
        <v>321971</v>
      </c>
      <c r="E593" s="14">
        <v>204.12</v>
      </c>
      <c r="F593" s="14">
        <v>204.12</v>
      </c>
      <c r="G593" s="16">
        <v>195.48</v>
      </c>
      <c r="H593" s="69">
        <f t="shared" si="24"/>
        <v>-4.3577535950252599E-2</v>
      </c>
      <c r="M593" s="225"/>
      <c r="N593" s="1319"/>
      <c r="O593" s="1319"/>
      <c r="P593" s="1319"/>
      <c r="Q593" s="35">
        <v>43181</v>
      </c>
      <c r="R593" s="36">
        <v>2.8300000000000002E-2</v>
      </c>
      <c r="S593" s="37">
        <v>2.63E-2</v>
      </c>
    </row>
    <row r="594" spans="1:19" x14ac:dyDescent="0.2">
      <c r="A594" s="1"/>
      <c r="B594" s="13">
        <v>44852</v>
      </c>
      <c r="C594" s="14">
        <v>205.84</v>
      </c>
      <c r="D594" s="15">
        <v>335578</v>
      </c>
      <c r="E594" s="14">
        <v>208.3</v>
      </c>
      <c r="F594" s="14">
        <v>212.14</v>
      </c>
      <c r="G594" s="16">
        <v>203.19</v>
      </c>
      <c r="H594" s="69">
        <f t="shared" si="24"/>
        <v>1.5290519877675823E-2</v>
      </c>
      <c r="M594" s="225"/>
      <c r="N594" s="1319"/>
      <c r="O594" s="1319"/>
      <c r="P594" s="1319"/>
      <c r="Q594" s="35">
        <v>43182</v>
      </c>
      <c r="R594" s="36">
        <v>2.8199999999999999E-2</v>
      </c>
      <c r="S594" s="37">
        <v>2.6099999999999998E-2</v>
      </c>
    </row>
    <row r="595" spans="1:19" x14ac:dyDescent="0.2">
      <c r="A595" s="1"/>
      <c r="B595" s="13">
        <v>44851</v>
      </c>
      <c r="C595" s="14">
        <v>202.74</v>
      </c>
      <c r="D595" s="15">
        <v>332319</v>
      </c>
      <c r="E595" s="14">
        <v>200.71</v>
      </c>
      <c r="F595" s="14">
        <v>207.02</v>
      </c>
      <c r="G595" s="16">
        <v>200.07</v>
      </c>
      <c r="H595" s="69">
        <f t="shared" si="24"/>
        <v>3.3228009377229695E-2</v>
      </c>
      <c r="M595" s="225"/>
      <c r="N595" s="1319"/>
      <c r="O595" s="1319"/>
      <c r="P595" s="1319"/>
      <c r="Q595" s="35">
        <v>43185</v>
      </c>
      <c r="R595" s="36">
        <v>2.8500000000000001E-2</v>
      </c>
      <c r="S595" s="37">
        <v>2.64E-2</v>
      </c>
    </row>
    <row r="596" spans="1:19" x14ac:dyDescent="0.2">
      <c r="A596" s="1"/>
      <c r="B596" s="13">
        <v>44848</v>
      </c>
      <c r="C596" s="14">
        <v>196.22</v>
      </c>
      <c r="D596" s="15">
        <v>273952</v>
      </c>
      <c r="E596" s="14">
        <v>203.7</v>
      </c>
      <c r="F596" s="14">
        <v>204.11</v>
      </c>
      <c r="G596" s="16">
        <v>194.88499999999999</v>
      </c>
      <c r="H596" s="69">
        <f t="shared" si="24"/>
        <v>-2.7843836702338476E-2</v>
      </c>
      <c r="M596" s="225"/>
      <c r="N596" s="1319"/>
      <c r="O596" s="1319"/>
      <c r="P596" s="1319"/>
      <c r="Q596" s="35">
        <v>43186</v>
      </c>
      <c r="R596" s="36">
        <v>2.7799999999999998E-2</v>
      </c>
      <c r="S596" s="37">
        <v>2.58E-2</v>
      </c>
    </row>
    <row r="597" spans="1:19" x14ac:dyDescent="0.2">
      <c r="A597" s="1"/>
      <c r="B597" s="13">
        <v>44847</v>
      </c>
      <c r="C597" s="14">
        <v>201.84</v>
      </c>
      <c r="D597" s="15">
        <v>386633</v>
      </c>
      <c r="E597" s="14">
        <v>196.81</v>
      </c>
      <c r="F597" s="14">
        <v>205.68</v>
      </c>
      <c r="G597" s="16">
        <v>190.29499999999999</v>
      </c>
      <c r="H597" s="69">
        <f t="shared" si="24"/>
        <v>-8.3521666502898162E-3</v>
      </c>
      <c r="M597" s="225"/>
      <c r="N597" s="1319"/>
      <c r="O597" s="1319"/>
      <c r="P597" s="1319"/>
      <c r="Q597" s="35">
        <v>43187</v>
      </c>
      <c r="R597" s="36">
        <v>2.7699999999999999E-2</v>
      </c>
      <c r="S597" s="37">
        <v>2.5899999999999999E-2</v>
      </c>
    </row>
    <row r="598" spans="1:19" x14ac:dyDescent="0.2">
      <c r="A598" s="1"/>
      <c r="B598" s="13">
        <v>44846</v>
      </c>
      <c r="C598" s="14">
        <v>203.54</v>
      </c>
      <c r="D598" s="15">
        <v>399027</v>
      </c>
      <c r="E598" s="14">
        <v>199.99</v>
      </c>
      <c r="F598" s="14">
        <v>207.02</v>
      </c>
      <c r="G598" s="16">
        <v>196.4622</v>
      </c>
      <c r="H598" s="69">
        <f t="shared" si="24"/>
        <v>2.6424609178012926E-2</v>
      </c>
      <c r="M598" s="225"/>
      <c r="N598" s="1319"/>
      <c r="O598" s="1319"/>
      <c r="P598" s="1319"/>
      <c r="Q598" s="35">
        <v>43188</v>
      </c>
      <c r="R598" s="36">
        <v>2.7400000000000001E-2</v>
      </c>
      <c r="S598" s="37">
        <v>2.5600000000000001E-2</v>
      </c>
    </row>
    <row r="599" spans="1:19" x14ac:dyDescent="0.2">
      <c r="A599" s="1"/>
      <c r="B599" s="13">
        <v>44845</v>
      </c>
      <c r="C599" s="14">
        <v>198.3</v>
      </c>
      <c r="D599" s="15">
        <v>359616</v>
      </c>
      <c r="E599" s="14">
        <v>200.57</v>
      </c>
      <c r="F599" s="14">
        <v>204.5</v>
      </c>
      <c r="G599" s="16">
        <v>197.45</v>
      </c>
      <c r="H599" s="69">
        <f t="shared" si="24"/>
        <v>-1.9530284301606859E-2</v>
      </c>
      <c r="M599" s="225"/>
      <c r="N599" s="1319"/>
      <c r="O599" s="1319"/>
      <c r="P599" s="1319"/>
      <c r="Q599" s="35">
        <v>43192</v>
      </c>
      <c r="R599" s="36">
        <v>2.7300000000000001E-2</v>
      </c>
      <c r="S599" s="37">
        <v>2.5499999999999998E-2</v>
      </c>
    </row>
    <row r="600" spans="1:19" x14ac:dyDescent="0.2">
      <c r="A600" s="1"/>
      <c r="B600" s="13">
        <v>44844</v>
      </c>
      <c r="C600" s="14">
        <v>202.25</v>
      </c>
      <c r="D600" s="15">
        <v>294539</v>
      </c>
      <c r="E600" s="14">
        <v>199.5</v>
      </c>
      <c r="F600" s="14">
        <v>207.37</v>
      </c>
      <c r="G600" s="16">
        <v>196</v>
      </c>
      <c r="H600" s="69">
        <f t="shared" si="24"/>
        <v>2.394694208181436E-2</v>
      </c>
      <c r="M600" s="225"/>
      <c r="N600" s="1319"/>
      <c r="O600" s="1319"/>
      <c r="P600" s="1319"/>
      <c r="Q600" s="35">
        <v>43193</v>
      </c>
      <c r="R600" s="36">
        <v>2.7900000000000001E-2</v>
      </c>
      <c r="S600" s="37">
        <v>2.6000000000000002E-2</v>
      </c>
    </row>
    <row r="601" spans="1:19" x14ac:dyDescent="0.2">
      <c r="A601" s="1"/>
      <c r="B601" s="13">
        <v>44841</v>
      </c>
      <c r="C601" s="14">
        <v>197.52</v>
      </c>
      <c r="D601" s="15">
        <v>472020</v>
      </c>
      <c r="E601" s="14">
        <v>197.69</v>
      </c>
      <c r="F601" s="14">
        <v>201.36500000000001</v>
      </c>
      <c r="G601" s="16">
        <v>195.58</v>
      </c>
      <c r="H601" s="69">
        <f t="shared" si="24"/>
        <v>-2.0383871447701152E-2</v>
      </c>
      <c r="M601" s="225"/>
      <c r="N601" s="1319"/>
      <c r="O601" s="1319"/>
      <c r="P601" s="1319"/>
      <c r="Q601" s="35">
        <v>43194</v>
      </c>
      <c r="R601" s="36">
        <v>2.7900000000000001E-2</v>
      </c>
      <c r="S601" s="37">
        <v>2.6099999999999998E-2</v>
      </c>
    </row>
    <row r="602" spans="1:19" x14ac:dyDescent="0.2">
      <c r="A602" s="1"/>
      <c r="B602" s="13">
        <v>44840</v>
      </c>
      <c r="C602" s="14">
        <v>201.63</v>
      </c>
      <c r="D602" s="15">
        <v>245864</v>
      </c>
      <c r="E602" s="14">
        <v>200.54</v>
      </c>
      <c r="F602" s="14">
        <v>207.16499999999999</v>
      </c>
      <c r="G602" s="16">
        <v>200.54</v>
      </c>
      <c r="H602" s="69">
        <f t="shared" si="24"/>
        <v>-6.5530153724872031E-3</v>
      </c>
      <c r="M602" s="225"/>
      <c r="N602" s="1319"/>
      <c r="O602" s="1319"/>
      <c r="P602" s="1319"/>
      <c r="Q602" s="35">
        <v>43195</v>
      </c>
      <c r="R602" s="36">
        <v>2.8300000000000002E-2</v>
      </c>
      <c r="S602" s="37">
        <v>2.64E-2</v>
      </c>
    </row>
    <row r="603" spans="1:19" x14ac:dyDescent="0.2">
      <c r="A603" s="1"/>
      <c r="B603" s="13">
        <v>44839</v>
      </c>
      <c r="C603" s="14">
        <v>202.96</v>
      </c>
      <c r="D603" s="15">
        <v>266767</v>
      </c>
      <c r="E603" s="14">
        <v>201.52</v>
      </c>
      <c r="F603" s="14">
        <v>205.7</v>
      </c>
      <c r="G603" s="16">
        <v>200.83500000000001</v>
      </c>
      <c r="H603" s="69">
        <f t="shared" si="24"/>
        <v>-1.4278776104905244E-2</v>
      </c>
      <c r="M603" s="225"/>
      <c r="N603" s="1319"/>
      <c r="O603" s="1319"/>
      <c r="P603" s="1319"/>
      <c r="Q603" s="35">
        <v>43196</v>
      </c>
      <c r="R603" s="36">
        <v>2.7699999999999999E-2</v>
      </c>
      <c r="S603" s="37">
        <v>2.58E-2</v>
      </c>
    </row>
    <row r="604" spans="1:19" x14ac:dyDescent="0.2">
      <c r="A604" s="1"/>
      <c r="B604" s="13">
        <v>44838</v>
      </c>
      <c r="C604" s="14">
        <v>205.9</v>
      </c>
      <c r="D604" s="15">
        <v>408277</v>
      </c>
      <c r="E604" s="14">
        <v>202.45</v>
      </c>
      <c r="F604" s="14">
        <v>205.995</v>
      </c>
      <c r="G604" s="16">
        <v>198.77</v>
      </c>
      <c r="H604" s="69">
        <f t="shared" si="24"/>
        <v>3.8587641866330458E-2</v>
      </c>
      <c r="M604" s="225"/>
      <c r="N604" s="1319"/>
      <c r="O604" s="1319"/>
      <c r="P604" s="1319"/>
      <c r="Q604" s="35">
        <v>43199</v>
      </c>
      <c r="R604" s="36">
        <v>2.7799999999999998E-2</v>
      </c>
      <c r="S604" s="37">
        <v>2.6000000000000002E-2</v>
      </c>
    </row>
    <row r="605" spans="1:19" x14ac:dyDescent="0.2">
      <c r="A605" s="1"/>
      <c r="B605" s="13">
        <v>44837</v>
      </c>
      <c r="C605" s="14">
        <v>198.25</v>
      </c>
      <c r="D605" s="15">
        <v>433537</v>
      </c>
      <c r="E605" s="14">
        <v>191.36</v>
      </c>
      <c r="F605" s="14">
        <v>203.845</v>
      </c>
      <c r="G605" s="16">
        <v>190.5</v>
      </c>
      <c r="H605" s="69">
        <f t="shared" si="24"/>
        <v>4.3421052631579027E-2</v>
      </c>
      <c r="M605" s="225"/>
      <c r="N605" s="1319"/>
      <c r="O605" s="1319"/>
      <c r="P605" s="1319"/>
      <c r="Q605" s="35">
        <v>43200</v>
      </c>
      <c r="R605" s="36">
        <v>2.7999999999999997E-2</v>
      </c>
      <c r="S605" s="37">
        <v>2.6200000000000001E-2</v>
      </c>
    </row>
    <row r="606" spans="1:19" x14ac:dyDescent="0.2">
      <c r="A606" s="1"/>
      <c r="B606" s="13">
        <v>44834</v>
      </c>
      <c r="C606" s="14">
        <v>190</v>
      </c>
      <c r="D606" s="15">
        <v>416396</v>
      </c>
      <c r="E606" s="14">
        <v>194.09</v>
      </c>
      <c r="F606" s="14">
        <v>197.58</v>
      </c>
      <c r="G606" s="16">
        <v>189.29</v>
      </c>
      <c r="H606" s="69">
        <f t="shared" si="24"/>
        <v>-2.3889031595170862E-2</v>
      </c>
      <c r="M606" s="225"/>
      <c r="N606" s="1319"/>
      <c r="O606" s="1319"/>
      <c r="P606" s="1319"/>
      <c r="Q606" s="35">
        <v>43201</v>
      </c>
      <c r="R606" s="36">
        <v>2.7900000000000001E-2</v>
      </c>
      <c r="S606" s="37">
        <v>2.6200000000000001E-2</v>
      </c>
    </row>
    <row r="607" spans="1:19" x14ac:dyDescent="0.2">
      <c r="A607" s="1"/>
      <c r="B607" s="13">
        <v>44833</v>
      </c>
      <c r="C607" s="14">
        <v>194.65</v>
      </c>
      <c r="D607" s="15">
        <v>443015</v>
      </c>
      <c r="E607" s="14">
        <v>195.54</v>
      </c>
      <c r="F607" s="14">
        <v>200.52</v>
      </c>
      <c r="G607" s="16">
        <v>194.39</v>
      </c>
      <c r="H607" s="69">
        <f t="shared" si="24"/>
        <v>-2.2988505747126409E-2</v>
      </c>
      <c r="M607" s="225"/>
      <c r="N607" s="1319"/>
      <c r="O607" s="1319"/>
      <c r="P607" s="1319"/>
      <c r="Q607" s="35">
        <v>43202</v>
      </c>
      <c r="R607" s="36">
        <v>2.8300000000000002E-2</v>
      </c>
      <c r="S607" s="37">
        <v>2.6699999999999998E-2</v>
      </c>
    </row>
    <row r="608" spans="1:19" x14ac:dyDescent="0.2">
      <c r="A608" s="1"/>
      <c r="B608" s="13">
        <v>44832</v>
      </c>
      <c r="C608" s="14">
        <v>199.23</v>
      </c>
      <c r="D608" s="15">
        <v>460045</v>
      </c>
      <c r="E608" s="14">
        <v>191.88</v>
      </c>
      <c r="F608" s="14">
        <v>200.57</v>
      </c>
      <c r="G608" s="16">
        <v>189.92</v>
      </c>
      <c r="H608" s="69">
        <f t="shared" si="24"/>
        <v>3.6252990741703961E-2</v>
      </c>
      <c r="M608" s="225"/>
      <c r="N608" s="1319"/>
      <c r="O608" s="1319"/>
      <c r="P608" s="1319"/>
      <c r="Q608" s="35">
        <v>43203</v>
      </c>
      <c r="R608" s="36">
        <v>2.8199999999999999E-2</v>
      </c>
      <c r="S608" s="37">
        <v>2.6699999999999998E-2</v>
      </c>
    </row>
    <row r="609" spans="1:19" x14ac:dyDescent="0.2">
      <c r="A609" s="1"/>
      <c r="B609" s="13">
        <v>44831</v>
      </c>
      <c r="C609" s="14">
        <v>192.26</v>
      </c>
      <c r="D609" s="15">
        <v>671380</v>
      </c>
      <c r="E609" s="14">
        <v>187.79</v>
      </c>
      <c r="F609" s="14">
        <v>192.76</v>
      </c>
      <c r="G609" s="16">
        <v>187.24</v>
      </c>
      <c r="H609" s="69">
        <f t="shared" si="24"/>
        <v>3.6553806340306139E-2</v>
      </c>
      <c r="M609" s="225"/>
      <c r="N609" s="1319"/>
      <c r="O609" s="1319"/>
      <c r="P609" s="1319"/>
      <c r="Q609" s="35">
        <v>43206</v>
      </c>
      <c r="R609" s="36">
        <v>2.8300000000000002E-2</v>
      </c>
      <c r="S609" s="37">
        <v>2.69E-2</v>
      </c>
    </row>
    <row r="610" spans="1:19" x14ac:dyDescent="0.2">
      <c r="A610" s="1"/>
      <c r="B610" s="13">
        <v>44830</v>
      </c>
      <c r="C610" s="14">
        <v>185.48</v>
      </c>
      <c r="D610" s="15">
        <v>561082</v>
      </c>
      <c r="E610" s="14">
        <v>183.69</v>
      </c>
      <c r="F610" s="14">
        <v>187.1875</v>
      </c>
      <c r="G610" s="16">
        <v>181.98</v>
      </c>
      <c r="H610" s="69">
        <f t="shared" si="24"/>
        <v>1.0569903018415649E-2</v>
      </c>
      <c r="M610" s="225"/>
      <c r="N610" s="1319"/>
      <c r="O610" s="1319"/>
      <c r="P610" s="1319"/>
      <c r="Q610" s="35">
        <v>43207</v>
      </c>
      <c r="R610" s="36">
        <v>2.8199999999999999E-2</v>
      </c>
      <c r="S610" s="37">
        <v>2.6800000000000001E-2</v>
      </c>
    </row>
    <row r="611" spans="1:19" x14ac:dyDescent="0.2">
      <c r="A611" s="1"/>
      <c r="B611" s="13">
        <v>44827</v>
      </c>
      <c r="C611" s="14">
        <v>183.54</v>
      </c>
      <c r="D611" s="15">
        <v>782656</v>
      </c>
      <c r="E611" s="14">
        <v>182.78</v>
      </c>
      <c r="F611" s="14">
        <v>184.255</v>
      </c>
      <c r="G611" s="16">
        <v>178.31</v>
      </c>
      <c r="H611" s="69">
        <f t="shared" si="24"/>
        <v>-9.8187311178249415E-3</v>
      </c>
      <c r="M611" s="225"/>
      <c r="N611" s="1319"/>
      <c r="O611" s="1319"/>
      <c r="P611" s="1319"/>
      <c r="Q611" s="35">
        <v>43208</v>
      </c>
      <c r="R611" s="36">
        <v>2.87E-2</v>
      </c>
      <c r="S611" s="37">
        <v>2.7300000000000001E-2</v>
      </c>
    </row>
    <row r="612" spans="1:19" x14ac:dyDescent="0.2">
      <c r="A612" s="1"/>
      <c r="B612" s="13">
        <v>44826</v>
      </c>
      <c r="C612" s="14">
        <v>185.36</v>
      </c>
      <c r="D612" s="15">
        <v>729038</v>
      </c>
      <c r="E612" s="14">
        <v>187.19</v>
      </c>
      <c r="F612" s="14">
        <v>188.72</v>
      </c>
      <c r="G612" s="16">
        <v>183.21</v>
      </c>
      <c r="H612" s="69">
        <f t="shared" si="24"/>
        <v>-2.1175476580239661E-2</v>
      </c>
      <c r="M612" s="225"/>
      <c r="N612" s="1319"/>
      <c r="O612" s="1319"/>
      <c r="P612" s="1319"/>
      <c r="Q612" s="35">
        <v>43209</v>
      </c>
      <c r="R612" s="36">
        <v>2.92E-2</v>
      </c>
      <c r="S612" s="37">
        <v>2.7699999999999999E-2</v>
      </c>
    </row>
    <row r="613" spans="1:19" x14ac:dyDescent="0.2">
      <c r="A613" s="1"/>
      <c r="B613" s="13">
        <v>44825</v>
      </c>
      <c r="C613" s="14">
        <v>189.37</v>
      </c>
      <c r="D613" s="15">
        <v>536209</v>
      </c>
      <c r="E613" s="14">
        <v>189.32</v>
      </c>
      <c r="F613" s="14">
        <v>194.92</v>
      </c>
      <c r="G613" s="16">
        <v>187.7</v>
      </c>
      <c r="H613" s="69">
        <f t="shared" si="24"/>
        <v>1.5497640497640575E-2</v>
      </c>
      <c r="M613" s="225"/>
      <c r="N613" s="1319"/>
      <c r="O613" s="1319"/>
      <c r="P613" s="1319"/>
      <c r="Q613" s="35">
        <v>43210</v>
      </c>
      <c r="R613" s="36">
        <v>2.9600000000000001E-2</v>
      </c>
      <c r="S613" s="37">
        <v>2.7999999999999997E-2</v>
      </c>
    </row>
    <row r="614" spans="1:19" x14ac:dyDescent="0.2">
      <c r="A614" s="1"/>
      <c r="B614" s="13">
        <v>44824</v>
      </c>
      <c r="C614" s="14">
        <v>186.48</v>
      </c>
      <c r="D614" s="15">
        <v>394771</v>
      </c>
      <c r="E614" s="14">
        <v>186.47</v>
      </c>
      <c r="F614" s="14">
        <v>187.12</v>
      </c>
      <c r="G614" s="16">
        <v>182.01</v>
      </c>
      <c r="H614" s="69">
        <f t="shared" si="24"/>
        <v>-1.4636723910171789E-2</v>
      </c>
      <c r="M614" s="225"/>
      <c r="N614" s="1319"/>
      <c r="O614" s="1319"/>
      <c r="P614" s="1319"/>
      <c r="Q614" s="35">
        <v>43213</v>
      </c>
      <c r="R614" s="36">
        <v>2.98E-2</v>
      </c>
      <c r="S614" s="37">
        <v>2.8300000000000002E-2</v>
      </c>
    </row>
    <row r="615" spans="1:19" x14ac:dyDescent="0.2">
      <c r="A615" s="1"/>
      <c r="B615" s="13">
        <v>44823</v>
      </c>
      <c r="C615" s="14">
        <v>189.25</v>
      </c>
      <c r="D615" s="15">
        <v>532610</v>
      </c>
      <c r="E615" s="14">
        <v>184.87</v>
      </c>
      <c r="F615" s="14">
        <v>194.065</v>
      </c>
      <c r="G615" s="16">
        <v>180.55</v>
      </c>
      <c r="H615" s="69">
        <f t="shared" si="24"/>
        <v>2.2033806772155495E-2</v>
      </c>
      <c r="M615" s="225"/>
      <c r="N615" s="1319"/>
      <c r="O615" s="1319"/>
      <c r="P615" s="1319"/>
      <c r="Q615" s="35">
        <v>43214</v>
      </c>
      <c r="R615" s="36">
        <v>0.03</v>
      </c>
      <c r="S615" s="37">
        <v>2.8300000000000002E-2</v>
      </c>
    </row>
    <row r="616" spans="1:19" x14ac:dyDescent="0.2">
      <c r="A616" s="1"/>
      <c r="B616" s="13">
        <v>44820</v>
      </c>
      <c r="C616" s="14">
        <v>185.17</v>
      </c>
      <c r="D616" s="15">
        <v>1122432</v>
      </c>
      <c r="E616" s="14">
        <v>181.21</v>
      </c>
      <c r="F616" s="14">
        <v>186.96</v>
      </c>
      <c r="G616" s="16">
        <v>176.7</v>
      </c>
      <c r="H616" s="69">
        <f t="shared" ref="H616:H679" si="25">C616/C617-1</f>
        <v>-2.2849604221635955E-2</v>
      </c>
      <c r="M616" s="225"/>
      <c r="N616" s="1319"/>
      <c r="O616" s="1319"/>
      <c r="P616" s="1319"/>
      <c r="Q616" s="35">
        <v>43215</v>
      </c>
      <c r="R616" s="36">
        <v>3.0299999999999997E-2</v>
      </c>
      <c r="S616" s="37">
        <v>2.8399999999999998E-2</v>
      </c>
    </row>
    <row r="617" spans="1:19" x14ac:dyDescent="0.2">
      <c r="A617" s="1"/>
      <c r="B617" s="13">
        <v>44819</v>
      </c>
      <c r="C617" s="14">
        <v>189.5</v>
      </c>
      <c r="D617" s="15">
        <v>533653</v>
      </c>
      <c r="E617" s="14">
        <v>192.21</v>
      </c>
      <c r="F617" s="14">
        <v>195.04</v>
      </c>
      <c r="G617" s="16">
        <v>187.24</v>
      </c>
      <c r="H617" s="69">
        <f t="shared" si="25"/>
        <v>-2.3548204256196192E-2</v>
      </c>
      <c r="M617" s="225"/>
      <c r="N617" s="1319"/>
      <c r="O617" s="1319"/>
      <c r="P617" s="1319"/>
      <c r="Q617" s="35">
        <v>43216</v>
      </c>
      <c r="R617" s="36">
        <v>0.03</v>
      </c>
      <c r="S617" s="37">
        <v>2.8199999999999999E-2</v>
      </c>
    </row>
    <row r="618" spans="1:19" x14ac:dyDescent="0.2">
      <c r="A618" s="1"/>
      <c r="B618" s="13">
        <v>44818</v>
      </c>
      <c r="C618" s="14">
        <v>194.07</v>
      </c>
      <c r="D618" s="15">
        <v>370046</v>
      </c>
      <c r="E618" s="14">
        <v>196.71</v>
      </c>
      <c r="F618" s="14">
        <v>196.71</v>
      </c>
      <c r="G618" s="16">
        <v>191.43</v>
      </c>
      <c r="H618" s="69">
        <f t="shared" si="25"/>
        <v>-1.3420771694372502E-2</v>
      </c>
      <c r="M618" s="225"/>
      <c r="N618" s="1319"/>
      <c r="O618" s="1319"/>
      <c r="P618" s="1319"/>
      <c r="Q618" s="35">
        <v>43217</v>
      </c>
      <c r="R618" s="36">
        <v>2.9600000000000001E-2</v>
      </c>
      <c r="S618" s="37">
        <v>2.7999999999999997E-2</v>
      </c>
    </row>
    <row r="619" spans="1:19" x14ac:dyDescent="0.2">
      <c r="A619" s="1"/>
      <c r="B619" s="13">
        <v>44817</v>
      </c>
      <c r="C619" s="14">
        <v>196.71</v>
      </c>
      <c r="D619" s="15">
        <v>369237</v>
      </c>
      <c r="E619" s="14">
        <v>198</v>
      </c>
      <c r="F619" s="14">
        <v>201.85</v>
      </c>
      <c r="G619" s="16">
        <v>196.01</v>
      </c>
      <c r="H619" s="69">
        <f t="shared" si="25"/>
        <v>-5.4506128334534942E-2</v>
      </c>
      <c r="M619" s="225"/>
      <c r="N619" s="1319"/>
      <c r="O619" s="1319"/>
      <c r="P619" s="1319"/>
      <c r="Q619" s="35">
        <v>43220</v>
      </c>
      <c r="R619" s="36">
        <v>2.9500000000000002E-2</v>
      </c>
      <c r="S619" s="37">
        <v>2.7900000000000001E-2</v>
      </c>
    </row>
    <row r="620" spans="1:19" x14ac:dyDescent="0.2">
      <c r="A620" s="1"/>
      <c r="B620" s="13">
        <v>44816</v>
      </c>
      <c r="C620" s="14">
        <v>208.05</v>
      </c>
      <c r="D620" s="15">
        <v>329629</v>
      </c>
      <c r="E620" s="14">
        <v>203.24</v>
      </c>
      <c r="F620" s="14">
        <v>209.82</v>
      </c>
      <c r="G620" s="16">
        <v>203</v>
      </c>
      <c r="H620" s="69">
        <f t="shared" si="25"/>
        <v>2.852481708522836E-2</v>
      </c>
      <c r="M620" s="225"/>
      <c r="N620" s="1319"/>
      <c r="O620" s="1319"/>
      <c r="P620" s="1319"/>
      <c r="Q620" s="35">
        <v>43221</v>
      </c>
      <c r="R620" s="36">
        <v>2.9700000000000001E-2</v>
      </c>
      <c r="S620" s="37">
        <v>2.8199999999999999E-2</v>
      </c>
    </row>
    <row r="621" spans="1:19" x14ac:dyDescent="0.2">
      <c r="A621" s="1"/>
      <c r="B621" s="13">
        <v>44813</v>
      </c>
      <c r="C621" s="14">
        <v>202.28</v>
      </c>
      <c r="D621" s="15">
        <v>551725</v>
      </c>
      <c r="E621" s="14">
        <v>195.6</v>
      </c>
      <c r="F621" s="14">
        <v>204.4</v>
      </c>
      <c r="G621" s="16">
        <v>195.03</v>
      </c>
      <c r="H621" s="69">
        <f t="shared" si="25"/>
        <v>3.3781366586600026E-2</v>
      </c>
      <c r="M621" s="225"/>
      <c r="N621" s="1319"/>
      <c r="O621" s="1319"/>
      <c r="P621" s="1319"/>
      <c r="Q621" s="35">
        <v>43222</v>
      </c>
      <c r="R621" s="36">
        <v>2.9700000000000001E-2</v>
      </c>
      <c r="S621" s="37">
        <v>2.7999999999999997E-2</v>
      </c>
    </row>
    <row r="622" spans="1:19" x14ac:dyDescent="0.2">
      <c r="A622" s="1"/>
      <c r="B622" s="13">
        <v>44812</v>
      </c>
      <c r="C622" s="14">
        <v>195.67</v>
      </c>
      <c r="D622" s="15">
        <v>696320</v>
      </c>
      <c r="E622" s="14">
        <v>198.58</v>
      </c>
      <c r="F622" s="14">
        <v>199.83</v>
      </c>
      <c r="G622" s="16">
        <v>190.97</v>
      </c>
      <c r="H622" s="69">
        <f t="shared" si="25"/>
        <v>-3.1192751398722685E-2</v>
      </c>
      <c r="M622" s="225"/>
      <c r="N622" s="1319"/>
      <c r="O622" s="1319"/>
      <c r="P622" s="1319"/>
      <c r="Q622" s="35">
        <v>43223</v>
      </c>
      <c r="R622" s="36">
        <v>2.9399999999999999E-2</v>
      </c>
      <c r="S622" s="37">
        <v>2.7799999999999998E-2</v>
      </c>
    </row>
    <row r="623" spans="1:19" x14ac:dyDescent="0.2">
      <c r="A623" s="1"/>
      <c r="B623" s="13">
        <v>44811</v>
      </c>
      <c r="C623" s="14">
        <v>201.97</v>
      </c>
      <c r="D623" s="15">
        <v>725645</v>
      </c>
      <c r="E623" s="14">
        <v>210.27</v>
      </c>
      <c r="F623" s="14">
        <v>210.57</v>
      </c>
      <c r="G623" s="16">
        <v>199.14</v>
      </c>
      <c r="H623" s="69">
        <f t="shared" si="25"/>
        <v>-3.6310716671438148E-2</v>
      </c>
      <c r="M623" s="225"/>
      <c r="N623" s="1319"/>
      <c r="O623" s="1319"/>
      <c r="P623" s="1319"/>
      <c r="Q623" s="35">
        <v>43224</v>
      </c>
      <c r="R623" s="36">
        <v>2.9500000000000002E-2</v>
      </c>
      <c r="S623" s="37">
        <v>2.7799999999999998E-2</v>
      </c>
    </row>
    <row r="624" spans="1:19" x14ac:dyDescent="0.2">
      <c r="A624" s="1"/>
      <c r="B624" s="13">
        <v>44810</v>
      </c>
      <c r="C624" s="14">
        <v>209.58</v>
      </c>
      <c r="D624" s="15">
        <v>325528</v>
      </c>
      <c r="E624" s="14">
        <v>206.59</v>
      </c>
      <c r="F624" s="14">
        <v>211.48</v>
      </c>
      <c r="G624" s="16">
        <v>205.69</v>
      </c>
      <c r="H624" s="69">
        <f t="shared" si="25"/>
        <v>1.634256340623641E-2</v>
      </c>
      <c r="M624" s="225"/>
      <c r="N624" s="1319"/>
      <c r="O624" s="1319"/>
      <c r="P624" s="1319"/>
      <c r="Q624" s="35">
        <v>43227</v>
      </c>
      <c r="R624" s="36">
        <v>2.9500000000000002E-2</v>
      </c>
      <c r="S624" s="37">
        <v>2.7799999999999998E-2</v>
      </c>
    </row>
    <row r="625" spans="1:19" x14ac:dyDescent="0.2">
      <c r="A625" s="1"/>
      <c r="B625" s="13">
        <v>44806</v>
      </c>
      <c r="C625" s="14">
        <v>206.21</v>
      </c>
      <c r="D625" s="15">
        <v>295383</v>
      </c>
      <c r="E625" s="14">
        <v>211.8</v>
      </c>
      <c r="F625" s="14">
        <v>214.58500000000001</v>
      </c>
      <c r="G625" s="16">
        <v>204.03</v>
      </c>
      <c r="H625" s="69">
        <f t="shared" si="25"/>
        <v>-1.795409086579669E-2</v>
      </c>
      <c r="M625" s="225"/>
      <c r="N625" s="1319"/>
      <c r="O625" s="1319"/>
      <c r="P625" s="1319"/>
      <c r="Q625" s="35">
        <v>43228</v>
      </c>
      <c r="R625" s="36">
        <v>2.9700000000000001E-2</v>
      </c>
      <c r="S625" s="37">
        <v>2.81E-2</v>
      </c>
    </row>
    <row r="626" spans="1:19" x14ac:dyDescent="0.2">
      <c r="A626" s="1"/>
      <c r="B626" s="13">
        <v>44805</v>
      </c>
      <c r="C626" s="14">
        <v>209.98</v>
      </c>
      <c r="D626" s="15">
        <v>374685</v>
      </c>
      <c r="E626" s="14">
        <v>201.7</v>
      </c>
      <c r="F626" s="14">
        <v>210.72</v>
      </c>
      <c r="G626" s="16">
        <v>201.7</v>
      </c>
      <c r="H626" s="69">
        <f t="shared" si="25"/>
        <v>1.5229898950829046E-2</v>
      </c>
      <c r="M626" s="225"/>
      <c r="N626" s="1319"/>
      <c r="O626" s="1319"/>
      <c r="P626" s="1319"/>
      <c r="Q626" s="35">
        <v>43229</v>
      </c>
      <c r="R626" s="36">
        <v>0.03</v>
      </c>
      <c r="S626" s="37">
        <v>2.8399999999999998E-2</v>
      </c>
    </row>
    <row r="627" spans="1:19" x14ac:dyDescent="0.2">
      <c r="A627" s="1"/>
      <c r="B627" s="13">
        <v>44804</v>
      </c>
      <c r="C627" s="14">
        <v>206.83</v>
      </c>
      <c r="D627" s="15">
        <v>411996</v>
      </c>
      <c r="E627" s="14">
        <v>217.13</v>
      </c>
      <c r="F627" s="14">
        <v>217.13</v>
      </c>
      <c r="G627" s="16">
        <v>206.36500000000001</v>
      </c>
      <c r="H627" s="69">
        <f t="shared" si="25"/>
        <v>-3.9920159680638667E-2</v>
      </c>
      <c r="M627" s="225"/>
      <c r="N627" s="1319"/>
      <c r="O627" s="1319"/>
      <c r="P627" s="1319"/>
      <c r="Q627" s="35">
        <v>43230</v>
      </c>
      <c r="R627" s="36">
        <v>2.9700000000000001E-2</v>
      </c>
      <c r="S627" s="37">
        <v>2.8300000000000002E-2</v>
      </c>
    </row>
    <row r="628" spans="1:19" x14ac:dyDescent="0.2">
      <c r="A628" s="1"/>
      <c r="B628" s="13">
        <v>44803</v>
      </c>
      <c r="C628" s="14">
        <v>215.43</v>
      </c>
      <c r="D628" s="15">
        <v>287436</v>
      </c>
      <c r="E628" s="14">
        <v>218.25</v>
      </c>
      <c r="F628" s="14">
        <v>218.25</v>
      </c>
      <c r="G628" s="16">
        <v>210.82</v>
      </c>
      <c r="H628" s="69">
        <f t="shared" si="25"/>
        <v>-1.6220224302530006E-3</v>
      </c>
      <c r="M628" s="225"/>
      <c r="N628" s="1319"/>
      <c r="O628" s="1319"/>
      <c r="P628" s="1319"/>
      <c r="Q628" s="35">
        <v>43231</v>
      </c>
      <c r="R628" s="36">
        <v>2.9700000000000001E-2</v>
      </c>
      <c r="S628" s="37">
        <v>2.8399999999999998E-2</v>
      </c>
    </row>
    <row r="629" spans="1:19" x14ac:dyDescent="0.2">
      <c r="A629" s="1"/>
      <c r="B629" s="13">
        <v>44802</v>
      </c>
      <c r="C629" s="14">
        <v>215.78</v>
      </c>
      <c r="D629" s="15">
        <v>288011</v>
      </c>
      <c r="E629" s="14">
        <v>219.11</v>
      </c>
      <c r="F629" s="14">
        <v>220.94</v>
      </c>
      <c r="G629" s="16">
        <v>215.27</v>
      </c>
      <c r="H629" s="69">
        <f t="shared" si="25"/>
        <v>-2.9897046261745275E-2</v>
      </c>
      <c r="M629" s="225"/>
      <c r="N629" s="1319"/>
      <c r="O629" s="1319"/>
      <c r="P629" s="1319"/>
      <c r="Q629" s="35">
        <v>43234</v>
      </c>
      <c r="R629" s="36">
        <v>0.03</v>
      </c>
      <c r="S629" s="37">
        <v>2.8500000000000001E-2</v>
      </c>
    </row>
    <row r="630" spans="1:19" x14ac:dyDescent="0.2">
      <c r="A630" s="1"/>
      <c r="B630" s="13">
        <v>44799</v>
      </c>
      <c r="C630" s="14">
        <v>222.43</v>
      </c>
      <c r="D630" s="15">
        <v>314639</v>
      </c>
      <c r="E630" s="14">
        <v>231.51</v>
      </c>
      <c r="F630" s="14">
        <v>234.67779999999999</v>
      </c>
      <c r="G630" s="16">
        <v>221.25</v>
      </c>
      <c r="H630" s="69">
        <f t="shared" si="25"/>
        <v>-4.4339419978517647E-2</v>
      </c>
      <c r="M630" s="225"/>
      <c r="N630" s="1319"/>
      <c r="O630" s="1319"/>
      <c r="P630" s="1319"/>
      <c r="Q630" s="35">
        <v>43235</v>
      </c>
      <c r="R630" s="36">
        <v>3.0800000000000001E-2</v>
      </c>
      <c r="S630" s="37">
        <v>2.92E-2</v>
      </c>
    </row>
    <row r="631" spans="1:19" x14ac:dyDescent="0.2">
      <c r="A631" s="1"/>
      <c r="B631" s="13">
        <v>44798</v>
      </c>
      <c r="C631" s="14">
        <v>232.75</v>
      </c>
      <c r="D631" s="15">
        <v>232471</v>
      </c>
      <c r="E631" s="14">
        <v>224.53</v>
      </c>
      <c r="F631" s="14">
        <v>232.88</v>
      </c>
      <c r="G631" s="16">
        <v>222.83920000000001</v>
      </c>
      <c r="H631" s="69">
        <f t="shared" si="25"/>
        <v>4.9842129003157432E-2</v>
      </c>
      <c r="M631" s="225"/>
      <c r="N631" s="1319"/>
      <c r="O631" s="1319"/>
      <c r="P631" s="1319"/>
      <c r="Q631" s="35">
        <v>43236</v>
      </c>
      <c r="R631" s="36">
        <v>3.0899999999999997E-2</v>
      </c>
      <c r="S631" s="37">
        <v>2.9399999999999999E-2</v>
      </c>
    </row>
    <row r="632" spans="1:19" x14ac:dyDescent="0.2">
      <c r="A632" s="1"/>
      <c r="B632" s="13">
        <v>44797</v>
      </c>
      <c r="C632" s="14">
        <v>221.7</v>
      </c>
      <c r="D632" s="15">
        <v>147790</v>
      </c>
      <c r="E632" s="14">
        <v>219.62</v>
      </c>
      <c r="F632" s="14">
        <v>224.91</v>
      </c>
      <c r="G632" s="16">
        <v>218.81</v>
      </c>
      <c r="H632" s="69">
        <f t="shared" si="25"/>
        <v>7.9105291871248706E-3</v>
      </c>
      <c r="M632" s="225"/>
      <c r="N632" s="1319"/>
      <c r="O632" s="1319"/>
      <c r="P632" s="1319"/>
      <c r="Q632" s="35">
        <v>43237</v>
      </c>
      <c r="R632" s="36">
        <v>3.1099999999999999E-2</v>
      </c>
      <c r="S632" s="37">
        <v>2.9399999999999999E-2</v>
      </c>
    </row>
    <row r="633" spans="1:19" x14ac:dyDescent="0.2">
      <c r="A633" s="1"/>
      <c r="B633" s="13">
        <v>44796</v>
      </c>
      <c r="C633" s="14">
        <v>219.96</v>
      </c>
      <c r="D633" s="15">
        <v>195869</v>
      </c>
      <c r="E633" s="14">
        <v>223.58</v>
      </c>
      <c r="F633" s="14">
        <v>226.17</v>
      </c>
      <c r="G633" s="16">
        <v>219.03</v>
      </c>
      <c r="H633" s="69">
        <f t="shared" si="25"/>
        <v>-1.3499573933713038E-2</v>
      </c>
      <c r="M633" s="225"/>
      <c r="N633" s="1319"/>
      <c r="O633" s="1319"/>
      <c r="P633" s="1319"/>
      <c r="Q633" s="35">
        <v>43238</v>
      </c>
      <c r="R633" s="36">
        <v>3.0600000000000002E-2</v>
      </c>
      <c r="S633" s="37">
        <v>2.8999999999999998E-2</v>
      </c>
    </row>
    <row r="634" spans="1:19" x14ac:dyDescent="0.2">
      <c r="A634" s="1"/>
      <c r="B634" s="13">
        <v>44795</v>
      </c>
      <c r="C634" s="14">
        <v>222.97</v>
      </c>
      <c r="D634" s="15">
        <v>282932</v>
      </c>
      <c r="E634" s="14">
        <v>221.7</v>
      </c>
      <c r="F634" s="14">
        <v>223.15</v>
      </c>
      <c r="G634" s="16">
        <v>218.33</v>
      </c>
      <c r="H634" s="69">
        <f t="shared" si="25"/>
        <v>-2.8283796740172673E-2</v>
      </c>
      <c r="M634" s="225"/>
      <c r="N634" s="1319"/>
      <c r="O634" s="1319"/>
      <c r="P634" s="1319"/>
      <c r="Q634" s="35">
        <v>43241</v>
      </c>
      <c r="R634" s="36">
        <v>3.0600000000000002E-2</v>
      </c>
      <c r="S634" s="37">
        <v>2.8999999999999998E-2</v>
      </c>
    </row>
    <row r="635" spans="1:19" x14ac:dyDescent="0.2">
      <c r="A635" s="1"/>
      <c r="B635" s="13">
        <v>44792</v>
      </c>
      <c r="C635" s="14">
        <v>229.46</v>
      </c>
      <c r="D635" s="15">
        <v>296211</v>
      </c>
      <c r="E635" s="14">
        <v>230.1</v>
      </c>
      <c r="F635" s="14">
        <v>232.02</v>
      </c>
      <c r="G635" s="16">
        <v>224.54</v>
      </c>
      <c r="H635" s="69">
        <f t="shared" si="25"/>
        <v>-2.0490053786391127E-2</v>
      </c>
      <c r="M635" s="225"/>
      <c r="N635" s="1319"/>
      <c r="O635" s="1319"/>
      <c r="P635" s="1319"/>
      <c r="Q635" s="35">
        <v>43242</v>
      </c>
      <c r="R635" s="36">
        <v>3.0600000000000002E-2</v>
      </c>
      <c r="S635" s="37">
        <v>2.8999999999999998E-2</v>
      </c>
    </row>
    <row r="636" spans="1:19" x14ac:dyDescent="0.2">
      <c r="A636" s="1"/>
      <c r="B636" s="13">
        <v>44791</v>
      </c>
      <c r="C636" s="14">
        <v>234.26</v>
      </c>
      <c r="D636" s="15">
        <v>222517</v>
      </c>
      <c r="E636" s="14">
        <v>232.3</v>
      </c>
      <c r="F636" s="14">
        <v>236.14500000000001</v>
      </c>
      <c r="G636" s="16">
        <v>231.96</v>
      </c>
      <c r="H636" s="69">
        <f t="shared" si="25"/>
        <v>6.8337129840547739E-3</v>
      </c>
      <c r="M636" s="225"/>
      <c r="N636" s="1319"/>
      <c r="O636" s="1319"/>
      <c r="P636" s="1319"/>
      <c r="Q636" s="35">
        <v>43243</v>
      </c>
      <c r="R636" s="36">
        <v>3.0099999999999998E-2</v>
      </c>
      <c r="S636" s="37">
        <v>2.8300000000000002E-2</v>
      </c>
    </row>
    <row r="637" spans="1:19" x14ac:dyDescent="0.2">
      <c r="A637" s="1"/>
      <c r="B637" s="13">
        <v>44790</v>
      </c>
      <c r="C637" s="14">
        <v>232.67</v>
      </c>
      <c r="D637" s="15">
        <v>341498</v>
      </c>
      <c r="E637" s="14">
        <v>234.96</v>
      </c>
      <c r="F637" s="14">
        <v>234.96</v>
      </c>
      <c r="G637" s="16">
        <v>227.21</v>
      </c>
      <c r="H637" s="69">
        <f t="shared" si="25"/>
        <v>-2.6811109252133258E-2</v>
      </c>
      <c r="M637" s="225"/>
      <c r="N637" s="1319"/>
      <c r="O637" s="1319"/>
      <c r="P637" s="1319"/>
      <c r="Q637" s="35">
        <v>43244</v>
      </c>
      <c r="R637" s="36">
        <v>2.98E-2</v>
      </c>
      <c r="S637" s="37">
        <v>2.8199999999999999E-2</v>
      </c>
    </row>
    <row r="638" spans="1:19" x14ac:dyDescent="0.2">
      <c r="A638" s="1"/>
      <c r="B638" s="13">
        <v>44789</v>
      </c>
      <c r="C638" s="14">
        <v>239.08</v>
      </c>
      <c r="D638" s="15">
        <v>327651</v>
      </c>
      <c r="E638" s="14">
        <v>239.79</v>
      </c>
      <c r="F638" s="14">
        <v>242.15</v>
      </c>
      <c r="G638" s="16">
        <v>236.92500000000001</v>
      </c>
      <c r="H638" s="69">
        <f t="shared" si="25"/>
        <v>-4.8699271592090865E-3</v>
      </c>
      <c r="M638" s="225"/>
      <c r="N638" s="1319"/>
      <c r="O638" s="1319"/>
      <c r="P638" s="1319"/>
      <c r="Q638" s="35">
        <v>43245</v>
      </c>
      <c r="R638" s="36">
        <v>2.9300000000000003E-2</v>
      </c>
      <c r="S638" s="37">
        <v>2.76E-2</v>
      </c>
    </row>
    <row r="639" spans="1:19" x14ac:dyDescent="0.2">
      <c r="A639" s="1"/>
      <c r="B639" s="13">
        <v>44788</v>
      </c>
      <c r="C639" s="14">
        <v>240.25</v>
      </c>
      <c r="D639" s="15">
        <v>359329</v>
      </c>
      <c r="E639" s="14">
        <v>243.88</v>
      </c>
      <c r="F639" s="14">
        <v>245.78</v>
      </c>
      <c r="G639" s="16">
        <v>236.68</v>
      </c>
      <c r="H639" s="69">
        <f t="shared" si="25"/>
        <v>-2.53154286177939E-2</v>
      </c>
      <c r="M639" s="225"/>
      <c r="N639" s="1319"/>
      <c r="O639" s="1319"/>
      <c r="P639" s="1319"/>
      <c r="Q639" s="35">
        <v>43249</v>
      </c>
      <c r="R639" s="36">
        <v>2.7699999999999999E-2</v>
      </c>
      <c r="S639" s="37">
        <v>2.58E-2</v>
      </c>
    </row>
    <row r="640" spans="1:19" x14ac:dyDescent="0.2">
      <c r="A640" s="1"/>
      <c r="B640" s="13">
        <v>44785</v>
      </c>
      <c r="C640" s="14">
        <v>246.49</v>
      </c>
      <c r="D640" s="15">
        <v>377435</v>
      </c>
      <c r="E640" s="14">
        <v>256.93</v>
      </c>
      <c r="F640" s="14">
        <v>256.98</v>
      </c>
      <c r="G640" s="16">
        <v>245.38</v>
      </c>
      <c r="H640" s="69">
        <f t="shared" si="25"/>
        <v>-2.5731225296442672E-2</v>
      </c>
      <c r="M640" s="225"/>
      <c r="N640" s="1319"/>
      <c r="O640" s="1319"/>
      <c r="P640" s="1319"/>
      <c r="Q640" s="35">
        <v>43250</v>
      </c>
      <c r="R640" s="36">
        <v>2.8399999999999998E-2</v>
      </c>
      <c r="S640" s="37">
        <v>2.6699999999999998E-2</v>
      </c>
    </row>
    <row r="641" spans="1:19" x14ac:dyDescent="0.2">
      <c r="A641" s="1"/>
      <c r="B641" s="13">
        <v>44784</v>
      </c>
      <c r="C641" s="14">
        <v>253</v>
      </c>
      <c r="D641" s="15">
        <v>493709</v>
      </c>
      <c r="E641" s="14">
        <v>252.43</v>
      </c>
      <c r="F641" s="14">
        <v>263.37</v>
      </c>
      <c r="G641" s="16">
        <v>251.84</v>
      </c>
      <c r="H641" s="69">
        <f t="shared" si="25"/>
        <v>1.3134710876181233E-2</v>
      </c>
      <c r="M641" s="225"/>
      <c r="N641" s="1319"/>
      <c r="O641" s="1319"/>
      <c r="P641" s="1319"/>
      <c r="Q641" s="35">
        <v>43251</v>
      </c>
      <c r="R641" s="36">
        <v>2.8300000000000002E-2</v>
      </c>
      <c r="S641" s="37">
        <v>2.6800000000000001E-2</v>
      </c>
    </row>
    <row r="642" spans="1:19" x14ac:dyDescent="0.2">
      <c r="A642" s="1"/>
      <c r="B642" s="13">
        <v>44783</v>
      </c>
      <c r="C642" s="14">
        <v>249.72</v>
      </c>
      <c r="D642" s="15">
        <v>326169</v>
      </c>
      <c r="E642" s="14">
        <v>243.31</v>
      </c>
      <c r="F642" s="14">
        <v>250.75</v>
      </c>
      <c r="G642" s="16">
        <v>242.0831</v>
      </c>
      <c r="H642" s="69">
        <f t="shared" si="25"/>
        <v>5.9572301425661944E-2</v>
      </c>
      <c r="M642" s="225"/>
      <c r="N642" s="1319"/>
      <c r="O642" s="1319"/>
      <c r="P642" s="1319"/>
      <c r="Q642" s="35">
        <v>43252</v>
      </c>
      <c r="R642" s="36">
        <v>2.8900000000000002E-2</v>
      </c>
      <c r="S642" s="37">
        <v>2.7400000000000001E-2</v>
      </c>
    </row>
    <row r="643" spans="1:19" x14ac:dyDescent="0.2">
      <c r="A643" s="1"/>
      <c r="B643" s="13">
        <v>44782</v>
      </c>
      <c r="C643" s="14">
        <v>235.68</v>
      </c>
      <c r="D643" s="15">
        <v>370549</v>
      </c>
      <c r="E643" s="14">
        <v>238.39</v>
      </c>
      <c r="F643" s="14">
        <v>241.43</v>
      </c>
      <c r="G643" s="16">
        <v>233.51</v>
      </c>
      <c r="H643" s="69">
        <f t="shared" si="25"/>
        <v>-2.5027923716543166E-2</v>
      </c>
      <c r="M643" s="225"/>
      <c r="N643" s="1319"/>
      <c r="O643" s="1319"/>
      <c r="P643" s="1319"/>
      <c r="Q643" s="35">
        <v>43255</v>
      </c>
      <c r="R643" s="36">
        <v>2.9399999999999999E-2</v>
      </c>
      <c r="S643" s="37">
        <v>2.7799999999999998E-2</v>
      </c>
    </row>
    <row r="644" spans="1:19" x14ac:dyDescent="0.2">
      <c r="A644" s="1"/>
      <c r="B644" s="13">
        <v>44781</v>
      </c>
      <c r="C644" s="14">
        <v>241.73</v>
      </c>
      <c r="D644" s="15">
        <v>306160</v>
      </c>
      <c r="E644" s="14">
        <v>242.16</v>
      </c>
      <c r="F644" s="14">
        <v>247.65</v>
      </c>
      <c r="G644" s="16">
        <v>241.435</v>
      </c>
      <c r="H644" s="69">
        <f t="shared" si="25"/>
        <v>1.3255457520400249E-3</v>
      </c>
      <c r="M644" s="225"/>
      <c r="N644" s="1319"/>
      <c r="O644" s="1319"/>
      <c r="P644" s="1319"/>
      <c r="Q644" s="35">
        <v>43256</v>
      </c>
      <c r="R644" s="36">
        <v>2.92E-2</v>
      </c>
      <c r="S644" s="37">
        <v>2.76E-2</v>
      </c>
    </row>
    <row r="645" spans="1:19" x14ac:dyDescent="0.2">
      <c r="A645" s="1"/>
      <c r="B645" s="13">
        <v>44778</v>
      </c>
      <c r="C645" s="14">
        <v>241.41</v>
      </c>
      <c r="D645" s="15">
        <v>205867</v>
      </c>
      <c r="E645" s="14">
        <v>235.67</v>
      </c>
      <c r="F645" s="14">
        <v>245.05</v>
      </c>
      <c r="G645" s="16">
        <v>233.56</v>
      </c>
      <c r="H645" s="69">
        <f t="shared" si="25"/>
        <v>4.2013311148085819E-3</v>
      </c>
      <c r="M645" s="225"/>
      <c r="N645" s="1319"/>
      <c r="O645" s="1319"/>
      <c r="P645" s="1319"/>
      <c r="Q645" s="35">
        <v>43257</v>
      </c>
      <c r="R645" s="36">
        <v>2.9700000000000001E-2</v>
      </c>
      <c r="S645" s="37">
        <v>2.81E-2</v>
      </c>
    </row>
    <row r="646" spans="1:19" x14ac:dyDescent="0.2">
      <c r="A646" s="1"/>
      <c r="B646" s="13">
        <v>44777</v>
      </c>
      <c r="C646" s="14">
        <v>240.4</v>
      </c>
      <c r="D646" s="15">
        <v>221813</v>
      </c>
      <c r="E646" s="14">
        <v>237.46</v>
      </c>
      <c r="F646" s="14">
        <v>241.98</v>
      </c>
      <c r="G646" s="16">
        <v>236.08</v>
      </c>
      <c r="H646" s="69">
        <f t="shared" si="25"/>
        <v>1.5932045809914364E-2</v>
      </c>
      <c r="M646" s="225"/>
      <c r="N646" s="1319"/>
      <c r="O646" s="1319"/>
      <c r="P646" s="1319"/>
      <c r="Q646" s="35">
        <v>43258</v>
      </c>
      <c r="R646" s="36">
        <v>2.9300000000000003E-2</v>
      </c>
      <c r="S646" s="37">
        <v>2.7699999999999999E-2</v>
      </c>
    </row>
    <row r="647" spans="1:19" x14ac:dyDescent="0.2">
      <c r="A647" s="1"/>
      <c r="B647" s="13">
        <v>44776</v>
      </c>
      <c r="C647" s="14">
        <v>236.63</v>
      </c>
      <c r="D647" s="15">
        <v>289753</v>
      </c>
      <c r="E647" s="14">
        <v>234.19</v>
      </c>
      <c r="F647" s="14">
        <v>238.37</v>
      </c>
      <c r="G647" s="16">
        <v>232.875</v>
      </c>
      <c r="H647" s="69">
        <f t="shared" si="25"/>
        <v>1.5187266721009118E-2</v>
      </c>
      <c r="M647" s="225"/>
      <c r="N647" s="1319"/>
      <c r="O647" s="1319"/>
      <c r="P647" s="1319"/>
      <c r="Q647" s="35">
        <v>43259</v>
      </c>
      <c r="R647" s="36">
        <v>2.9300000000000003E-2</v>
      </c>
      <c r="S647" s="37">
        <v>2.7699999999999999E-2</v>
      </c>
    </row>
    <row r="648" spans="1:19" x14ac:dyDescent="0.2">
      <c r="A648" s="1"/>
      <c r="B648" s="13">
        <v>44775</v>
      </c>
      <c r="C648" s="14">
        <v>233.09</v>
      </c>
      <c r="D648" s="15">
        <v>363617</v>
      </c>
      <c r="E648" s="14">
        <v>237.36</v>
      </c>
      <c r="F648" s="14">
        <v>238.56</v>
      </c>
      <c r="G648" s="16">
        <v>231.95</v>
      </c>
      <c r="H648" s="69">
        <f t="shared" si="25"/>
        <v>-2.8265310376453967E-2</v>
      </c>
      <c r="M648" s="225"/>
      <c r="N648" s="1319"/>
      <c r="O648" s="1319"/>
      <c r="P648" s="1319"/>
      <c r="Q648" s="35">
        <v>43262</v>
      </c>
      <c r="R648" s="36">
        <v>2.9600000000000001E-2</v>
      </c>
      <c r="S648" s="37">
        <v>2.7999999999999997E-2</v>
      </c>
    </row>
    <row r="649" spans="1:19" x14ac:dyDescent="0.2">
      <c r="A649" s="1"/>
      <c r="B649" s="13">
        <v>44774</v>
      </c>
      <c r="C649" s="14">
        <v>239.87</v>
      </c>
      <c r="D649" s="15">
        <v>313327</v>
      </c>
      <c r="E649" s="14">
        <v>237.52</v>
      </c>
      <c r="F649" s="14">
        <v>242.3</v>
      </c>
      <c r="G649" s="16">
        <v>234.285</v>
      </c>
      <c r="H649" s="69">
        <f t="shared" si="25"/>
        <v>8.4927475299558797E-3</v>
      </c>
      <c r="M649" s="225"/>
      <c r="N649" s="1319"/>
      <c r="O649" s="1319"/>
      <c r="P649" s="1319"/>
      <c r="Q649" s="35">
        <v>43263</v>
      </c>
      <c r="R649" s="36">
        <v>2.9600000000000001E-2</v>
      </c>
      <c r="S649" s="37">
        <v>2.81E-2</v>
      </c>
    </row>
    <row r="650" spans="1:19" x14ac:dyDescent="0.2">
      <c r="A650" s="1"/>
      <c r="B650" s="13">
        <v>44771</v>
      </c>
      <c r="C650" s="14">
        <v>237.85</v>
      </c>
      <c r="D650" s="15">
        <v>447397</v>
      </c>
      <c r="E650" s="14">
        <v>232.62</v>
      </c>
      <c r="F650" s="14">
        <v>240.05</v>
      </c>
      <c r="G650" s="16">
        <v>230.94049999999999</v>
      </c>
      <c r="H650" s="69">
        <f t="shared" si="25"/>
        <v>1.6322693671751543E-2</v>
      </c>
      <c r="M650" s="225"/>
      <c r="N650" s="1319"/>
      <c r="O650" s="1319"/>
      <c r="P650" s="1319"/>
      <c r="Q650" s="35">
        <v>43264</v>
      </c>
      <c r="R650" s="36">
        <v>2.98E-2</v>
      </c>
      <c r="S650" s="37">
        <v>2.8500000000000001E-2</v>
      </c>
    </row>
    <row r="651" spans="1:19" x14ac:dyDescent="0.2">
      <c r="A651" s="1"/>
      <c r="B651" s="13">
        <v>44770</v>
      </c>
      <c r="C651" s="14">
        <v>234.03</v>
      </c>
      <c r="D651" s="15">
        <v>700094</v>
      </c>
      <c r="E651" s="14">
        <v>217.39</v>
      </c>
      <c r="F651" s="14">
        <v>234.68</v>
      </c>
      <c r="G651" s="16">
        <v>211.22</v>
      </c>
      <c r="H651" s="69">
        <f t="shared" si="25"/>
        <v>0.10888415067519541</v>
      </c>
      <c r="M651" s="225"/>
      <c r="N651" s="1319"/>
      <c r="O651" s="1319"/>
      <c r="P651" s="1319"/>
      <c r="Q651" s="35">
        <v>43265</v>
      </c>
      <c r="R651" s="36">
        <v>2.9399999999999999E-2</v>
      </c>
      <c r="S651" s="37">
        <v>2.81E-2</v>
      </c>
    </row>
    <row r="652" spans="1:19" x14ac:dyDescent="0.2">
      <c r="A652" s="1"/>
      <c r="B652" s="13">
        <v>44769</v>
      </c>
      <c r="C652" s="14">
        <v>211.05</v>
      </c>
      <c r="D652" s="15">
        <v>971882</v>
      </c>
      <c r="E652" s="14">
        <v>211.91</v>
      </c>
      <c r="F652" s="14">
        <v>215.42</v>
      </c>
      <c r="G652" s="16">
        <v>194.8</v>
      </c>
      <c r="H652" s="69">
        <f t="shared" si="25"/>
        <v>2.3967784192906683E-2</v>
      </c>
      <c r="M652" s="225"/>
      <c r="N652" s="1319"/>
      <c r="O652" s="1319"/>
      <c r="P652" s="1319"/>
      <c r="Q652" s="35">
        <v>43266</v>
      </c>
      <c r="R652" s="36">
        <v>2.9300000000000003E-2</v>
      </c>
      <c r="S652" s="37">
        <v>2.81E-2</v>
      </c>
    </row>
    <row r="653" spans="1:19" x14ac:dyDescent="0.2">
      <c r="A653" s="1"/>
      <c r="B653" s="13">
        <v>44768</v>
      </c>
      <c r="C653" s="14">
        <v>206.11</v>
      </c>
      <c r="D653" s="15">
        <v>494168</v>
      </c>
      <c r="E653" s="14">
        <v>208.81</v>
      </c>
      <c r="F653" s="14">
        <v>211.44</v>
      </c>
      <c r="G653" s="16">
        <v>202.57</v>
      </c>
      <c r="H653" s="69">
        <f t="shared" si="25"/>
        <v>-2.4792997397681482E-2</v>
      </c>
      <c r="M653" s="225"/>
      <c r="N653" s="1319"/>
      <c r="O653" s="1319"/>
      <c r="P653" s="1319"/>
      <c r="Q653" s="35">
        <v>43269</v>
      </c>
      <c r="R653" s="36">
        <v>2.92E-2</v>
      </c>
      <c r="S653" s="37">
        <v>2.7999999999999997E-2</v>
      </c>
    </row>
    <row r="654" spans="1:19" x14ac:dyDescent="0.2">
      <c r="A654" s="1"/>
      <c r="B654" s="13">
        <v>44767</v>
      </c>
      <c r="C654" s="14">
        <v>211.35</v>
      </c>
      <c r="D654" s="15">
        <v>527681</v>
      </c>
      <c r="E654" s="14">
        <v>208.38</v>
      </c>
      <c r="F654" s="14">
        <v>211.81</v>
      </c>
      <c r="G654" s="16">
        <v>203</v>
      </c>
      <c r="H654" s="69">
        <f t="shared" si="25"/>
        <v>6.2848164547921748E-3</v>
      </c>
      <c r="M654" s="225"/>
      <c r="N654" s="1319"/>
      <c r="O654" s="1319"/>
      <c r="P654" s="1319"/>
      <c r="Q654" s="35">
        <v>43270</v>
      </c>
      <c r="R654" s="36">
        <v>2.8900000000000002E-2</v>
      </c>
      <c r="S654" s="37">
        <v>2.7699999999999999E-2</v>
      </c>
    </row>
    <row r="655" spans="1:19" x14ac:dyDescent="0.2">
      <c r="A655" s="1"/>
      <c r="B655" s="13">
        <v>44764</v>
      </c>
      <c r="C655" s="14">
        <v>210.03</v>
      </c>
      <c r="D655" s="15">
        <v>529656</v>
      </c>
      <c r="E655" s="14">
        <v>213.5</v>
      </c>
      <c r="F655" s="14">
        <v>217.24</v>
      </c>
      <c r="G655" s="16">
        <v>206.875</v>
      </c>
      <c r="H655" s="69">
        <f t="shared" si="25"/>
        <v>-2.1751280857009725E-2</v>
      </c>
      <c r="M655" s="225"/>
      <c r="N655" s="1319"/>
      <c r="O655" s="1319"/>
      <c r="P655" s="1319"/>
      <c r="Q655" s="35">
        <v>43271</v>
      </c>
      <c r="R655" s="36">
        <v>2.9300000000000003E-2</v>
      </c>
      <c r="S655" s="37">
        <v>2.7999999999999997E-2</v>
      </c>
    </row>
    <row r="656" spans="1:19" x14ac:dyDescent="0.2">
      <c r="A656" s="1"/>
      <c r="B656" s="13">
        <v>44763</v>
      </c>
      <c r="C656" s="14">
        <v>214.7</v>
      </c>
      <c r="D656" s="15">
        <v>488760</v>
      </c>
      <c r="E656" s="14">
        <v>213.23</v>
      </c>
      <c r="F656" s="14">
        <v>221.08</v>
      </c>
      <c r="G656" s="16">
        <v>212.21</v>
      </c>
      <c r="H656" s="69">
        <f t="shared" si="25"/>
        <v>1.0257858083944971E-2</v>
      </c>
      <c r="M656" s="225"/>
      <c r="N656" s="1319"/>
      <c r="O656" s="1319"/>
      <c r="P656" s="1319"/>
      <c r="Q656" s="35">
        <v>43272</v>
      </c>
      <c r="R656" s="36">
        <v>2.8999999999999998E-2</v>
      </c>
      <c r="S656" s="37">
        <v>2.7699999999999999E-2</v>
      </c>
    </row>
    <row r="657" spans="1:19" x14ac:dyDescent="0.2">
      <c r="A657" s="1"/>
      <c r="B657" s="13">
        <v>44762</v>
      </c>
      <c r="C657" s="14">
        <v>212.52</v>
      </c>
      <c r="D657" s="15">
        <v>379245</v>
      </c>
      <c r="E657" s="14">
        <v>209.59</v>
      </c>
      <c r="F657" s="14">
        <v>214.05</v>
      </c>
      <c r="G657" s="16">
        <v>207.62</v>
      </c>
      <c r="H657" s="69">
        <f t="shared" si="25"/>
        <v>1.489971346704877E-2</v>
      </c>
      <c r="M657" s="225"/>
      <c r="N657" s="1319"/>
      <c r="O657" s="1319"/>
      <c r="P657" s="1319"/>
      <c r="Q657" s="35">
        <v>43273</v>
      </c>
      <c r="R657" s="36">
        <v>2.8999999999999998E-2</v>
      </c>
      <c r="S657" s="37">
        <v>2.7699999999999999E-2</v>
      </c>
    </row>
    <row r="658" spans="1:19" x14ac:dyDescent="0.2">
      <c r="A658" s="1"/>
      <c r="B658" s="13">
        <v>44761</v>
      </c>
      <c r="C658" s="14">
        <v>209.4</v>
      </c>
      <c r="D658" s="15">
        <v>274626</v>
      </c>
      <c r="E658" s="14">
        <v>202.37</v>
      </c>
      <c r="F658" s="14">
        <v>210.46</v>
      </c>
      <c r="G658" s="16">
        <v>196.09</v>
      </c>
      <c r="H658" s="69">
        <f t="shared" si="25"/>
        <v>5.3531897766150305E-2</v>
      </c>
      <c r="M658" s="225"/>
      <c r="N658" s="1319"/>
      <c r="O658" s="1319"/>
      <c r="P658" s="1319"/>
      <c r="Q658" s="35">
        <v>43276</v>
      </c>
      <c r="R658" s="36">
        <v>2.87E-2</v>
      </c>
      <c r="S658" s="37">
        <v>2.75E-2</v>
      </c>
    </row>
    <row r="659" spans="1:19" x14ac:dyDescent="0.2">
      <c r="A659" s="1"/>
      <c r="B659" s="13">
        <v>44760</v>
      </c>
      <c r="C659" s="14">
        <v>198.76</v>
      </c>
      <c r="D659" s="15">
        <v>335352</v>
      </c>
      <c r="E659" s="14">
        <v>199.13</v>
      </c>
      <c r="F659" s="14">
        <v>204.51</v>
      </c>
      <c r="G659" s="16">
        <v>197.77</v>
      </c>
      <c r="H659" s="69">
        <f t="shared" si="25"/>
        <v>1.5791894516277383E-2</v>
      </c>
      <c r="M659" s="225"/>
      <c r="N659" s="1319"/>
      <c r="O659" s="1319"/>
      <c r="P659" s="1319"/>
      <c r="Q659" s="35">
        <v>43277</v>
      </c>
      <c r="R659" s="36">
        <v>2.8799999999999999E-2</v>
      </c>
      <c r="S659" s="37">
        <v>2.75E-2</v>
      </c>
    </row>
    <row r="660" spans="1:19" x14ac:dyDescent="0.2">
      <c r="A660" s="1"/>
      <c r="B660" s="13">
        <v>44757</v>
      </c>
      <c r="C660" s="14">
        <v>195.67</v>
      </c>
      <c r="D660" s="15">
        <v>364539</v>
      </c>
      <c r="E660" s="14">
        <v>198.47</v>
      </c>
      <c r="F660" s="14">
        <v>200.33</v>
      </c>
      <c r="G660" s="16">
        <v>192.18</v>
      </c>
      <c r="H660" s="69">
        <f t="shared" si="25"/>
        <v>5.0336432276951726E-3</v>
      </c>
      <c r="M660" s="225"/>
      <c r="N660" s="1319"/>
      <c r="O660" s="1319"/>
      <c r="P660" s="1319"/>
      <c r="Q660" s="35">
        <v>43278</v>
      </c>
      <c r="R660" s="36">
        <v>2.8300000000000002E-2</v>
      </c>
      <c r="S660" s="37">
        <v>2.7099999999999999E-2</v>
      </c>
    </row>
    <row r="661" spans="1:19" x14ac:dyDescent="0.2">
      <c r="A661" s="1"/>
      <c r="B661" s="13">
        <v>44756</v>
      </c>
      <c r="C661" s="14">
        <v>194.69</v>
      </c>
      <c r="D661" s="15">
        <v>447826</v>
      </c>
      <c r="E661" s="14">
        <v>191.23</v>
      </c>
      <c r="F661" s="14">
        <v>195.14</v>
      </c>
      <c r="G661" s="16">
        <v>184.65</v>
      </c>
      <c r="H661" s="69">
        <f t="shared" si="25"/>
        <v>9.0178802798652757E-3</v>
      </c>
      <c r="M661" s="225"/>
      <c r="N661" s="1319"/>
      <c r="O661" s="1319"/>
      <c r="P661" s="1319"/>
      <c r="Q661" s="35">
        <v>43279</v>
      </c>
      <c r="R661" s="36">
        <v>2.8399999999999998E-2</v>
      </c>
      <c r="S661" s="37">
        <v>2.7300000000000001E-2</v>
      </c>
    </row>
    <row r="662" spans="1:19" x14ac:dyDescent="0.2">
      <c r="A662" s="1"/>
      <c r="B662" s="13">
        <v>44755</v>
      </c>
      <c r="C662" s="14">
        <v>192.95</v>
      </c>
      <c r="D662" s="15">
        <v>511917</v>
      </c>
      <c r="E662" s="14">
        <v>202.32</v>
      </c>
      <c r="F662" s="14">
        <v>202.32</v>
      </c>
      <c r="G662" s="16">
        <v>190.55</v>
      </c>
      <c r="H662" s="69">
        <f t="shared" si="25"/>
        <v>-6.7739285886843525E-2</v>
      </c>
      <c r="M662" s="225"/>
      <c r="N662" s="1319"/>
      <c r="O662" s="1319"/>
      <c r="P662" s="1319"/>
      <c r="Q662" s="35">
        <v>43280</v>
      </c>
      <c r="R662" s="36">
        <v>2.8500000000000001E-2</v>
      </c>
      <c r="S662" s="37">
        <v>2.7300000000000001E-2</v>
      </c>
    </row>
    <row r="663" spans="1:19" x14ac:dyDescent="0.2">
      <c r="A663" s="1"/>
      <c r="B663" s="13">
        <v>44754</v>
      </c>
      <c r="C663" s="14">
        <v>206.97</v>
      </c>
      <c r="D663" s="15">
        <v>596172</v>
      </c>
      <c r="E663" s="14">
        <v>203.54</v>
      </c>
      <c r="F663" s="14">
        <v>212.37</v>
      </c>
      <c r="G663" s="16">
        <v>203.31</v>
      </c>
      <c r="H663" s="69">
        <f t="shared" si="25"/>
        <v>1.0891862850444411E-2</v>
      </c>
      <c r="M663" s="225"/>
      <c r="N663" s="1319"/>
      <c r="O663" s="1319"/>
      <c r="P663" s="1319"/>
      <c r="Q663" s="35">
        <v>43283</v>
      </c>
      <c r="R663" s="36">
        <v>2.87E-2</v>
      </c>
      <c r="S663" s="37">
        <v>2.75E-2</v>
      </c>
    </row>
    <row r="664" spans="1:19" x14ac:dyDescent="0.2">
      <c r="A664" s="1"/>
      <c r="B664" s="13">
        <v>44753</v>
      </c>
      <c r="C664" s="14">
        <v>204.74</v>
      </c>
      <c r="D664" s="15">
        <v>320352</v>
      </c>
      <c r="E664" s="14">
        <v>201.94</v>
      </c>
      <c r="F664" s="14">
        <v>206.26</v>
      </c>
      <c r="G664" s="16">
        <v>201.94</v>
      </c>
      <c r="H664" s="69">
        <f t="shared" si="25"/>
        <v>-1.1708459361887691E-3</v>
      </c>
      <c r="M664" s="225"/>
      <c r="N664" s="1319"/>
      <c r="O664" s="1319"/>
      <c r="P664" s="1319"/>
      <c r="Q664" s="35">
        <v>43284</v>
      </c>
      <c r="R664" s="36">
        <v>2.8300000000000002E-2</v>
      </c>
      <c r="S664" s="37">
        <v>2.7200000000000002E-2</v>
      </c>
    </row>
    <row r="665" spans="1:19" x14ac:dyDescent="0.2">
      <c r="A665" s="1"/>
      <c r="B665" s="13">
        <v>44750</v>
      </c>
      <c r="C665" s="14">
        <v>204.98</v>
      </c>
      <c r="D665" s="15">
        <v>449714</v>
      </c>
      <c r="E665" s="14">
        <v>199.61</v>
      </c>
      <c r="F665" s="14">
        <v>206.05</v>
      </c>
      <c r="G665" s="16">
        <v>196.8</v>
      </c>
      <c r="H665" s="69">
        <f t="shared" si="25"/>
        <v>1.1647418813542476E-2</v>
      </c>
      <c r="M665" s="225"/>
      <c r="N665" s="1319"/>
      <c r="O665" s="1319"/>
      <c r="P665" s="1319"/>
      <c r="Q665" s="35">
        <v>43286</v>
      </c>
      <c r="R665" s="36">
        <v>2.8399999999999998E-2</v>
      </c>
      <c r="S665" s="37">
        <v>2.7400000000000001E-2</v>
      </c>
    </row>
    <row r="666" spans="1:19" x14ac:dyDescent="0.2">
      <c r="A666" s="1"/>
      <c r="B666" s="13">
        <v>44749</v>
      </c>
      <c r="C666" s="14">
        <v>202.62</v>
      </c>
      <c r="D666" s="15">
        <v>362293</v>
      </c>
      <c r="E666" s="14">
        <v>197.7</v>
      </c>
      <c r="F666" s="14">
        <v>204.8</v>
      </c>
      <c r="G666" s="16">
        <v>196.6344</v>
      </c>
      <c r="H666" s="69">
        <f t="shared" si="25"/>
        <v>3.8491107580339357E-2</v>
      </c>
      <c r="M666" s="225"/>
      <c r="N666" s="1319"/>
      <c r="O666" s="1319"/>
      <c r="P666" s="1319"/>
      <c r="Q666" s="35">
        <v>43287</v>
      </c>
      <c r="R666" s="36">
        <v>2.8199999999999999E-2</v>
      </c>
      <c r="S666" s="37">
        <v>2.7099999999999999E-2</v>
      </c>
    </row>
    <row r="667" spans="1:19" x14ac:dyDescent="0.2">
      <c r="A667" s="1"/>
      <c r="B667" s="13">
        <v>44748</v>
      </c>
      <c r="C667" s="14">
        <v>195.11</v>
      </c>
      <c r="D667" s="15">
        <v>474754</v>
      </c>
      <c r="E667" s="14">
        <v>192.65</v>
      </c>
      <c r="F667" s="14">
        <v>197.46</v>
      </c>
      <c r="G667" s="16">
        <v>187.01499999999999</v>
      </c>
      <c r="H667" s="69">
        <f t="shared" si="25"/>
        <v>1.9170497283744314E-2</v>
      </c>
      <c r="M667" s="225"/>
      <c r="N667" s="1319"/>
      <c r="O667" s="1319"/>
      <c r="P667" s="1319"/>
      <c r="Q667" s="35">
        <v>43290</v>
      </c>
      <c r="R667" s="36">
        <v>2.86E-2</v>
      </c>
      <c r="S667" s="37">
        <v>2.75E-2</v>
      </c>
    </row>
    <row r="668" spans="1:19" x14ac:dyDescent="0.2">
      <c r="A668" s="1"/>
      <c r="B668" s="13">
        <v>44747</v>
      </c>
      <c r="C668" s="14">
        <v>191.44</v>
      </c>
      <c r="D668" s="15">
        <v>304375</v>
      </c>
      <c r="E668" s="14">
        <v>181.3</v>
      </c>
      <c r="F668" s="14">
        <v>191.86</v>
      </c>
      <c r="G668" s="16">
        <v>179.12</v>
      </c>
      <c r="H668" s="69">
        <f t="shared" si="25"/>
        <v>2.4674838088101447E-2</v>
      </c>
      <c r="M668" s="225"/>
      <c r="N668" s="1319"/>
      <c r="O668" s="1319"/>
      <c r="P668" s="1319"/>
      <c r="Q668" s="35">
        <v>43291</v>
      </c>
      <c r="R668" s="36">
        <v>2.87E-2</v>
      </c>
      <c r="S668" s="37">
        <v>2.7699999999999999E-2</v>
      </c>
    </row>
    <row r="669" spans="1:19" x14ac:dyDescent="0.2">
      <c r="A669" s="1"/>
      <c r="B669" s="13">
        <v>44743</v>
      </c>
      <c r="C669" s="14">
        <v>186.83</v>
      </c>
      <c r="D669" s="15">
        <v>227074</v>
      </c>
      <c r="E669" s="14">
        <v>185.81</v>
      </c>
      <c r="F669" s="14">
        <v>190.58500000000001</v>
      </c>
      <c r="G669" s="16">
        <v>182.76499999999999</v>
      </c>
      <c r="H669" s="69">
        <f t="shared" si="25"/>
        <v>-6.2234042553190871E-3</v>
      </c>
      <c r="M669" s="225"/>
      <c r="N669" s="1319"/>
      <c r="O669" s="1319"/>
      <c r="P669" s="1319"/>
      <c r="Q669" s="35">
        <v>43292</v>
      </c>
      <c r="R669" s="36">
        <v>2.8500000000000001E-2</v>
      </c>
      <c r="S669" s="37">
        <v>2.7400000000000001E-2</v>
      </c>
    </row>
    <row r="670" spans="1:19" x14ac:dyDescent="0.2">
      <c r="A670" s="1"/>
      <c r="B670" s="13">
        <v>44742</v>
      </c>
      <c r="C670" s="14">
        <v>188</v>
      </c>
      <c r="D670" s="15">
        <v>470132</v>
      </c>
      <c r="E670" s="14">
        <v>181.42</v>
      </c>
      <c r="F670" s="14">
        <v>192.5</v>
      </c>
      <c r="G670" s="16">
        <v>179.255</v>
      </c>
      <c r="H670" s="69">
        <f t="shared" si="25"/>
        <v>2.3129251700680253E-2</v>
      </c>
      <c r="M670" s="225"/>
      <c r="N670" s="1319"/>
      <c r="O670" s="1319"/>
      <c r="P670" s="1319"/>
      <c r="Q670" s="35">
        <v>43293</v>
      </c>
      <c r="R670" s="36">
        <v>2.8500000000000001E-2</v>
      </c>
      <c r="S670" s="37">
        <v>2.75E-2</v>
      </c>
    </row>
    <row r="671" spans="1:19" x14ac:dyDescent="0.2">
      <c r="A671" s="1"/>
      <c r="B671" s="13">
        <v>44741</v>
      </c>
      <c r="C671" s="14">
        <v>183.75</v>
      </c>
      <c r="D671" s="15">
        <v>309621</v>
      </c>
      <c r="E671" s="14">
        <v>180.89</v>
      </c>
      <c r="F671" s="14">
        <v>183.78</v>
      </c>
      <c r="G671" s="16">
        <v>175.48</v>
      </c>
      <c r="H671" s="69">
        <f t="shared" si="25"/>
        <v>1.6372586979368275E-2</v>
      </c>
      <c r="M671" s="225"/>
      <c r="N671" s="1319"/>
      <c r="O671" s="1319"/>
      <c r="P671" s="1319"/>
      <c r="Q671" s="35">
        <v>43294</v>
      </c>
      <c r="R671" s="36">
        <v>2.8300000000000002E-2</v>
      </c>
      <c r="S671" s="37">
        <v>2.7300000000000001E-2</v>
      </c>
    </row>
    <row r="672" spans="1:19" x14ac:dyDescent="0.2">
      <c r="A672" s="1"/>
      <c r="B672" s="13">
        <v>44740</v>
      </c>
      <c r="C672" s="14">
        <v>180.79</v>
      </c>
      <c r="D672" s="15">
        <v>450584</v>
      </c>
      <c r="E672" s="14">
        <v>194.17</v>
      </c>
      <c r="F672" s="14">
        <v>197.42</v>
      </c>
      <c r="G672" s="16">
        <v>180.52</v>
      </c>
      <c r="H672" s="69">
        <f t="shared" si="25"/>
        <v>-5.3108469072435049E-2</v>
      </c>
      <c r="M672" s="225"/>
      <c r="N672" s="1319"/>
      <c r="O672" s="1319"/>
      <c r="P672" s="1319"/>
      <c r="Q672" s="35">
        <v>43297</v>
      </c>
      <c r="R672" s="36">
        <v>2.8500000000000001E-2</v>
      </c>
      <c r="S672" s="37">
        <v>2.75E-2</v>
      </c>
    </row>
    <row r="673" spans="1:19" x14ac:dyDescent="0.2">
      <c r="A673" s="1"/>
      <c r="B673" s="13">
        <v>44739</v>
      </c>
      <c r="C673" s="14">
        <v>190.93</v>
      </c>
      <c r="D673" s="15">
        <v>434563</v>
      </c>
      <c r="E673" s="14">
        <v>193.76</v>
      </c>
      <c r="F673" s="14">
        <v>198.15</v>
      </c>
      <c r="G673" s="16">
        <v>190.46</v>
      </c>
      <c r="H673" s="69">
        <f t="shared" si="25"/>
        <v>1.2585872358277239E-3</v>
      </c>
      <c r="M673" s="225"/>
      <c r="N673" s="1319"/>
      <c r="O673" s="1319"/>
      <c r="P673" s="1319"/>
      <c r="Q673" s="35">
        <v>43298</v>
      </c>
      <c r="R673" s="36">
        <v>2.86E-2</v>
      </c>
      <c r="S673" s="37">
        <v>2.76E-2</v>
      </c>
    </row>
    <row r="674" spans="1:19" x14ac:dyDescent="0.2">
      <c r="A674" s="1"/>
      <c r="B674" s="13">
        <v>44736</v>
      </c>
      <c r="C674" s="14">
        <v>190.69</v>
      </c>
      <c r="D674" s="15">
        <v>662299</v>
      </c>
      <c r="E674" s="14">
        <v>185</v>
      </c>
      <c r="F674" s="14">
        <v>197.57</v>
      </c>
      <c r="G674" s="16">
        <v>185</v>
      </c>
      <c r="H674" s="69">
        <f t="shared" si="25"/>
        <v>5.0228561987112341E-2</v>
      </c>
      <c r="M674" s="225"/>
      <c r="N674" s="1319"/>
      <c r="O674" s="1319"/>
      <c r="P674" s="1319"/>
      <c r="Q674" s="35">
        <v>43299</v>
      </c>
      <c r="R674" s="36">
        <v>2.8799999999999999E-2</v>
      </c>
      <c r="S674" s="37">
        <v>2.7699999999999999E-2</v>
      </c>
    </row>
    <row r="675" spans="1:19" x14ac:dyDescent="0.2">
      <c r="A675" s="1"/>
      <c r="B675" s="13">
        <v>44735</v>
      </c>
      <c r="C675" s="14">
        <v>181.57</v>
      </c>
      <c r="D675" s="15">
        <v>465772</v>
      </c>
      <c r="E675" s="14">
        <v>170.63</v>
      </c>
      <c r="F675" s="14">
        <v>181.59</v>
      </c>
      <c r="G675" s="16">
        <v>168.94</v>
      </c>
      <c r="H675" s="69">
        <f t="shared" si="25"/>
        <v>6.330522370578584E-2</v>
      </c>
      <c r="M675" s="225"/>
      <c r="N675" s="1319"/>
      <c r="O675" s="1319"/>
      <c r="P675" s="1319"/>
      <c r="Q675" s="35">
        <v>43300</v>
      </c>
      <c r="R675" s="36">
        <v>2.8399999999999998E-2</v>
      </c>
      <c r="S675" s="37">
        <v>2.7400000000000001E-2</v>
      </c>
    </row>
    <row r="676" spans="1:19" x14ac:dyDescent="0.2">
      <c r="A676" s="1"/>
      <c r="B676" s="13">
        <v>44734</v>
      </c>
      <c r="C676" s="14">
        <v>170.76</v>
      </c>
      <c r="D676" s="15">
        <v>248922</v>
      </c>
      <c r="E676" s="14">
        <v>168.03</v>
      </c>
      <c r="F676" s="14">
        <v>174.99</v>
      </c>
      <c r="G676" s="16">
        <v>168.03</v>
      </c>
      <c r="H676" s="69">
        <f t="shared" si="25"/>
        <v>-2.2329096530401937E-2</v>
      </c>
      <c r="M676" s="225"/>
      <c r="N676" s="1319"/>
      <c r="O676" s="1319"/>
      <c r="P676" s="1319"/>
      <c r="Q676" s="35">
        <v>43301</v>
      </c>
      <c r="R676" s="36">
        <v>2.8900000000000002E-2</v>
      </c>
      <c r="S676" s="37">
        <v>2.7699999999999999E-2</v>
      </c>
    </row>
    <row r="677" spans="1:19" x14ac:dyDescent="0.2">
      <c r="A677" s="1"/>
      <c r="B677" s="13">
        <v>44733</v>
      </c>
      <c r="C677" s="14">
        <v>174.66</v>
      </c>
      <c r="D677" s="15">
        <v>427814</v>
      </c>
      <c r="E677" s="14">
        <v>176.56</v>
      </c>
      <c r="F677" s="14">
        <v>179.15</v>
      </c>
      <c r="G677" s="16">
        <v>173.18</v>
      </c>
      <c r="H677" s="69">
        <f t="shared" si="25"/>
        <v>1.6292330967066171E-2</v>
      </c>
      <c r="M677" s="225"/>
      <c r="N677" s="1319"/>
      <c r="O677" s="1319"/>
      <c r="P677" s="1319"/>
      <c r="Q677" s="35">
        <v>43304</v>
      </c>
      <c r="R677" s="36">
        <v>2.9600000000000001E-2</v>
      </c>
      <c r="S677" s="37">
        <v>2.8300000000000002E-2</v>
      </c>
    </row>
    <row r="678" spans="1:19" x14ac:dyDescent="0.2">
      <c r="A678" s="1"/>
      <c r="B678" s="13">
        <v>44729</v>
      </c>
      <c r="C678" s="14">
        <v>171.86</v>
      </c>
      <c r="D678" s="15">
        <v>684598</v>
      </c>
      <c r="E678" s="14">
        <v>179.95</v>
      </c>
      <c r="F678" s="14">
        <v>179.95</v>
      </c>
      <c r="G678" s="16">
        <v>170.18</v>
      </c>
      <c r="H678" s="69">
        <f t="shared" si="25"/>
        <v>-2.0238298842711222E-2</v>
      </c>
      <c r="M678" s="225"/>
      <c r="N678" s="1319"/>
      <c r="O678" s="1319"/>
      <c r="P678" s="1319"/>
      <c r="Q678" s="35">
        <v>43305</v>
      </c>
      <c r="R678" s="36">
        <v>2.9500000000000002E-2</v>
      </c>
      <c r="S678" s="37">
        <v>2.8300000000000002E-2</v>
      </c>
    </row>
    <row r="679" spans="1:19" x14ac:dyDescent="0.2">
      <c r="A679" s="1"/>
      <c r="B679" s="13">
        <v>44728</v>
      </c>
      <c r="C679" s="14">
        <v>175.41</v>
      </c>
      <c r="D679" s="15">
        <v>429091</v>
      </c>
      <c r="E679" s="14">
        <v>179.61</v>
      </c>
      <c r="F679" s="14">
        <v>180.23</v>
      </c>
      <c r="G679" s="16">
        <v>174.095</v>
      </c>
      <c r="H679" s="69">
        <f t="shared" si="25"/>
        <v>-5.4953935671569476E-2</v>
      </c>
      <c r="M679" s="225"/>
      <c r="N679" s="1319"/>
      <c r="O679" s="1319"/>
      <c r="P679" s="1319"/>
      <c r="Q679" s="35">
        <v>43306</v>
      </c>
      <c r="R679" s="36">
        <v>2.9399999999999999E-2</v>
      </c>
      <c r="S679" s="37">
        <v>2.8199999999999999E-2</v>
      </c>
    </row>
    <row r="680" spans="1:19" x14ac:dyDescent="0.2">
      <c r="A680" s="1"/>
      <c r="B680" s="13">
        <v>44727</v>
      </c>
      <c r="C680" s="14">
        <v>185.61</v>
      </c>
      <c r="D680" s="15">
        <v>499537</v>
      </c>
      <c r="E680" s="14">
        <v>184.33</v>
      </c>
      <c r="F680" s="14">
        <v>188.89</v>
      </c>
      <c r="G680" s="16">
        <v>180.17</v>
      </c>
      <c r="H680" s="69">
        <f t="shared" ref="H680:H743" si="26">C680/C681-1</f>
        <v>1.9611074489123359E-2</v>
      </c>
      <c r="M680" s="225"/>
      <c r="N680" s="1319"/>
      <c r="O680" s="1319"/>
      <c r="P680" s="1319"/>
      <c r="Q680" s="35">
        <v>43307</v>
      </c>
      <c r="R680" s="36">
        <v>2.98E-2</v>
      </c>
      <c r="S680" s="37">
        <v>2.86E-2</v>
      </c>
    </row>
    <row r="681" spans="1:19" x14ac:dyDescent="0.2">
      <c r="A681" s="1"/>
      <c r="B681" s="13">
        <v>44726</v>
      </c>
      <c r="C681" s="14">
        <v>182.04</v>
      </c>
      <c r="D681" s="15">
        <v>598516</v>
      </c>
      <c r="E681" s="14">
        <v>185.98</v>
      </c>
      <c r="F681" s="14">
        <v>186.82</v>
      </c>
      <c r="G681" s="16">
        <v>177.78</v>
      </c>
      <c r="H681" s="69">
        <f t="shared" si="26"/>
        <v>4.0816326530610514E-3</v>
      </c>
      <c r="M681" s="225"/>
      <c r="N681" s="1319"/>
      <c r="O681" s="1319"/>
      <c r="P681" s="1319"/>
      <c r="Q681" s="35">
        <v>43308</v>
      </c>
      <c r="R681" s="36">
        <v>2.9600000000000001E-2</v>
      </c>
      <c r="S681" s="37">
        <v>2.8399999999999998E-2</v>
      </c>
    </row>
    <row r="682" spans="1:19" x14ac:dyDescent="0.2">
      <c r="A682" s="1"/>
      <c r="B682" s="13">
        <v>44725</v>
      </c>
      <c r="C682" s="14">
        <v>181.3</v>
      </c>
      <c r="D682" s="15">
        <v>485165</v>
      </c>
      <c r="E682" s="14">
        <v>183.9</v>
      </c>
      <c r="F682" s="14">
        <v>186.9075</v>
      </c>
      <c r="G682" s="16">
        <v>177.69</v>
      </c>
      <c r="H682" s="69">
        <f t="shared" si="26"/>
        <v>-5.1976573938506521E-2</v>
      </c>
      <c r="M682" s="225"/>
      <c r="N682" s="1319"/>
      <c r="O682" s="1319"/>
      <c r="P682" s="1319"/>
      <c r="Q682" s="35">
        <v>43311</v>
      </c>
      <c r="R682" s="36">
        <v>2.98E-2</v>
      </c>
      <c r="S682" s="37">
        <v>2.8500000000000001E-2</v>
      </c>
    </row>
    <row r="683" spans="1:19" x14ac:dyDescent="0.2">
      <c r="A683" s="1"/>
      <c r="B683" s="13">
        <v>44722</v>
      </c>
      <c r="C683" s="14">
        <v>191.24</v>
      </c>
      <c r="D683" s="15">
        <v>501432</v>
      </c>
      <c r="E683" s="14">
        <v>196.89</v>
      </c>
      <c r="F683" s="14">
        <v>201.92</v>
      </c>
      <c r="G683" s="16">
        <v>186.94</v>
      </c>
      <c r="H683" s="69">
        <f t="shared" si="26"/>
        <v>-5.8626630568545446E-2</v>
      </c>
      <c r="M683" s="225"/>
      <c r="N683" s="1319"/>
      <c r="O683" s="1319"/>
      <c r="P683" s="1319"/>
      <c r="Q683" s="35">
        <v>43312</v>
      </c>
      <c r="R683" s="36">
        <v>2.9600000000000001E-2</v>
      </c>
      <c r="S683" s="37">
        <v>2.8500000000000001E-2</v>
      </c>
    </row>
    <row r="684" spans="1:19" x14ac:dyDescent="0.2">
      <c r="A684" s="1"/>
      <c r="B684" s="13">
        <v>44721</v>
      </c>
      <c r="C684" s="14">
        <v>203.15</v>
      </c>
      <c r="D684" s="15">
        <v>448318</v>
      </c>
      <c r="E684" s="14">
        <v>204.71</v>
      </c>
      <c r="F684" s="14">
        <v>210.92</v>
      </c>
      <c r="G684" s="16">
        <v>202.55</v>
      </c>
      <c r="H684" s="69">
        <f t="shared" si="26"/>
        <v>-2.2000770267668002E-2</v>
      </c>
      <c r="M684" s="225"/>
      <c r="N684" s="1319"/>
      <c r="O684" s="1319"/>
      <c r="P684" s="1319"/>
      <c r="Q684" s="35">
        <v>43313</v>
      </c>
      <c r="R684" s="36">
        <v>0.03</v>
      </c>
      <c r="S684" s="37">
        <v>2.87E-2</v>
      </c>
    </row>
    <row r="685" spans="1:19" x14ac:dyDescent="0.2">
      <c r="A685" s="1"/>
      <c r="B685" s="13">
        <v>44720</v>
      </c>
      <c r="C685" s="14">
        <v>207.72</v>
      </c>
      <c r="D685" s="15">
        <v>785812</v>
      </c>
      <c r="E685" s="14">
        <v>217.96</v>
      </c>
      <c r="F685" s="14">
        <v>219.31</v>
      </c>
      <c r="G685" s="16">
        <v>205.64</v>
      </c>
      <c r="H685" s="69">
        <f t="shared" si="26"/>
        <v>-5.5861097222853484E-2</v>
      </c>
      <c r="M685" s="225"/>
      <c r="N685" s="1319"/>
      <c r="O685" s="1319"/>
      <c r="P685" s="1319"/>
      <c r="Q685" s="35">
        <v>43314</v>
      </c>
      <c r="R685" s="36">
        <v>2.98E-2</v>
      </c>
      <c r="S685" s="37">
        <v>2.8500000000000001E-2</v>
      </c>
    </row>
    <row r="686" spans="1:19" x14ac:dyDescent="0.2">
      <c r="A686" s="1"/>
      <c r="B686" s="13">
        <v>44719</v>
      </c>
      <c r="C686" s="14">
        <v>220.01</v>
      </c>
      <c r="D686" s="15">
        <v>578074</v>
      </c>
      <c r="E686" s="14">
        <v>215.62</v>
      </c>
      <c r="F686" s="14">
        <v>220.60499999999999</v>
      </c>
      <c r="G686" s="16">
        <v>210.69</v>
      </c>
      <c r="H686" s="69">
        <f t="shared" si="26"/>
        <v>-5.469668203598288E-3</v>
      </c>
      <c r="M686" s="225"/>
      <c r="N686" s="1319"/>
      <c r="O686" s="1319"/>
      <c r="P686" s="1319"/>
      <c r="Q686" s="35">
        <v>43315</v>
      </c>
      <c r="R686" s="36">
        <v>2.9500000000000002E-2</v>
      </c>
      <c r="S686" s="37">
        <v>2.8199999999999999E-2</v>
      </c>
    </row>
    <row r="687" spans="1:19" x14ac:dyDescent="0.2">
      <c r="A687" s="1"/>
      <c r="B687" s="13">
        <v>44718</v>
      </c>
      <c r="C687" s="14">
        <v>221.22</v>
      </c>
      <c r="D687" s="15">
        <v>480359</v>
      </c>
      <c r="E687" s="14">
        <v>211.66</v>
      </c>
      <c r="F687" s="14">
        <v>221.51</v>
      </c>
      <c r="G687" s="16">
        <v>210.96</v>
      </c>
      <c r="H687" s="69">
        <f t="shared" si="26"/>
        <v>5.0826524795743788E-2</v>
      </c>
      <c r="M687" s="225"/>
      <c r="N687" s="1319"/>
      <c r="O687" s="1319"/>
      <c r="P687" s="1319"/>
      <c r="Q687" s="35">
        <v>43318</v>
      </c>
      <c r="R687" s="36">
        <v>2.9399999999999999E-2</v>
      </c>
      <c r="S687" s="37">
        <v>2.7999999999999997E-2</v>
      </c>
    </row>
    <row r="688" spans="1:19" x14ac:dyDescent="0.2">
      <c r="A688" s="1"/>
      <c r="B688" s="13">
        <v>44715</v>
      </c>
      <c r="C688" s="14">
        <v>210.52</v>
      </c>
      <c r="D688" s="15">
        <v>449459</v>
      </c>
      <c r="E688" s="14">
        <v>203.46</v>
      </c>
      <c r="F688" s="14">
        <v>213.625</v>
      </c>
      <c r="G688" s="16">
        <v>201.5</v>
      </c>
      <c r="H688" s="69">
        <f t="shared" si="26"/>
        <v>1.5141286527148301E-2</v>
      </c>
      <c r="M688" s="225"/>
      <c r="N688" s="1319"/>
      <c r="O688" s="1319"/>
      <c r="P688" s="1319"/>
      <c r="Q688" s="35">
        <v>43319</v>
      </c>
      <c r="R688" s="36">
        <v>2.98E-2</v>
      </c>
      <c r="S688" s="37">
        <v>2.8399999999999998E-2</v>
      </c>
    </row>
    <row r="689" spans="1:19" x14ac:dyDescent="0.2">
      <c r="A689" s="1"/>
      <c r="B689" s="13">
        <v>44714</v>
      </c>
      <c r="C689" s="14">
        <v>207.38</v>
      </c>
      <c r="D689" s="15">
        <v>356327</v>
      </c>
      <c r="E689" s="14">
        <v>196.44</v>
      </c>
      <c r="F689" s="14">
        <v>207.88</v>
      </c>
      <c r="G689" s="16">
        <v>196.44</v>
      </c>
      <c r="H689" s="69">
        <f t="shared" si="26"/>
        <v>5.8601327207759013E-2</v>
      </c>
      <c r="M689" s="225"/>
      <c r="N689" s="1319"/>
      <c r="O689" s="1319"/>
      <c r="P689" s="1319"/>
      <c r="Q689" s="35">
        <v>43320</v>
      </c>
      <c r="R689" s="36">
        <v>2.9600000000000001E-2</v>
      </c>
      <c r="S689" s="37">
        <v>2.8300000000000002E-2</v>
      </c>
    </row>
    <row r="690" spans="1:19" x14ac:dyDescent="0.2">
      <c r="A690" s="1"/>
      <c r="B690" s="13">
        <v>44713</v>
      </c>
      <c r="C690" s="14">
        <v>195.9</v>
      </c>
      <c r="D690" s="15">
        <v>357023</v>
      </c>
      <c r="E690" s="14">
        <v>200.6</v>
      </c>
      <c r="F690" s="14">
        <v>203.87</v>
      </c>
      <c r="G690" s="16">
        <v>195.66</v>
      </c>
      <c r="H690" s="69">
        <f t="shared" si="26"/>
        <v>-8.5530644263374089E-3</v>
      </c>
      <c r="M690" s="225"/>
      <c r="N690" s="1319"/>
      <c r="O690" s="1319"/>
      <c r="P690" s="1319"/>
      <c r="Q690" s="35">
        <v>43321</v>
      </c>
      <c r="R690" s="36">
        <v>2.9300000000000003E-2</v>
      </c>
      <c r="S690" s="37">
        <v>2.7999999999999997E-2</v>
      </c>
    </row>
    <row r="691" spans="1:19" x14ac:dyDescent="0.2">
      <c r="A691" s="1"/>
      <c r="B691" s="13">
        <v>44712</v>
      </c>
      <c r="C691" s="14">
        <v>197.59</v>
      </c>
      <c r="D691" s="15">
        <v>555068</v>
      </c>
      <c r="E691" s="14">
        <v>200.16</v>
      </c>
      <c r="F691" s="14">
        <v>201.62</v>
      </c>
      <c r="G691" s="16">
        <v>192.64500000000001</v>
      </c>
      <c r="H691" s="69">
        <f t="shared" si="26"/>
        <v>-7.783468916340186E-3</v>
      </c>
      <c r="M691" s="225"/>
      <c r="N691" s="1319"/>
      <c r="O691" s="1319"/>
      <c r="P691" s="1319"/>
      <c r="Q691" s="35">
        <v>43322</v>
      </c>
      <c r="R691" s="36">
        <v>2.87E-2</v>
      </c>
      <c r="S691" s="37">
        <v>2.75E-2</v>
      </c>
    </row>
    <row r="692" spans="1:19" x14ac:dyDescent="0.2">
      <c r="A692" s="1"/>
      <c r="B692" s="13">
        <v>44708</v>
      </c>
      <c r="C692" s="14">
        <v>199.14</v>
      </c>
      <c r="D692" s="15">
        <v>338536</v>
      </c>
      <c r="E692" s="14">
        <v>198.49</v>
      </c>
      <c r="F692" s="14">
        <v>202.35</v>
      </c>
      <c r="G692" s="16">
        <v>197.77</v>
      </c>
      <c r="H692" s="69">
        <f t="shared" si="26"/>
        <v>1.4571020990421735E-2</v>
      </c>
      <c r="M692" s="225"/>
      <c r="N692" s="1319"/>
      <c r="O692" s="1319"/>
      <c r="P692" s="1319"/>
      <c r="Q692" s="35">
        <v>43325</v>
      </c>
      <c r="R692" s="36">
        <v>2.8799999999999999E-2</v>
      </c>
      <c r="S692" s="37">
        <v>2.75E-2</v>
      </c>
    </row>
    <row r="693" spans="1:19" x14ac:dyDescent="0.2">
      <c r="A693" s="1"/>
      <c r="B693" s="13">
        <v>44707</v>
      </c>
      <c r="C693" s="14">
        <v>196.28</v>
      </c>
      <c r="D693" s="15">
        <v>277776</v>
      </c>
      <c r="E693" s="14">
        <v>188.78</v>
      </c>
      <c r="F693" s="14">
        <v>198.53</v>
      </c>
      <c r="G693" s="16">
        <v>187.84</v>
      </c>
      <c r="H693" s="69">
        <f t="shared" si="26"/>
        <v>5.5268817204300991E-2</v>
      </c>
      <c r="M693" s="225"/>
      <c r="N693" s="1319"/>
      <c r="O693" s="1319"/>
      <c r="P693" s="1319"/>
      <c r="Q693" s="35">
        <v>43326</v>
      </c>
      <c r="R693" s="36">
        <v>2.8900000000000002E-2</v>
      </c>
      <c r="S693" s="37">
        <v>2.7699999999999999E-2</v>
      </c>
    </row>
    <row r="694" spans="1:19" x14ac:dyDescent="0.2">
      <c r="A694" s="1"/>
      <c r="B694" s="13">
        <v>44706</v>
      </c>
      <c r="C694" s="14">
        <v>186</v>
      </c>
      <c r="D694" s="15">
        <v>537646</v>
      </c>
      <c r="E694" s="14">
        <v>182.41</v>
      </c>
      <c r="F694" s="14">
        <v>188.70500000000001</v>
      </c>
      <c r="G694" s="16">
        <v>180.33</v>
      </c>
      <c r="H694" s="69">
        <f t="shared" si="26"/>
        <v>6.8748985005142593E-3</v>
      </c>
      <c r="M694" s="225"/>
      <c r="N694" s="1319"/>
      <c r="O694" s="1319"/>
      <c r="P694" s="1319"/>
      <c r="Q694" s="35">
        <v>43327</v>
      </c>
      <c r="R694" s="36">
        <v>2.86E-2</v>
      </c>
      <c r="S694" s="37">
        <v>2.7300000000000001E-2</v>
      </c>
    </row>
    <row r="695" spans="1:19" x14ac:dyDescent="0.2">
      <c r="A695" s="1"/>
      <c r="B695" s="13">
        <v>44705</v>
      </c>
      <c r="C695" s="14">
        <v>184.73</v>
      </c>
      <c r="D695" s="15">
        <v>384159</v>
      </c>
      <c r="E695" s="14">
        <v>186.31</v>
      </c>
      <c r="F695" s="14">
        <v>187.87</v>
      </c>
      <c r="G695" s="16">
        <v>180.44</v>
      </c>
      <c r="H695" s="69">
        <f t="shared" si="26"/>
        <v>-3.0594038623005915E-2</v>
      </c>
      <c r="M695" s="225"/>
      <c r="N695" s="1319"/>
      <c r="O695" s="1319"/>
      <c r="P695" s="1319"/>
      <c r="Q695" s="35">
        <v>43328</v>
      </c>
      <c r="R695" s="36">
        <v>2.87E-2</v>
      </c>
      <c r="S695" s="37">
        <v>2.75E-2</v>
      </c>
    </row>
    <row r="696" spans="1:19" x14ac:dyDescent="0.2">
      <c r="A696" s="1"/>
      <c r="B696" s="13">
        <v>44704</v>
      </c>
      <c r="C696" s="14">
        <v>190.56</v>
      </c>
      <c r="D696" s="15">
        <v>331338</v>
      </c>
      <c r="E696" s="14">
        <v>193.72</v>
      </c>
      <c r="F696" s="14">
        <v>196.78</v>
      </c>
      <c r="G696" s="16">
        <v>186.81</v>
      </c>
      <c r="H696" s="69">
        <f t="shared" si="26"/>
        <v>1.6049053585710515E-2</v>
      </c>
      <c r="M696" s="225"/>
      <c r="N696" s="1319"/>
      <c r="O696" s="1319"/>
      <c r="P696" s="1319"/>
      <c r="Q696" s="35">
        <v>43329</v>
      </c>
      <c r="R696" s="36">
        <v>2.87E-2</v>
      </c>
      <c r="S696" s="37">
        <v>2.75E-2</v>
      </c>
    </row>
    <row r="697" spans="1:19" x14ac:dyDescent="0.2">
      <c r="A697" s="1"/>
      <c r="B697" s="13">
        <v>44701</v>
      </c>
      <c r="C697" s="14">
        <v>187.55</v>
      </c>
      <c r="D697" s="15">
        <v>498901</v>
      </c>
      <c r="E697" s="14">
        <v>187.13</v>
      </c>
      <c r="F697" s="14">
        <v>188.89</v>
      </c>
      <c r="G697" s="16">
        <v>178.94</v>
      </c>
      <c r="H697" s="69">
        <f t="shared" si="26"/>
        <v>1.7137588806334536E-2</v>
      </c>
      <c r="M697" s="225"/>
      <c r="N697" s="1319"/>
      <c r="O697" s="1319"/>
      <c r="P697" s="1319"/>
      <c r="Q697" s="35">
        <v>43332</v>
      </c>
      <c r="R697" s="36">
        <v>2.8199999999999999E-2</v>
      </c>
      <c r="S697" s="37">
        <v>2.7000000000000003E-2</v>
      </c>
    </row>
    <row r="698" spans="1:19" x14ac:dyDescent="0.2">
      <c r="A698" s="1"/>
      <c r="B698" s="13">
        <v>44700</v>
      </c>
      <c r="C698" s="14">
        <v>184.39</v>
      </c>
      <c r="D698" s="15">
        <v>742576</v>
      </c>
      <c r="E698" s="14">
        <v>178.01</v>
      </c>
      <c r="F698" s="14">
        <v>186.34</v>
      </c>
      <c r="G698" s="16">
        <v>173.64</v>
      </c>
      <c r="H698" s="69">
        <f t="shared" si="26"/>
        <v>1.6763165150261772E-2</v>
      </c>
      <c r="M698" s="225"/>
      <c r="N698" s="1319"/>
      <c r="O698" s="1319"/>
      <c r="P698" s="1319"/>
      <c r="Q698" s="35">
        <v>43333</v>
      </c>
      <c r="R698" s="36">
        <v>2.8500000000000001E-2</v>
      </c>
      <c r="S698" s="37">
        <v>2.7300000000000001E-2</v>
      </c>
    </row>
    <row r="699" spans="1:19" x14ac:dyDescent="0.2">
      <c r="A699" s="1"/>
      <c r="B699" s="13">
        <v>44699</v>
      </c>
      <c r="C699" s="14">
        <v>181.35</v>
      </c>
      <c r="D699" s="15">
        <v>1174007</v>
      </c>
      <c r="E699" s="14">
        <v>201.73</v>
      </c>
      <c r="F699" s="14">
        <v>205.87</v>
      </c>
      <c r="G699" s="16">
        <v>175.14</v>
      </c>
      <c r="H699" s="69">
        <f t="shared" si="26"/>
        <v>-0.12577130736598541</v>
      </c>
      <c r="M699" s="225"/>
      <c r="N699" s="1319"/>
      <c r="O699" s="1319"/>
      <c r="P699" s="1319"/>
      <c r="Q699" s="35">
        <v>43334</v>
      </c>
      <c r="R699" s="36">
        <v>2.8199999999999999E-2</v>
      </c>
      <c r="S699" s="37">
        <v>2.7000000000000003E-2</v>
      </c>
    </row>
    <row r="700" spans="1:19" x14ac:dyDescent="0.2">
      <c r="A700" s="1"/>
      <c r="B700" s="13">
        <v>44698</v>
      </c>
      <c r="C700" s="14">
        <v>207.44</v>
      </c>
      <c r="D700" s="15">
        <v>309008</v>
      </c>
      <c r="E700" s="14">
        <v>206</v>
      </c>
      <c r="F700" s="14">
        <v>208.96</v>
      </c>
      <c r="G700" s="16">
        <v>198.93</v>
      </c>
      <c r="H700" s="69">
        <f t="shared" si="26"/>
        <v>3.9955883090188937E-2</v>
      </c>
      <c r="M700" s="225"/>
      <c r="N700" s="1319"/>
      <c r="O700" s="1319"/>
      <c r="P700" s="1319"/>
      <c r="Q700" s="35">
        <v>43335</v>
      </c>
      <c r="R700" s="36">
        <v>2.8199999999999999E-2</v>
      </c>
      <c r="S700" s="37">
        <v>2.7200000000000002E-2</v>
      </c>
    </row>
    <row r="701" spans="1:19" x14ac:dyDescent="0.2">
      <c r="A701" s="1"/>
      <c r="B701" s="13">
        <v>44697</v>
      </c>
      <c r="C701" s="14">
        <v>199.47</v>
      </c>
      <c r="D701" s="15">
        <v>394696</v>
      </c>
      <c r="E701" s="14">
        <v>213.07</v>
      </c>
      <c r="F701" s="14">
        <v>213.09</v>
      </c>
      <c r="G701" s="16">
        <v>198.05</v>
      </c>
      <c r="H701" s="69">
        <f t="shared" si="26"/>
        <v>-7.2448267844687386E-2</v>
      </c>
      <c r="M701" s="225"/>
      <c r="N701" s="1319"/>
      <c r="O701" s="1319"/>
      <c r="P701" s="1319"/>
      <c r="Q701" s="35">
        <v>43336</v>
      </c>
      <c r="R701" s="36">
        <v>2.8199999999999999E-2</v>
      </c>
      <c r="S701" s="37">
        <v>2.7200000000000002E-2</v>
      </c>
    </row>
    <row r="702" spans="1:19" x14ac:dyDescent="0.2">
      <c r="A702" s="1"/>
      <c r="B702" s="13">
        <v>44694</v>
      </c>
      <c r="C702" s="14">
        <v>215.05</v>
      </c>
      <c r="D702" s="15">
        <v>681092</v>
      </c>
      <c r="E702" s="14">
        <v>207.92</v>
      </c>
      <c r="F702" s="14">
        <v>218.6</v>
      </c>
      <c r="G702" s="16">
        <v>207.77</v>
      </c>
      <c r="H702" s="69">
        <f t="shared" si="26"/>
        <v>4.8001949317738823E-2</v>
      </c>
      <c r="M702" s="225"/>
      <c r="N702" s="1319"/>
      <c r="O702" s="1319"/>
      <c r="P702" s="1319"/>
      <c r="Q702" s="35">
        <v>43339</v>
      </c>
      <c r="R702" s="36">
        <v>2.8500000000000001E-2</v>
      </c>
      <c r="S702" s="37">
        <v>2.7400000000000001E-2</v>
      </c>
    </row>
    <row r="703" spans="1:19" x14ac:dyDescent="0.2">
      <c r="A703" s="1"/>
      <c r="B703" s="13">
        <v>44693</v>
      </c>
      <c r="C703" s="14">
        <v>205.2</v>
      </c>
      <c r="D703" s="15">
        <v>501335</v>
      </c>
      <c r="E703" s="14">
        <v>202.14</v>
      </c>
      <c r="F703" s="14">
        <v>208.7</v>
      </c>
      <c r="G703" s="16">
        <v>195.005</v>
      </c>
      <c r="H703" s="69">
        <f t="shared" si="26"/>
        <v>-6.8244518658342468E-3</v>
      </c>
      <c r="M703" s="225"/>
      <c r="N703" s="1319"/>
      <c r="O703" s="1319"/>
      <c r="P703" s="1319"/>
      <c r="Q703" s="35">
        <v>43340</v>
      </c>
      <c r="R703" s="36">
        <v>2.8799999999999999E-2</v>
      </c>
      <c r="S703" s="37">
        <v>2.7699999999999999E-2</v>
      </c>
    </row>
    <row r="704" spans="1:19" x14ac:dyDescent="0.2">
      <c r="A704" s="1"/>
      <c r="B704" s="13">
        <v>44692</v>
      </c>
      <c r="C704" s="14">
        <v>206.61</v>
      </c>
      <c r="D704" s="15">
        <v>455219</v>
      </c>
      <c r="E704" s="14">
        <v>211.44</v>
      </c>
      <c r="F704" s="14">
        <v>218.54</v>
      </c>
      <c r="G704" s="16">
        <v>204</v>
      </c>
      <c r="H704" s="69">
        <f t="shared" si="26"/>
        <v>-3.6738309478297371E-2</v>
      </c>
      <c r="M704" s="225"/>
      <c r="N704" s="1319"/>
      <c r="O704" s="1319"/>
      <c r="P704" s="1319"/>
      <c r="Q704" s="35">
        <v>43341</v>
      </c>
      <c r="R704" s="36">
        <v>2.8900000000000002E-2</v>
      </c>
      <c r="S704" s="37">
        <v>2.7799999999999998E-2</v>
      </c>
    </row>
    <row r="705" spans="1:19" x14ac:dyDescent="0.2">
      <c r="A705" s="1"/>
      <c r="B705" s="13">
        <v>44691</v>
      </c>
      <c r="C705" s="14">
        <v>214.49</v>
      </c>
      <c r="D705" s="15">
        <v>583744</v>
      </c>
      <c r="E705" s="14">
        <v>216.13</v>
      </c>
      <c r="F705" s="14">
        <v>221.55</v>
      </c>
      <c r="G705" s="16">
        <v>204.12</v>
      </c>
      <c r="H705" s="69">
        <f t="shared" si="26"/>
        <v>1.7601290445013795E-2</v>
      </c>
      <c r="M705" s="225"/>
      <c r="N705" s="1319"/>
      <c r="O705" s="1319"/>
      <c r="P705" s="1319"/>
      <c r="Q705" s="35">
        <v>43342</v>
      </c>
      <c r="R705" s="36">
        <v>2.86E-2</v>
      </c>
      <c r="S705" s="37">
        <v>2.75E-2</v>
      </c>
    </row>
    <row r="706" spans="1:19" x14ac:dyDescent="0.2">
      <c r="A706" s="1"/>
      <c r="B706" s="13">
        <v>44690</v>
      </c>
      <c r="C706" s="14">
        <v>210.78</v>
      </c>
      <c r="D706" s="15">
        <v>455165</v>
      </c>
      <c r="E706" s="14">
        <v>209.95</v>
      </c>
      <c r="F706" s="14">
        <v>216</v>
      </c>
      <c r="G706" s="16">
        <v>209.43</v>
      </c>
      <c r="H706" s="69">
        <f t="shared" si="26"/>
        <v>-2.8350159037477507E-2</v>
      </c>
      <c r="M706" s="225"/>
      <c r="N706" s="1319"/>
      <c r="O706" s="1319"/>
      <c r="P706" s="1319"/>
      <c r="Q706" s="35">
        <v>43343</v>
      </c>
      <c r="R706" s="36">
        <v>2.86E-2</v>
      </c>
      <c r="S706" s="37">
        <v>2.7400000000000001E-2</v>
      </c>
    </row>
    <row r="707" spans="1:19" x14ac:dyDescent="0.2">
      <c r="A707" s="1"/>
      <c r="B707" s="13">
        <v>44687</v>
      </c>
      <c r="C707" s="14">
        <v>216.93</v>
      </c>
      <c r="D707" s="15">
        <v>529730</v>
      </c>
      <c r="E707" s="14">
        <v>215.27</v>
      </c>
      <c r="F707" s="14">
        <v>224.91</v>
      </c>
      <c r="G707" s="16">
        <v>208.31</v>
      </c>
      <c r="H707" s="69">
        <f t="shared" si="26"/>
        <v>-5.8203483043078874E-3</v>
      </c>
      <c r="M707" s="225"/>
      <c r="N707" s="1319"/>
      <c r="O707" s="1319"/>
      <c r="P707" s="1319"/>
      <c r="Q707" s="35">
        <v>43347</v>
      </c>
      <c r="R707" s="36">
        <v>2.8999999999999998E-2</v>
      </c>
      <c r="S707" s="37">
        <v>2.7799999999999998E-2</v>
      </c>
    </row>
    <row r="708" spans="1:19" x14ac:dyDescent="0.2">
      <c r="A708" s="1"/>
      <c r="B708" s="13">
        <v>44686</v>
      </c>
      <c r="C708" s="14">
        <v>218.2</v>
      </c>
      <c r="D708" s="15">
        <v>388870</v>
      </c>
      <c r="E708" s="14">
        <v>220.17</v>
      </c>
      <c r="F708" s="14">
        <v>221.69450000000001</v>
      </c>
      <c r="G708" s="16">
        <v>211.91</v>
      </c>
      <c r="H708" s="69">
        <f t="shared" si="26"/>
        <v>-3.404311833193141E-2</v>
      </c>
      <c r="M708" s="225"/>
      <c r="N708" s="1319"/>
      <c r="O708" s="1319"/>
      <c r="P708" s="1319"/>
      <c r="Q708" s="35">
        <v>43348</v>
      </c>
      <c r="R708" s="36">
        <v>2.8999999999999998E-2</v>
      </c>
      <c r="S708" s="37">
        <v>2.7699999999999999E-2</v>
      </c>
    </row>
    <row r="709" spans="1:19" x14ac:dyDescent="0.2">
      <c r="A709" s="1"/>
      <c r="B709" s="13">
        <v>44685</v>
      </c>
      <c r="C709" s="14">
        <v>225.89</v>
      </c>
      <c r="D709" s="15">
        <v>637299</v>
      </c>
      <c r="E709" s="14">
        <v>209.25</v>
      </c>
      <c r="F709" s="14">
        <v>228.78</v>
      </c>
      <c r="G709" s="16">
        <v>209.2</v>
      </c>
      <c r="H709" s="69">
        <f t="shared" si="26"/>
        <v>7.1025555924327799E-2</v>
      </c>
      <c r="M709" s="225"/>
      <c r="N709" s="1319"/>
      <c r="O709" s="1319"/>
      <c r="P709" s="1319"/>
      <c r="Q709" s="35">
        <v>43349</v>
      </c>
      <c r="R709" s="36">
        <v>2.8799999999999999E-2</v>
      </c>
      <c r="S709" s="37">
        <v>2.76E-2</v>
      </c>
    </row>
    <row r="710" spans="1:19" x14ac:dyDescent="0.2">
      <c r="A710" s="1"/>
      <c r="B710" s="13">
        <v>44684</v>
      </c>
      <c r="C710" s="14">
        <v>210.91</v>
      </c>
      <c r="D710" s="15">
        <v>551407</v>
      </c>
      <c r="E710" s="14">
        <v>212.53</v>
      </c>
      <c r="F710" s="14">
        <v>212.53</v>
      </c>
      <c r="G710" s="16">
        <v>203.84</v>
      </c>
      <c r="H710" s="69">
        <f t="shared" si="26"/>
        <v>9.6701613289291721E-3</v>
      </c>
      <c r="M710" s="225"/>
      <c r="N710" s="1319"/>
      <c r="O710" s="1319"/>
      <c r="P710" s="1319"/>
      <c r="Q710" s="35">
        <v>43350</v>
      </c>
      <c r="R710" s="36">
        <v>2.9399999999999999E-2</v>
      </c>
      <c r="S710" s="37">
        <v>2.8199999999999999E-2</v>
      </c>
    </row>
    <row r="711" spans="1:19" x14ac:dyDescent="0.2">
      <c r="A711" s="1"/>
      <c r="B711" s="13">
        <v>44683</v>
      </c>
      <c r="C711" s="14">
        <v>208.89</v>
      </c>
      <c r="D711" s="15">
        <v>889045</v>
      </c>
      <c r="E711" s="14">
        <v>205.27</v>
      </c>
      <c r="F711" s="14">
        <v>214.77</v>
      </c>
      <c r="G711" s="16">
        <v>195.81</v>
      </c>
      <c r="H711" s="69">
        <f t="shared" si="26"/>
        <v>1.4226063313264703E-2</v>
      </c>
      <c r="M711" s="225"/>
      <c r="N711" s="1319"/>
      <c r="O711" s="1319"/>
      <c r="P711" s="1319"/>
      <c r="Q711" s="35">
        <v>43353</v>
      </c>
      <c r="R711" s="36">
        <v>2.9399999999999999E-2</v>
      </c>
      <c r="S711" s="37">
        <v>2.8300000000000002E-2</v>
      </c>
    </row>
    <row r="712" spans="1:19" x14ac:dyDescent="0.2">
      <c r="A712" s="1"/>
      <c r="B712" s="13">
        <v>44680</v>
      </c>
      <c r="C712" s="14">
        <v>205.96</v>
      </c>
      <c r="D712" s="15">
        <v>604927</v>
      </c>
      <c r="E712" s="14">
        <v>210.89</v>
      </c>
      <c r="F712" s="14">
        <v>217.98</v>
      </c>
      <c r="G712" s="16">
        <v>205.35</v>
      </c>
      <c r="H712" s="69">
        <f t="shared" si="26"/>
        <v>-3.1778864234674686E-2</v>
      </c>
      <c r="M712" s="225"/>
      <c r="N712" s="1319"/>
      <c r="O712" s="1319"/>
      <c r="P712" s="1319"/>
      <c r="Q712" s="35">
        <v>43354</v>
      </c>
      <c r="R712" s="36">
        <v>2.98E-2</v>
      </c>
      <c r="S712" s="37">
        <v>2.87E-2</v>
      </c>
    </row>
    <row r="713" spans="1:19" x14ac:dyDescent="0.2">
      <c r="A713" s="1"/>
      <c r="B713" s="13">
        <v>44679</v>
      </c>
      <c r="C713" s="14">
        <v>212.72</v>
      </c>
      <c r="D713" s="15">
        <v>604725</v>
      </c>
      <c r="E713" s="14">
        <v>201.94</v>
      </c>
      <c r="F713" s="14">
        <v>214.32</v>
      </c>
      <c r="G713" s="16">
        <v>196.55</v>
      </c>
      <c r="H713" s="69">
        <f t="shared" si="26"/>
        <v>8.1114047570644443E-2</v>
      </c>
      <c r="M713" s="225"/>
      <c r="N713" s="1319"/>
      <c r="O713" s="1319"/>
      <c r="P713" s="1319"/>
      <c r="Q713" s="35">
        <v>43355</v>
      </c>
      <c r="R713" s="36">
        <v>2.9700000000000001E-2</v>
      </c>
      <c r="S713" s="37">
        <v>2.87E-2</v>
      </c>
    </row>
    <row r="714" spans="1:19" x14ac:dyDescent="0.2">
      <c r="A714" s="1"/>
      <c r="B714" s="13">
        <v>44678</v>
      </c>
      <c r="C714" s="14">
        <v>196.76</v>
      </c>
      <c r="D714" s="15">
        <v>571963</v>
      </c>
      <c r="E714" s="14">
        <v>202.83</v>
      </c>
      <c r="F714" s="14">
        <v>208.16</v>
      </c>
      <c r="G714" s="16">
        <v>193.42500000000001</v>
      </c>
      <c r="H714" s="69">
        <f t="shared" si="26"/>
        <v>-3.8459658896545013E-2</v>
      </c>
      <c r="M714" s="225"/>
      <c r="N714" s="1319"/>
      <c r="O714" s="1319"/>
      <c r="P714" s="1319"/>
      <c r="Q714" s="35">
        <v>43356</v>
      </c>
      <c r="R714" s="36">
        <v>2.9700000000000001E-2</v>
      </c>
      <c r="S714" s="37">
        <v>2.87E-2</v>
      </c>
    </row>
    <row r="715" spans="1:19" x14ac:dyDescent="0.2">
      <c r="A715" s="1"/>
      <c r="B715" s="13">
        <v>44677</v>
      </c>
      <c r="C715" s="14">
        <v>204.63</v>
      </c>
      <c r="D715" s="15">
        <v>384858</v>
      </c>
      <c r="E715" s="14">
        <v>214.01</v>
      </c>
      <c r="F715" s="14">
        <v>217.42</v>
      </c>
      <c r="G715" s="16">
        <v>203.35499999999999</v>
      </c>
      <c r="H715" s="69">
        <f t="shared" si="26"/>
        <v>-4.8498093555286892E-2</v>
      </c>
      <c r="M715" s="225"/>
      <c r="N715" s="1319"/>
      <c r="O715" s="1319"/>
      <c r="P715" s="1319"/>
      <c r="Q715" s="35">
        <v>43357</v>
      </c>
      <c r="R715" s="36">
        <v>2.9900000000000003E-2</v>
      </c>
      <c r="S715" s="37">
        <v>2.8999999999999998E-2</v>
      </c>
    </row>
    <row r="716" spans="1:19" x14ac:dyDescent="0.2">
      <c r="A716" s="1"/>
      <c r="B716" s="13">
        <v>44676</v>
      </c>
      <c r="C716" s="14">
        <v>215.06</v>
      </c>
      <c r="D716" s="15">
        <v>429311</v>
      </c>
      <c r="E716" s="14">
        <v>203.41</v>
      </c>
      <c r="F716" s="14">
        <v>215.32</v>
      </c>
      <c r="G716" s="16">
        <v>203</v>
      </c>
      <c r="H716" s="69">
        <f t="shared" si="26"/>
        <v>3.8335264580919182E-2</v>
      </c>
      <c r="M716" s="225"/>
      <c r="N716" s="1319"/>
      <c r="O716" s="1319"/>
      <c r="P716" s="1319"/>
      <c r="Q716" s="35">
        <v>43360</v>
      </c>
      <c r="R716" s="36">
        <v>2.9900000000000003E-2</v>
      </c>
      <c r="S716" s="37">
        <v>2.8900000000000002E-2</v>
      </c>
    </row>
    <row r="717" spans="1:19" x14ac:dyDescent="0.2">
      <c r="A717" s="1"/>
      <c r="B717" s="13">
        <v>44673</v>
      </c>
      <c r="C717" s="14">
        <v>207.12</v>
      </c>
      <c r="D717" s="15">
        <v>353110</v>
      </c>
      <c r="E717" s="14">
        <v>210.51</v>
      </c>
      <c r="F717" s="14">
        <v>212.47</v>
      </c>
      <c r="G717" s="16">
        <v>205.34</v>
      </c>
      <c r="H717" s="69">
        <f t="shared" si="26"/>
        <v>-1.0510223581119749E-2</v>
      </c>
      <c r="M717" s="225"/>
      <c r="N717" s="1319"/>
      <c r="O717" s="1319"/>
      <c r="P717" s="1319"/>
      <c r="Q717" s="35">
        <v>43361</v>
      </c>
      <c r="R717" s="36">
        <v>3.0499999999999999E-2</v>
      </c>
      <c r="S717" s="37">
        <v>2.9399999999999999E-2</v>
      </c>
    </row>
    <row r="718" spans="1:19" x14ac:dyDescent="0.2">
      <c r="A718" s="1"/>
      <c r="B718" s="13">
        <v>44672</v>
      </c>
      <c r="C718" s="14">
        <v>209.32</v>
      </c>
      <c r="D718" s="15">
        <v>494740</v>
      </c>
      <c r="E718" s="14">
        <v>217.88</v>
      </c>
      <c r="F718" s="14">
        <v>220.58</v>
      </c>
      <c r="G718" s="16">
        <v>208.41499999999999</v>
      </c>
      <c r="H718" s="69">
        <f t="shared" si="26"/>
        <v>-1.4036740461610964E-2</v>
      </c>
      <c r="M718" s="225"/>
      <c r="N718" s="1319"/>
      <c r="O718" s="1319"/>
      <c r="P718" s="1319"/>
      <c r="Q718" s="35">
        <v>43362</v>
      </c>
      <c r="R718" s="36">
        <v>3.0800000000000001E-2</v>
      </c>
      <c r="S718" s="37">
        <v>2.9600000000000001E-2</v>
      </c>
    </row>
    <row r="719" spans="1:19" x14ac:dyDescent="0.2">
      <c r="A719" s="1"/>
      <c r="B719" s="13">
        <v>44671</v>
      </c>
      <c r="C719" s="14">
        <v>212.3</v>
      </c>
      <c r="D719" s="15">
        <v>590754</v>
      </c>
      <c r="E719" s="14">
        <v>207.95</v>
      </c>
      <c r="F719" s="14">
        <v>214.93</v>
      </c>
      <c r="G719" s="16">
        <v>207.64</v>
      </c>
      <c r="H719" s="69">
        <f t="shared" si="26"/>
        <v>2.5901227408910765E-2</v>
      </c>
      <c r="M719" s="225"/>
      <c r="N719" s="1319"/>
      <c r="O719" s="1319"/>
      <c r="P719" s="1319"/>
      <c r="Q719" s="35">
        <v>43363</v>
      </c>
      <c r="R719" s="36">
        <v>3.0699999999999998E-2</v>
      </c>
      <c r="S719" s="37">
        <v>2.9600000000000001E-2</v>
      </c>
    </row>
    <row r="720" spans="1:19" x14ac:dyDescent="0.2">
      <c r="A720" s="1"/>
      <c r="B720" s="13">
        <v>44670</v>
      </c>
      <c r="C720" s="14">
        <v>206.94</v>
      </c>
      <c r="D720" s="15">
        <v>485050</v>
      </c>
      <c r="E720" s="14">
        <v>199.37</v>
      </c>
      <c r="F720" s="14">
        <v>208.72</v>
      </c>
      <c r="G720" s="16">
        <v>198.62</v>
      </c>
      <c r="H720" s="69">
        <f t="shared" si="26"/>
        <v>4.907229037818106E-2</v>
      </c>
      <c r="M720" s="225"/>
      <c r="N720" s="1319"/>
      <c r="O720" s="1319"/>
      <c r="P720" s="1319"/>
      <c r="Q720" s="35">
        <v>43364</v>
      </c>
      <c r="R720" s="36">
        <v>3.0699999999999998E-2</v>
      </c>
      <c r="S720" s="37">
        <v>2.9500000000000002E-2</v>
      </c>
    </row>
    <row r="721" spans="1:19" x14ac:dyDescent="0.2">
      <c r="A721" s="1"/>
      <c r="B721" s="13">
        <v>44669</v>
      </c>
      <c r="C721" s="14">
        <v>197.26</v>
      </c>
      <c r="D721" s="15">
        <v>450632</v>
      </c>
      <c r="E721" s="14">
        <v>197</v>
      </c>
      <c r="F721" s="14">
        <v>198.32</v>
      </c>
      <c r="G721" s="16">
        <v>192.17</v>
      </c>
      <c r="H721" s="69">
        <f t="shared" si="26"/>
        <v>-1.2366695038301678E-2</v>
      </c>
      <c r="M721" s="225"/>
      <c r="N721" s="1319"/>
      <c r="O721" s="1319"/>
      <c r="P721" s="1319"/>
      <c r="Q721" s="35">
        <v>43367</v>
      </c>
      <c r="R721" s="36">
        <v>3.0800000000000001E-2</v>
      </c>
      <c r="S721" s="37">
        <v>2.9600000000000001E-2</v>
      </c>
    </row>
    <row r="722" spans="1:19" x14ac:dyDescent="0.2">
      <c r="A722" s="1"/>
      <c r="B722" s="13">
        <v>44665</v>
      </c>
      <c r="C722" s="14">
        <v>199.73</v>
      </c>
      <c r="D722" s="15">
        <v>565331</v>
      </c>
      <c r="E722" s="14">
        <v>206.76</v>
      </c>
      <c r="F722" s="14">
        <v>207.25</v>
      </c>
      <c r="G722" s="16">
        <v>198.35499999999999</v>
      </c>
      <c r="H722" s="69">
        <f t="shared" si="26"/>
        <v>-4.4079640088063643E-2</v>
      </c>
      <c r="M722" s="225"/>
      <c r="N722" s="1319"/>
      <c r="O722" s="1319"/>
      <c r="P722" s="1319"/>
      <c r="Q722" s="35">
        <v>43368</v>
      </c>
      <c r="R722" s="36">
        <v>3.1E-2</v>
      </c>
      <c r="S722" s="37">
        <v>2.9900000000000003E-2</v>
      </c>
    </row>
    <row r="723" spans="1:19" x14ac:dyDescent="0.2">
      <c r="A723" s="1"/>
      <c r="B723" s="13">
        <v>44664</v>
      </c>
      <c r="C723" s="14">
        <v>208.94</v>
      </c>
      <c r="D723" s="15">
        <v>266505</v>
      </c>
      <c r="E723" s="14">
        <v>204.87</v>
      </c>
      <c r="F723" s="14">
        <v>209.63</v>
      </c>
      <c r="G723" s="16">
        <v>204.1</v>
      </c>
      <c r="H723" s="69">
        <f t="shared" si="26"/>
        <v>2.5069911200510164E-2</v>
      </c>
      <c r="M723" s="225"/>
      <c r="N723" s="1319"/>
      <c r="O723" s="1319"/>
      <c r="P723" s="1319"/>
      <c r="Q723" s="35">
        <v>43369</v>
      </c>
      <c r="R723" s="36">
        <v>3.0600000000000002E-2</v>
      </c>
      <c r="S723" s="37">
        <v>2.9600000000000001E-2</v>
      </c>
    </row>
    <row r="724" spans="1:19" x14ac:dyDescent="0.2">
      <c r="A724" s="1"/>
      <c r="B724" s="13">
        <v>44663</v>
      </c>
      <c r="C724" s="14">
        <v>203.83</v>
      </c>
      <c r="D724" s="15">
        <v>489308</v>
      </c>
      <c r="E724" s="14">
        <v>205.28</v>
      </c>
      <c r="F724" s="14">
        <v>210.02</v>
      </c>
      <c r="G724" s="16">
        <v>202.17</v>
      </c>
      <c r="H724" s="69">
        <f t="shared" si="26"/>
        <v>2.0647952411385617E-3</v>
      </c>
      <c r="M724" s="225"/>
      <c r="N724" s="1319"/>
      <c r="O724" s="1319"/>
      <c r="P724" s="1319"/>
      <c r="Q724" s="35">
        <v>43370</v>
      </c>
      <c r="R724" s="36">
        <v>3.0600000000000002E-2</v>
      </c>
      <c r="S724" s="37">
        <v>2.9600000000000001E-2</v>
      </c>
    </row>
    <row r="725" spans="1:19" x14ac:dyDescent="0.2">
      <c r="A725" s="1"/>
      <c r="B725" s="13">
        <v>44662</v>
      </c>
      <c r="C725" s="14">
        <v>203.41</v>
      </c>
      <c r="D725" s="15">
        <v>480408</v>
      </c>
      <c r="E725" s="14">
        <v>201.39</v>
      </c>
      <c r="F725" s="14">
        <v>208</v>
      </c>
      <c r="G725" s="16">
        <v>199.65</v>
      </c>
      <c r="H725" s="69">
        <f t="shared" si="26"/>
        <v>3.6017367278466939E-3</v>
      </c>
      <c r="M725" s="225"/>
      <c r="N725" s="1319"/>
      <c r="O725" s="1319"/>
      <c r="P725" s="1319"/>
      <c r="Q725" s="35">
        <v>43371</v>
      </c>
      <c r="R725" s="36">
        <v>3.0499999999999999E-2</v>
      </c>
      <c r="S725" s="37">
        <v>2.9399999999999999E-2</v>
      </c>
    </row>
    <row r="726" spans="1:19" x14ac:dyDescent="0.2">
      <c r="A726" s="1"/>
      <c r="B726" s="13">
        <v>44659</v>
      </c>
      <c r="C726" s="14">
        <v>202.68</v>
      </c>
      <c r="D726" s="15">
        <v>877452</v>
      </c>
      <c r="E726" s="14">
        <v>203.24</v>
      </c>
      <c r="F726" s="14">
        <v>206.45</v>
      </c>
      <c r="G726" s="16">
        <v>194.03</v>
      </c>
      <c r="H726" s="69">
        <f t="shared" si="26"/>
        <v>-1.6402989420557068E-2</v>
      </c>
      <c r="M726" s="225"/>
      <c r="N726" s="1319"/>
      <c r="O726" s="1319"/>
      <c r="P726" s="1319"/>
      <c r="Q726" s="35">
        <v>43374</v>
      </c>
      <c r="R726" s="36">
        <v>3.0899999999999997E-2</v>
      </c>
      <c r="S726" s="37">
        <v>2.9600000000000001E-2</v>
      </c>
    </row>
    <row r="727" spans="1:19" x14ac:dyDescent="0.2">
      <c r="A727" s="1"/>
      <c r="B727" s="13">
        <v>44658</v>
      </c>
      <c r="C727" s="14">
        <v>206.06</v>
      </c>
      <c r="D727" s="15">
        <v>984844</v>
      </c>
      <c r="E727" s="14">
        <v>211.7</v>
      </c>
      <c r="F727" s="14">
        <v>214.215</v>
      </c>
      <c r="G727" s="16">
        <v>200.5</v>
      </c>
      <c r="H727" s="69">
        <f t="shared" si="26"/>
        <v>-2.5721040189125244E-2</v>
      </c>
      <c r="M727" s="225"/>
      <c r="N727" s="1319"/>
      <c r="O727" s="1319"/>
      <c r="P727" s="1319"/>
      <c r="Q727" s="35">
        <v>43375</v>
      </c>
      <c r="R727" s="36">
        <v>3.0499999999999999E-2</v>
      </c>
      <c r="S727" s="37">
        <v>2.9399999999999999E-2</v>
      </c>
    </row>
    <row r="728" spans="1:19" x14ac:dyDescent="0.2">
      <c r="A728" s="1"/>
      <c r="B728" s="13">
        <v>44657</v>
      </c>
      <c r="C728" s="14">
        <v>211.5</v>
      </c>
      <c r="D728" s="15">
        <v>659727</v>
      </c>
      <c r="E728" s="14">
        <v>218.02</v>
      </c>
      <c r="F728" s="14">
        <v>219.88499999999999</v>
      </c>
      <c r="G728" s="16">
        <v>208.47</v>
      </c>
      <c r="H728" s="69">
        <f t="shared" si="26"/>
        <v>-4.630923930197961E-2</v>
      </c>
      <c r="M728" s="225"/>
      <c r="N728" s="1319"/>
      <c r="O728" s="1319"/>
      <c r="P728" s="1319"/>
      <c r="Q728" s="35">
        <v>43376</v>
      </c>
      <c r="R728" s="36">
        <v>3.15E-2</v>
      </c>
      <c r="S728" s="37">
        <v>3.0200000000000001E-2</v>
      </c>
    </row>
    <row r="729" spans="1:19" x14ac:dyDescent="0.2">
      <c r="A729" s="1"/>
      <c r="B729" s="13">
        <v>44656</v>
      </c>
      <c r="C729" s="14">
        <v>221.77</v>
      </c>
      <c r="D729" s="15">
        <v>747282</v>
      </c>
      <c r="E729" s="14">
        <v>236.4</v>
      </c>
      <c r="F729" s="14">
        <v>237.17</v>
      </c>
      <c r="G729" s="16">
        <v>220.30500000000001</v>
      </c>
      <c r="H729" s="69">
        <f t="shared" si="26"/>
        <v>-5.8501379749522409E-2</v>
      </c>
      <c r="M729" s="225"/>
      <c r="N729" s="1319"/>
      <c r="O729" s="1319"/>
      <c r="P729" s="1319"/>
      <c r="Q729" s="35">
        <v>43377</v>
      </c>
      <c r="R729" s="36">
        <v>3.1899999999999998E-2</v>
      </c>
      <c r="S729" s="37">
        <v>3.0499999999999999E-2</v>
      </c>
    </row>
    <row r="730" spans="1:19" x14ac:dyDescent="0.2">
      <c r="A730" s="1"/>
      <c r="B730" s="13">
        <v>44655</v>
      </c>
      <c r="C730" s="14">
        <v>235.55</v>
      </c>
      <c r="D730" s="15">
        <v>684943</v>
      </c>
      <c r="E730" s="14">
        <v>239.85</v>
      </c>
      <c r="F730" s="14">
        <v>239.85</v>
      </c>
      <c r="G730" s="16">
        <v>225.95</v>
      </c>
      <c r="H730" s="69">
        <f t="shared" si="26"/>
        <v>7.8298819099777983E-3</v>
      </c>
      <c r="M730" s="225"/>
      <c r="N730" s="1319"/>
      <c r="O730" s="1319"/>
      <c r="P730" s="1319"/>
      <c r="Q730" s="35">
        <v>43378</v>
      </c>
      <c r="R730" s="36">
        <v>3.2300000000000002E-2</v>
      </c>
      <c r="S730" s="37">
        <v>3.0699999999999998E-2</v>
      </c>
    </row>
    <row r="731" spans="1:19" x14ac:dyDescent="0.2">
      <c r="A731" s="1"/>
      <c r="B731" s="13">
        <v>44652</v>
      </c>
      <c r="C731" s="14">
        <v>233.72</v>
      </c>
      <c r="D731" s="15">
        <v>1237615</v>
      </c>
      <c r="E731" s="14">
        <v>245.97</v>
      </c>
      <c r="F731" s="14">
        <v>248.73</v>
      </c>
      <c r="G731" s="16">
        <v>226.00649999999999</v>
      </c>
      <c r="H731" s="69">
        <f t="shared" si="26"/>
        <v>-4.1424001312443615E-2</v>
      </c>
      <c r="M731" s="225"/>
      <c r="N731" s="1319"/>
      <c r="O731" s="1319"/>
      <c r="P731" s="1319"/>
      <c r="Q731" s="35">
        <v>43382</v>
      </c>
      <c r="R731" s="36">
        <v>3.2099999999999997E-2</v>
      </c>
      <c r="S731" s="37">
        <v>3.0499999999999999E-2</v>
      </c>
    </row>
    <row r="732" spans="1:19" x14ac:dyDescent="0.2">
      <c r="A732" s="1"/>
      <c r="B732" s="13">
        <v>44651</v>
      </c>
      <c r="C732" s="14">
        <v>243.82</v>
      </c>
      <c r="D732" s="15">
        <v>895927</v>
      </c>
      <c r="E732" s="14">
        <v>265.06</v>
      </c>
      <c r="F732" s="14">
        <v>268.77429999999998</v>
      </c>
      <c r="G732" s="16">
        <v>243.79</v>
      </c>
      <c r="H732" s="69">
        <f t="shared" si="26"/>
        <v>-6.69319964792775E-2</v>
      </c>
      <c r="M732" s="225"/>
      <c r="N732" s="1319"/>
      <c r="O732" s="1319"/>
      <c r="P732" s="1319"/>
      <c r="Q732" s="35">
        <v>43383</v>
      </c>
      <c r="R732" s="36">
        <v>3.2199999999999999E-2</v>
      </c>
      <c r="S732" s="37">
        <v>3.0499999999999999E-2</v>
      </c>
    </row>
    <row r="733" spans="1:19" x14ac:dyDescent="0.2">
      <c r="A733" s="1"/>
      <c r="B733" s="13">
        <v>44650</v>
      </c>
      <c r="C733" s="14">
        <v>261.31</v>
      </c>
      <c r="D733" s="15">
        <v>430456</v>
      </c>
      <c r="E733" s="14">
        <v>274.74</v>
      </c>
      <c r="F733" s="14">
        <v>274.74</v>
      </c>
      <c r="G733" s="16">
        <v>257.47000000000003</v>
      </c>
      <c r="H733" s="69">
        <f t="shared" si="26"/>
        <v>-4.9090247452692859E-2</v>
      </c>
      <c r="M733" s="225"/>
      <c r="N733" s="1319"/>
      <c r="O733" s="1319"/>
      <c r="P733" s="1319"/>
      <c r="Q733" s="35">
        <v>43384</v>
      </c>
      <c r="R733" s="36">
        <v>3.1400000000000004E-2</v>
      </c>
      <c r="S733" s="37">
        <v>0.03</v>
      </c>
    </row>
    <row r="734" spans="1:19" x14ac:dyDescent="0.2">
      <c r="A734" s="1"/>
      <c r="B734" s="13">
        <v>44649</v>
      </c>
      <c r="C734" s="14">
        <v>274.8</v>
      </c>
      <c r="D734" s="15">
        <v>378800</v>
      </c>
      <c r="E734" s="14">
        <v>275.57</v>
      </c>
      <c r="F734" s="14">
        <v>277.42</v>
      </c>
      <c r="G734" s="16">
        <v>268.505</v>
      </c>
      <c r="H734" s="69">
        <f t="shared" si="26"/>
        <v>1.6873889875666181E-2</v>
      </c>
      <c r="M734" s="225"/>
      <c r="N734" s="1319"/>
      <c r="O734" s="1319"/>
      <c r="P734" s="1319"/>
      <c r="Q734" s="35">
        <v>43385</v>
      </c>
      <c r="R734" s="36">
        <v>3.15E-2</v>
      </c>
      <c r="S734" s="37">
        <v>0.03</v>
      </c>
    </row>
    <row r="735" spans="1:19" x14ac:dyDescent="0.2">
      <c r="A735" s="1"/>
      <c r="B735" s="13">
        <v>44648</v>
      </c>
      <c r="C735" s="14">
        <v>270.24</v>
      </c>
      <c r="D735" s="15">
        <v>354282</v>
      </c>
      <c r="E735" s="14">
        <v>266.24</v>
      </c>
      <c r="F735" s="14">
        <v>271.08</v>
      </c>
      <c r="G735" s="16">
        <v>259.23</v>
      </c>
      <c r="H735" s="69">
        <f t="shared" si="26"/>
        <v>2.398544958508575E-2</v>
      </c>
      <c r="M735" s="225"/>
      <c r="N735" s="1319"/>
      <c r="O735" s="1319"/>
      <c r="P735" s="1319"/>
      <c r="Q735" s="35">
        <v>43388</v>
      </c>
      <c r="R735" s="36">
        <v>3.1600000000000003E-2</v>
      </c>
      <c r="S735" s="37">
        <v>3.0099999999999998E-2</v>
      </c>
    </row>
    <row r="736" spans="1:19" x14ac:dyDescent="0.2">
      <c r="A736" s="1"/>
      <c r="B736" s="13">
        <v>44645</v>
      </c>
      <c r="C736" s="14">
        <v>263.91000000000003</v>
      </c>
      <c r="D736" s="15">
        <v>453559</v>
      </c>
      <c r="E736" s="14">
        <v>278.06</v>
      </c>
      <c r="F736" s="14">
        <v>279.63</v>
      </c>
      <c r="G736" s="16">
        <v>256.79000000000002</v>
      </c>
      <c r="H736" s="69">
        <f t="shared" si="26"/>
        <v>-4.9623681083222237E-2</v>
      </c>
      <c r="M736" s="225"/>
      <c r="N736" s="1319"/>
      <c r="O736" s="1319"/>
      <c r="P736" s="1319"/>
      <c r="Q736" s="35">
        <v>43389</v>
      </c>
      <c r="R736" s="36">
        <v>3.1600000000000003E-2</v>
      </c>
      <c r="S736" s="37">
        <v>3.0200000000000001E-2</v>
      </c>
    </row>
    <row r="737" spans="1:19" x14ac:dyDescent="0.2">
      <c r="A737" s="1"/>
      <c r="B737" s="13">
        <v>44644</v>
      </c>
      <c r="C737" s="14">
        <v>277.69</v>
      </c>
      <c r="D737" s="15">
        <v>219272</v>
      </c>
      <c r="E737" s="14">
        <v>275.77999999999997</v>
      </c>
      <c r="F737" s="14">
        <v>278.39</v>
      </c>
      <c r="G737" s="16">
        <v>268.24</v>
      </c>
      <c r="H737" s="69">
        <f t="shared" si="26"/>
        <v>2.3741935483871046E-2</v>
      </c>
      <c r="M737" s="225"/>
      <c r="N737" s="1319"/>
      <c r="O737" s="1319"/>
      <c r="P737" s="1319"/>
      <c r="Q737" s="35">
        <v>43390</v>
      </c>
      <c r="R737" s="36">
        <v>3.1899999999999998E-2</v>
      </c>
      <c r="S737" s="37">
        <v>3.04E-2</v>
      </c>
    </row>
    <row r="738" spans="1:19" x14ac:dyDescent="0.2">
      <c r="A738" s="1"/>
      <c r="B738" s="13">
        <v>44643</v>
      </c>
      <c r="C738" s="14">
        <v>271.25</v>
      </c>
      <c r="D738" s="15">
        <v>147987</v>
      </c>
      <c r="E738" s="14">
        <v>283.58999999999997</v>
      </c>
      <c r="F738" s="14">
        <v>283.58999999999997</v>
      </c>
      <c r="G738" s="16">
        <v>270.86</v>
      </c>
      <c r="H738" s="69">
        <f t="shared" si="26"/>
        <v>-5.4185989748596564E-2</v>
      </c>
      <c r="M738" s="225"/>
      <c r="N738" s="1319"/>
      <c r="O738" s="1319"/>
      <c r="P738" s="1319"/>
      <c r="Q738" s="35">
        <v>43391</v>
      </c>
      <c r="R738" s="36">
        <v>3.1699999999999999E-2</v>
      </c>
      <c r="S738" s="37">
        <v>3.0299999999999997E-2</v>
      </c>
    </row>
    <row r="739" spans="1:19" x14ac:dyDescent="0.2">
      <c r="A739" s="1"/>
      <c r="B739" s="13">
        <v>44642</v>
      </c>
      <c r="C739" s="14">
        <v>286.79000000000002</v>
      </c>
      <c r="D739" s="15">
        <v>379143</v>
      </c>
      <c r="E739" s="14">
        <v>281.25</v>
      </c>
      <c r="F739" s="14">
        <v>288.56</v>
      </c>
      <c r="G739" s="16">
        <v>280.69</v>
      </c>
      <c r="H739" s="69">
        <f t="shared" si="26"/>
        <v>2.0096748950700905E-2</v>
      </c>
      <c r="M739" s="225"/>
      <c r="N739" s="1319"/>
      <c r="O739" s="1319"/>
      <c r="P739" s="1319"/>
      <c r="Q739" s="35">
        <v>43392</v>
      </c>
      <c r="R739" s="36">
        <v>3.2000000000000001E-2</v>
      </c>
      <c r="S739" s="37">
        <v>3.0499999999999999E-2</v>
      </c>
    </row>
    <row r="740" spans="1:19" x14ac:dyDescent="0.2">
      <c r="A740" s="1"/>
      <c r="B740" s="13">
        <v>44641</v>
      </c>
      <c r="C740" s="14">
        <v>281.14</v>
      </c>
      <c r="D740" s="15">
        <v>220480</v>
      </c>
      <c r="E740" s="14">
        <v>286.18</v>
      </c>
      <c r="F740" s="14">
        <v>291.22000000000003</v>
      </c>
      <c r="G740" s="16">
        <v>274.02999999999997</v>
      </c>
      <c r="H740" s="69">
        <f t="shared" si="26"/>
        <v>-3.7257722073830601E-2</v>
      </c>
      <c r="M740" s="225"/>
      <c r="N740" s="1319"/>
      <c r="O740" s="1319"/>
      <c r="P740" s="1319"/>
      <c r="Q740" s="35">
        <v>43395</v>
      </c>
      <c r="R740" s="36">
        <v>3.2000000000000001E-2</v>
      </c>
      <c r="S740" s="37">
        <v>3.0499999999999999E-2</v>
      </c>
    </row>
    <row r="741" spans="1:19" x14ac:dyDescent="0.2">
      <c r="A741" s="1"/>
      <c r="B741" s="13">
        <v>44638</v>
      </c>
      <c r="C741" s="14">
        <v>292.02</v>
      </c>
      <c r="D741" s="15">
        <v>473607</v>
      </c>
      <c r="E741" s="14">
        <v>280.13</v>
      </c>
      <c r="F741" s="14">
        <v>294.05</v>
      </c>
      <c r="G741" s="16">
        <v>278.01</v>
      </c>
      <c r="H741" s="69">
        <f t="shared" si="26"/>
        <v>3.4394814211327951E-2</v>
      </c>
      <c r="M741" s="225"/>
      <c r="N741" s="1319"/>
      <c r="O741" s="1319"/>
      <c r="P741" s="1319"/>
      <c r="Q741" s="35">
        <v>43396</v>
      </c>
      <c r="R741" s="36">
        <v>3.1699999999999999E-2</v>
      </c>
      <c r="S741" s="37">
        <v>3.0099999999999998E-2</v>
      </c>
    </row>
    <row r="742" spans="1:19" x14ac:dyDescent="0.2">
      <c r="A742" s="1"/>
      <c r="B742" s="13">
        <v>44637</v>
      </c>
      <c r="C742" s="14">
        <v>282.31</v>
      </c>
      <c r="D742" s="15">
        <v>180283</v>
      </c>
      <c r="E742" s="14">
        <v>276.14</v>
      </c>
      <c r="F742" s="14">
        <v>283.32</v>
      </c>
      <c r="G742" s="16">
        <v>274.94260000000003</v>
      </c>
      <c r="H742" s="69">
        <f t="shared" si="26"/>
        <v>6.1657994154964424E-3</v>
      </c>
      <c r="M742" s="225"/>
      <c r="N742" s="1319"/>
      <c r="O742" s="1319"/>
      <c r="P742" s="1319"/>
      <c r="Q742" s="35">
        <v>43397</v>
      </c>
      <c r="R742" s="36">
        <v>3.1E-2</v>
      </c>
      <c r="S742" s="37">
        <v>2.9399999999999999E-2</v>
      </c>
    </row>
    <row r="743" spans="1:19" x14ac:dyDescent="0.2">
      <c r="A743" s="1"/>
      <c r="B743" s="13">
        <v>44636</v>
      </c>
      <c r="C743" s="14">
        <v>280.58</v>
      </c>
      <c r="D743" s="15">
        <v>334396</v>
      </c>
      <c r="E743" s="14">
        <v>264.22000000000003</v>
      </c>
      <c r="F743" s="14">
        <v>282.86</v>
      </c>
      <c r="G743" s="16">
        <v>263.32</v>
      </c>
      <c r="H743" s="69">
        <f t="shared" si="26"/>
        <v>8.4199544031840379E-2</v>
      </c>
      <c r="M743" s="225"/>
      <c r="N743" s="1319"/>
      <c r="O743" s="1319"/>
      <c r="P743" s="1319"/>
      <c r="Q743" s="35">
        <v>43398</v>
      </c>
      <c r="R743" s="36">
        <v>3.1400000000000004E-2</v>
      </c>
      <c r="S743" s="37">
        <v>2.98E-2</v>
      </c>
    </row>
    <row r="744" spans="1:19" x14ac:dyDescent="0.2">
      <c r="A744" s="1"/>
      <c r="B744" s="13">
        <v>44635</v>
      </c>
      <c r="C744" s="14">
        <v>258.79000000000002</v>
      </c>
      <c r="D744" s="15">
        <v>326487</v>
      </c>
      <c r="E744" s="14">
        <v>254.19</v>
      </c>
      <c r="F744" s="14">
        <v>260.18</v>
      </c>
      <c r="G744" s="16">
        <v>249.84</v>
      </c>
      <c r="H744" s="69">
        <f t="shared" ref="H744:H807" si="27">C744/C745-1</f>
        <v>3.0912639923515117E-2</v>
      </c>
      <c r="M744" s="225"/>
      <c r="N744" s="1319"/>
      <c r="O744" s="1319"/>
      <c r="P744" s="1319"/>
      <c r="Q744" s="35">
        <v>43399</v>
      </c>
      <c r="R744" s="36">
        <v>3.0800000000000001E-2</v>
      </c>
      <c r="S744" s="37">
        <v>2.9100000000000001E-2</v>
      </c>
    </row>
    <row r="745" spans="1:19" x14ac:dyDescent="0.2">
      <c r="A745" s="1"/>
      <c r="B745" s="13">
        <v>44634</v>
      </c>
      <c r="C745" s="14">
        <v>251.03</v>
      </c>
      <c r="D745" s="15">
        <v>300838</v>
      </c>
      <c r="E745" s="14">
        <v>262.75</v>
      </c>
      <c r="F745" s="14">
        <v>265.5</v>
      </c>
      <c r="G745" s="16">
        <v>246.98</v>
      </c>
      <c r="H745" s="69">
        <f t="shared" si="27"/>
        <v>-3.9487277597092141E-2</v>
      </c>
      <c r="M745" s="225"/>
      <c r="N745" s="1319"/>
      <c r="O745" s="1319"/>
      <c r="P745" s="1319"/>
      <c r="Q745" s="35">
        <v>43402</v>
      </c>
      <c r="R745" s="36">
        <v>3.0800000000000001E-2</v>
      </c>
      <c r="S745" s="37">
        <v>2.9100000000000001E-2</v>
      </c>
    </row>
    <row r="746" spans="1:19" x14ac:dyDescent="0.2">
      <c r="A746" s="1"/>
      <c r="B746" s="13">
        <v>44631</v>
      </c>
      <c r="C746" s="14">
        <v>261.35000000000002</v>
      </c>
      <c r="D746" s="15">
        <v>202831</v>
      </c>
      <c r="E746" s="14">
        <v>274.39</v>
      </c>
      <c r="F746" s="14">
        <v>274.39</v>
      </c>
      <c r="G746" s="16">
        <v>260.45</v>
      </c>
      <c r="H746" s="69">
        <f t="shared" si="27"/>
        <v>-2.4048694872848109E-2</v>
      </c>
      <c r="M746" s="225"/>
      <c r="N746" s="1319"/>
      <c r="O746" s="1319"/>
      <c r="P746" s="1319"/>
      <c r="Q746" s="35">
        <v>43403</v>
      </c>
      <c r="R746" s="36">
        <v>3.1200000000000002E-2</v>
      </c>
      <c r="S746" s="37">
        <v>2.9399999999999999E-2</v>
      </c>
    </row>
    <row r="747" spans="1:19" x14ac:dyDescent="0.2">
      <c r="A747" s="1"/>
      <c r="B747" s="13">
        <v>44630</v>
      </c>
      <c r="C747" s="14">
        <v>267.79000000000002</v>
      </c>
      <c r="D747" s="15">
        <v>183991</v>
      </c>
      <c r="E747" s="14">
        <v>262.44</v>
      </c>
      <c r="F747" s="14">
        <v>269.77</v>
      </c>
      <c r="G747" s="16">
        <v>259.3</v>
      </c>
      <c r="H747" s="69">
        <f t="shared" si="27"/>
        <v>-7.229183658337579E-3</v>
      </c>
      <c r="M747" s="225"/>
      <c r="N747" s="1319"/>
      <c r="O747" s="1319"/>
      <c r="P747" s="1319"/>
      <c r="Q747" s="35">
        <v>43404</v>
      </c>
      <c r="R747" s="36">
        <v>3.15E-2</v>
      </c>
      <c r="S747" s="37">
        <v>2.98E-2</v>
      </c>
    </row>
    <row r="748" spans="1:19" x14ac:dyDescent="0.2">
      <c r="A748" s="1"/>
      <c r="B748" s="13">
        <v>44629</v>
      </c>
      <c r="C748" s="14">
        <v>269.74</v>
      </c>
      <c r="D748" s="15">
        <v>266750</v>
      </c>
      <c r="E748" s="14">
        <v>260.56</v>
      </c>
      <c r="F748" s="14">
        <v>273.68</v>
      </c>
      <c r="G748" s="16">
        <v>257.625</v>
      </c>
      <c r="H748" s="69">
        <f t="shared" si="27"/>
        <v>6.9378369806533557E-2</v>
      </c>
      <c r="M748" s="225"/>
      <c r="N748" s="1319"/>
      <c r="O748" s="1319"/>
      <c r="P748" s="1319"/>
      <c r="Q748" s="35">
        <v>43405</v>
      </c>
      <c r="R748" s="36">
        <v>3.1400000000000004E-2</v>
      </c>
      <c r="S748" s="37">
        <v>2.9600000000000001E-2</v>
      </c>
    </row>
    <row r="749" spans="1:19" x14ac:dyDescent="0.2">
      <c r="A749" s="1"/>
      <c r="B749" s="13">
        <v>44628</v>
      </c>
      <c r="C749" s="14">
        <v>252.24</v>
      </c>
      <c r="D749" s="15">
        <v>195923</v>
      </c>
      <c r="E749" s="14">
        <v>248.02</v>
      </c>
      <c r="F749" s="14">
        <v>260.94</v>
      </c>
      <c r="G749" s="16">
        <v>243.96</v>
      </c>
      <c r="H749" s="69">
        <f t="shared" si="27"/>
        <v>2.7537884960078252E-2</v>
      </c>
      <c r="M749" s="225"/>
      <c r="N749" s="1319"/>
      <c r="O749" s="1319"/>
      <c r="P749" s="1319"/>
      <c r="Q749" s="35">
        <v>43406</v>
      </c>
      <c r="R749" s="36">
        <v>3.2199999999999999E-2</v>
      </c>
      <c r="S749" s="37">
        <v>3.04E-2</v>
      </c>
    </row>
    <row r="750" spans="1:19" x14ac:dyDescent="0.2">
      <c r="A750" s="1"/>
      <c r="B750" s="13">
        <v>44627</v>
      </c>
      <c r="C750" s="14">
        <v>245.48</v>
      </c>
      <c r="D750" s="15">
        <v>367875</v>
      </c>
      <c r="E750" s="14">
        <v>269.87</v>
      </c>
      <c r="F750" s="14">
        <v>292.45</v>
      </c>
      <c r="G750" s="16">
        <v>243.29</v>
      </c>
      <c r="H750" s="69">
        <f t="shared" si="27"/>
        <v>-7.2610502455610071E-2</v>
      </c>
      <c r="M750" s="225"/>
      <c r="N750" s="1319"/>
      <c r="O750" s="1319"/>
      <c r="P750" s="1319"/>
      <c r="Q750" s="35">
        <v>43409</v>
      </c>
      <c r="R750" s="36">
        <v>3.2000000000000001E-2</v>
      </c>
      <c r="S750" s="37">
        <v>3.0299999999999997E-2</v>
      </c>
    </row>
    <row r="751" spans="1:19" x14ac:dyDescent="0.2">
      <c r="A751" s="1"/>
      <c r="B751" s="13">
        <v>44624</v>
      </c>
      <c r="C751" s="14">
        <v>264.7</v>
      </c>
      <c r="D751" s="15">
        <v>377110</v>
      </c>
      <c r="E751" s="14">
        <v>281.01</v>
      </c>
      <c r="F751" s="14">
        <v>281.20999999999998</v>
      </c>
      <c r="G751" s="16">
        <v>261.49</v>
      </c>
      <c r="H751" s="69">
        <f t="shared" si="27"/>
        <v>-5.5519874402340741E-2</v>
      </c>
      <c r="M751" s="225"/>
      <c r="N751" s="1319"/>
      <c r="O751" s="1319"/>
      <c r="P751" s="1319"/>
      <c r="Q751" s="35">
        <v>43410</v>
      </c>
      <c r="R751" s="36">
        <v>3.2199999999999999E-2</v>
      </c>
      <c r="S751" s="37">
        <v>3.0499999999999999E-2</v>
      </c>
    </row>
    <row r="752" spans="1:19" x14ac:dyDescent="0.2">
      <c r="A752" s="1"/>
      <c r="B752" s="13">
        <v>44623</v>
      </c>
      <c r="C752" s="14">
        <v>280.26</v>
      </c>
      <c r="D752" s="15">
        <v>264349</v>
      </c>
      <c r="E752" s="14">
        <v>285.83999999999997</v>
      </c>
      <c r="F752" s="14">
        <v>292.16989999999998</v>
      </c>
      <c r="G752" s="16">
        <v>277.63</v>
      </c>
      <c r="H752" s="69">
        <f t="shared" si="27"/>
        <v>-2.6164911914938083E-2</v>
      </c>
      <c r="M752" s="225"/>
      <c r="N752" s="1319"/>
      <c r="O752" s="1319"/>
      <c r="P752" s="1319"/>
      <c r="Q752" s="35">
        <v>43411</v>
      </c>
      <c r="R752" s="36">
        <v>3.2199999999999999E-2</v>
      </c>
      <c r="S752" s="37">
        <v>3.0699999999999998E-2</v>
      </c>
    </row>
    <row r="753" spans="1:19" x14ac:dyDescent="0.2">
      <c r="A753" s="1"/>
      <c r="B753" s="13">
        <v>44622</v>
      </c>
      <c r="C753" s="14">
        <v>287.79000000000002</v>
      </c>
      <c r="D753" s="15">
        <v>266549</v>
      </c>
      <c r="E753" s="14">
        <v>286.63</v>
      </c>
      <c r="F753" s="14">
        <v>295.22500000000002</v>
      </c>
      <c r="G753" s="16">
        <v>286.63</v>
      </c>
      <c r="H753" s="69">
        <f t="shared" si="27"/>
        <v>1.5956507925301011E-2</v>
      </c>
      <c r="M753" s="225"/>
      <c r="N753" s="1319"/>
      <c r="O753" s="1319"/>
      <c r="P753" s="1319"/>
      <c r="Q753" s="35">
        <v>43412</v>
      </c>
      <c r="R753" s="36">
        <v>3.2400000000000005E-2</v>
      </c>
      <c r="S753" s="37">
        <v>3.0899999999999997E-2</v>
      </c>
    </row>
    <row r="754" spans="1:19" x14ac:dyDescent="0.2">
      <c r="A754" s="1"/>
      <c r="B754" s="13">
        <v>44621</v>
      </c>
      <c r="C754" s="14">
        <v>283.27</v>
      </c>
      <c r="D754" s="15">
        <v>309778</v>
      </c>
      <c r="E754" s="14">
        <v>285.39999999999998</v>
      </c>
      <c r="F754" s="14">
        <v>292.73</v>
      </c>
      <c r="G754" s="16">
        <v>281.04000000000002</v>
      </c>
      <c r="H754" s="69">
        <f t="shared" si="27"/>
        <v>-1.378686070396562E-2</v>
      </c>
      <c r="M754" s="225"/>
      <c r="N754" s="1319"/>
      <c r="O754" s="1319"/>
      <c r="P754" s="1319"/>
      <c r="Q754" s="35">
        <v>43413</v>
      </c>
      <c r="R754" s="36">
        <v>3.1899999999999998E-2</v>
      </c>
      <c r="S754" s="37">
        <v>3.0499999999999999E-2</v>
      </c>
    </row>
    <row r="755" spans="1:19" x14ac:dyDescent="0.2">
      <c r="A755" s="1"/>
      <c r="B755" s="13">
        <v>44620</v>
      </c>
      <c r="C755" s="14">
        <v>287.23</v>
      </c>
      <c r="D755" s="15">
        <v>412901</v>
      </c>
      <c r="E755" s="14">
        <v>270.35000000000002</v>
      </c>
      <c r="F755" s="14">
        <v>289.25</v>
      </c>
      <c r="G755" s="16">
        <v>270.35000000000002</v>
      </c>
      <c r="H755" s="69">
        <f t="shared" si="27"/>
        <v>4.6451471874089156E-2</v>
      </c>
      <c r="M755" s="225"/>
      <c r="N755" s="1319"/>
      <c r="O755" s="1319"/>
      <c r="P755" s="1319"/>
      <c r="Q755" s="35">
        <v>43417</v>
      </c>
      <c r="R755" s="36">
        <v>3.1400000000000004E-2</v>
      </c>
      <c r="S755" s="37">
        <v>2.9900000000000003E-2</v>
      </c>
    </row>
    <row r="756" spans="1:19" x14ac:dyDescent="0.2">
      <c r="A756" s="1"/>
      <c r="B756" s="13">
        <v>44617</v>
      </c>
      <c r="C756" s="14">
        <v>274.48</v>
      </c>
      <c r="D756" s="15">
        <v>206616</v>
      </c>
      <c r="E756" s="14">
        <v>263.64999999999998</v>
      </c>
      <c r="F756" s="14">
        <v>275.07</v>
      </c>
      <c r="G756" s="16">
        <v>263.37</v>
      </c>
      <c r="H756" s="69">
        <f t="shared" si="27"/>
        <v>3.7770804189194429E-2</v>
      </c>
      <c r="M756" s="225"/>
      <c r="N756" s="1319"/>
      <c r="O756" s="1319"/>
      <c r="P756" s="1319"/>
      <c r="Q756" s="35">
        <v>43418</v>
      </c>
      <c r="R756" s="36">
        <v>3.1200000000000002E-2</v>
      </c>
      <c r="S756" s="37">
        <v>2.9500000000000002E-2</v>
      </c>
    </row>
    <row r="757" spans="1:19" x14ac:dyDescent="0.2">
      <c r="A757" s="1"/>
      <c r="B757" s="13">
        <v>44616</v>
      </c>
      <c r="C757" s="14">
        <v>264.49</v>
      </c>
      <c r="D757" s="15">
        <v>222713</v>
      </c>
      <c r="E757" s="14">
        <v>246.73</v>
      </c>
      <c r="F757" s="14">
        <v>265.16000000000003</v>
      </c>
      <c r="G757" s="16">
        <v>234.86240000000001</v>
      </c>
      <c r="H757" s="69">
        <f t="shared" si="27"/>
        <v>3.2115819870444096E-2</v>
      </c>
      <c r="M757" s="225"/>
      <c r="N757" s="1319"/>
      <c r="O757" s="1319"/>
      <c r="P757" s="1319"/>
      <c r="Q757" s="35">
        <v>43419</v>
      </c>
      <c r="R757" s="36">
        <v>3.1099999999999999E-2</v>
      </c>
      <c r="S757" s="37">
        <v>2.9399999999999999E-2</v>
      </c>
    </row>
    <row r="758" spans="1:19" x14ac:dyDescent="0.2">
      <c r="A758" s="1"/>
      <c r="B758" s="13">
        <v>44615</v>
      </c>
      <c r="C758" s="14">
        <v>256.26</v>
      </c>
      <c r="D758" s="15">
        <v>200012</v>
      </c>
      <c r="E758" s="14">
        <v>261.85000000000002</v>
      </c>
      <c r="F758" s="14">
        <v>263.12</v>
      </c>
      <c r="G758" s="16">
        <v>256.25</v>
      </c>
      <c r="H758" s="69">
        <f t="shared" si="27"/>
        <v>-3.1508927529466657E-3</v>
      </c>
      <c r="M758" s="225"/>
      <c r="N758" s="1319"/>
      <c r="O758" s="1319"/>
      <c r="P758" s="1319"/>
      <c r="Q758" s="35">
        <v>43420</v>
      </c>
      <c r="R758" s="36">
        <v>3.0800000000000001E-2</v>
      </c>
      <c r="S758" s="37">
        <v>2.8999999999999998E-2</v>
      </c>
    </row>
    <row r="759" spans="1:19" x14ac:dyDescent="0.2">
      <c r="A759" s="1"/>
      <c r="B759" s="13">
        <v>44614</v>
      </c>
      <c r="C759" s="14">
        <v>257.07</v>
      </c>
      <c r="D759" s="15">
        <v>420499</v>
      </c>
      <c r="E759" s="14">
        <v>263.29000000000002</v>
      </c>
      <c r="F759" s="14">
        <v>268.83499999999998</v>
      </c>
      <c r="G759" s="16">
        <v>255.59</v>
      </c>
      <c r="H759" s="69">
        <f t="shared" si="27"/>
        <v>-4.0568784056131957E-2</v>
      </c>
      <c r="M759" s="225"/>
      <c r="N759" s="1319"/>
      <c r="O759" s="1319"/>
      <c r="P759" s="1319"/>
      <c r="Q759" s="35">
        <v>43423</v>
      </c>
      <c r="R759" s="36">
        <v>3.0600000000000002E-2</v>
      </c>
      <c r="S759" s="37">
        <v>2.87E-2</v>
      </c>
    </row>
    <row r="760" spans="1:19" x14ac:dyDescent="0.2">
      <c r="A760" s="1"/>
      <c r="B760" s="13">
        <v>44610</v>
      </c>
      <c r="C760" s="14">
        <v>267.94</v>
      </c>
      <c r="D760" s="15">
        <v>311893</v>
      </c>
      <c r="E760" s="14">
        <v>268.02</v>
      </c>
      <c r="F760" s="14">
        <v>272.38</v>
      </c>
      <c r="G760" s="16">
        <v>266.76</v>
      </c>
      <c r="H760" s="69">
        <f t="shared" si="27"/>
        <v>-1.1195283054088456E-4</v>
      </c>
      <c r="M760" s="225"/>
      <c r="N760" s="1319"/>
      <c r="O760" s="1319"/>
      <c r="P760" s="1319"/>
      <c r="Q760" s="35">
        <v>43424</v>
      </c>
      <c r="R760" s="36">
        <v>3.0600000000000002E-2</v>
      </c>
      <c r="S760" s="37">
        <v>2.8799999999999999E-2</v>
      </c>
    </row>
    <row r="761" spans="1:19" x14ac:dyDescent="0.2">
      <c r="A761" s="1"/>
      <c r="B761" s="13">
        <v>44609</v>
      </c>
      <c r="C761" s="14">
        <v>267.97000000000003</v>
      </c>
      <c r="D761" s="15">
        <v>290335</v>
      </c>
      <c r="E761" s="14">
        <v>273.02</v>
      </c>
      <c r="F761" s="14">
        <v>273.02</v>
      </c>
      <c r="G761" s="16">
        <v>267.315</v>
      </c>
      <c r="H761" s="69">
        <f t="shared" si="27"/>
        <v>-2.4676979071883376E-2</v>
      </c>
      <c r="M761" s="225"/>
      <c r="N761" s="1319"/>
      <c r="O761" s="1319"/>
      <c r="P761" s="1319"/>
      <c r="Q761" s="35">
        <v>43425</v>
      </c>
      <c r="R761" s="36">
        <v>3.0600000000000002E-2</v>
      </c>
      <c r="S761" s="37">
        <v>2.8900000000000002E-2</v>
      </c>
    </row>
    <row r="762" spans="1:19" x14ac:dyDescent="0.2">
      <c r="A762" s="1"/>
      <c r="B762" s="13">
        <v>44608</v>
      </c>
      <c r="C762" s="14">
        <v>274.75</v>
      </c>
      <c r="D762" s="15">
        <v>156189</v>
      </c>
      <c r="E762" s="14">
        <v>273.85000000000002</v>
      </c>
      <c r="F762" s="14">
        <v>275.82</v>
      </c>
      <c r="G762" s="16">
        <v>267.43</v>
      </c>
      <c r="H762" s="69">
        <f t="shared" si="27"/>
        <v>-8.2301555788181213E-3</v>
      </c>
      <c r="M762" s="225"/>
      <c r="N762" s="1319"/>
      <c r="O762" s="1319"/>
      <c r="P762" s="1319"/>
      <c r="Q762" s="35">
        <v>43427</v>
      </c>
      <c r="R762" s="36">
        <v>3.0499999999999999E-2</v>
      </c>
      <c r="S762" s="37">
        <v>2.8799999999999999E-2</v>
      </c>
    </row>
    <row r="763" spans="1:19" x14ac:dyDescent="0.2">
      <c r="A763" s="1"/>
      <c r="B763" s="13">
        <v>44607</v>
      </c>
      <c r="C763" s="14">
        <v>277.02999999999997</v>
      </c>
      <c r="D763" s="15">
        <v>144622</v>
      </c>
      <c r="E763" s="14">
        <v>275.14999999999998</v>
      </c>
      <c r="F763" s="14">
        <v>279.5</v>
      </c>
      <c r="G763" s="16">
        <v>274.47000000000003</v>
      </c>
      <c r="H763" s="69">
        <f t="shared" si="27"/>
        <v>3.0540882374823219E-2</v>
      </c>
      <c r="M763" s="225"/>
      <c r="N763" s="1319"/>
      <c r="O763" s="1319"/>
      <c r="P763" s="1319"/>
      <c r="Q763" s="35">
        <v>43430</v>
      </c>
      <c r="R763" s="36">
        <v>3.0699999999999998E-2</v>
      </c>
      <c r="S763" s="37">
        <v>2.8999999999999998E-2</v>
      </c>
    </row>
    <row r="764" spans="1:19" x14ac:dyDescent="0.2">
      <c r="A764" s="1"/>
      <c r="B764" s="13">
        <v>44606</v>
      </c>
      <c r="C764" s="14">
        <v>268.82</v>
      </c>
      <c r="D764" s="15">
        <v>389615</v>
      </c>
      <c r="E764" s="14">
        <v>263.27999999999997</v>
      </c>
      <c r="F764" s="14">
        <v>275.45999999999998</v>
      </c>
      <c r="G764" s="16">
        <v>263.27999999999997</v>
      </c>
      <c r="H764" s="69">
        <f t="shared" si="27"/>
        <v>1.5526425144497757E-2</v>
      </c>
      <c r="M764" s="225"/>
      <c r="N764" s="1319"/>
      <c r="O764" s="1319"/>
      <c r="P764" s="1319"/>
      <c r="Q764" s="35">
        <v>43431</v>
      </c>
      <c r="R764" s="36">
        <v>3.0600000000000002E-2</v>
      </c>
      <c r="S764" s="37">
        <v>2.8900000000000002E-2</v>
      </c>
    </row>
    <row r="765" spans="1:19" x14ac:dyDescent="0.2">
      <c r="A765" s="1"/>
      <c r="B765" s="13">
        <v>44603</v>
      </c>
      <c r="C765" s="14">
        <v>264.70999999999998</v>
      </c>
      <c r="D765" s="15">
        <v>629100</v>
      </c>
      <c r="E765" s="14">
        <v>274.58</v>
      </c>
      <c r="F765" s="14">
        <v>279.97000000000003</v>
      </c>
      <c r="G765" s="16">
        <v>259.58999999999997</v>
      </c>
      <c r="H765" s="69">
        <f t="shared" si="27"/>
        <v>-5.5113332143494564E-2</v>
      </c>
      <c r="M765" s="225"/>
      <c r="N765" s="1319"/>
      <c r="O765" s="1319"/>
      <c r="P765" s="1319"/>
      <c r="Q765" s="35">
        <v>43432</v>
      </c>
      <c r="R765" s="36">
        <v>3.0600000000000002E-2</v>
      </c>
      <c r="S765" s="37">
        <v>2.87E-2</v>
      </c>
    </row>
    <row r="766" spans="1:19" x14ac:dyDescent="0.2">
      <c r="A766" s="1"/>
      <c r="B766" s="13">
        <v>44602</v>
      </c>
      <c r="C766" s="14">
        <v>280.14999999999998</v>
      </c>
      <c r="D766" s="15">
        <v>235134</v>
      </c>
      <c r="E766" s="14">
        <v>280.11</v>
      </c>
      <c r="F766" s="14">
        <v>293.37</v>
      </c>
      <c r="G766" s="16">
        <v>278.29000000000002</v>
      </c>
      <c r="H766" s="69">
        <f t="shared" si="27"/>
        <v>-3.5229699015083771E-2</v>
      </c>
      <c r="M766" s="225"/>
      <c r="N766" s="1319"/>
      <c r="O766" s="1319"/>
      <c r="P766" s="1319"/>
      <c r="Q766" s="35">
        <v>43433</v>
      </c>
      <c r="R766" s="36">
        <v>3.0299999999999997E-2</v>
      </c>
      <c r="S766" s="37">
        <v>2.8500000000000001E-2</v>
      </c>
    </row>
    <row r="767" spans="1:19" x14ac:dyDescent="0.2">
      <c r="A767" s="1"/>
      <c r="B767" s="13">
        <v>44601</v>
      </c>
      <c r="C767" s="14">
        <v>290.38</v>
      </c>
      <c r="D767" s="15">
        <v>244560</v>
      </c>
      <c r="E767" s="14">
        <v>287.81</v>
      </c>
      <c r="F767" s="14">
        <v>295.43360000000001</v>
      </c>
      <c r="G767" s="16">
        <v>285.61</v>
      </c>
      <c r="H767" s="69">
        <f t="shared" si="27"/>
        <v>2.3690333497849325E-2</v>
      </c>
      <c r="M767" s="225"/>
      <c r="N767" s="1319"/>
      <c r="O767" s="1319"/>
      <c r="P767" s="1319"/>
      <c r="Q767" s="35">
        <v>43434</v>
      </c>
      <c r="R767" s="36">
        <v>3.0099999999999998E-2</v>
      </c>
      <c r="S767" s="37">
        <v>2.8399999999999998E-2</v>
      </c>
    </row>
    <row r="768" spans="1:19" x14ac:dyDescent="0.2">
      <c r="A768" s="1"/>
      <c r="B768" s="13">
        <v>44600</v>
      </c>
      <c r="C768" s="14">
        <v>283.66000000000003</v>
      </c>
      <c r="D768" s="15">
        <v>186120</v>
      </c>
      <c r="E768" s="14">
        <v>277.88</v>
      </c>
      <c r="F768" s="14">
        <v>289.16000000000003</v>
      </c>
      <c r="G768" s="16">
        <v>277.88</v>
      </c>
      <c r="H768" s="69">
        <f t="shared" si="27"/>
        <v>2.0873821348880828E-2</v>
      </c>
      <c r="M768" s="225"/>
      <c r="N768" s="1319"/>
      <c r="O768" s="1319"/>
      <c r="P768" s="1319"/>
      <c r="Q768" s="35">
        <v>43437</v>
      </c>
      <c r="R768" s="36">
        <v>2.98E-2</v>
      </c>
      <c r="S768" s="37">
        <v>2.8300000000000002E-2</v>
      </c>
    </row>
    <row r="769" spans="1:19" x14ac:dyDescent="0.2">
      <c r="A769" s="1"/>
      <c r="B769" s="13">
        <v>44599</v>
      </c>
      <c r="C769" s="14">
        <v>277.86</v>
      </c>
      <c r="D769" s="15">
        <v>229297</v>
      </c>
      <c r="E769" s="14">
        <v>283.77999999999997</v>
      </c>
      <c r="F769" s="14">
        <v>286.3854</v>
      </c>
      <c r="G769" s="16">
        <v>271.08999999999997</v>
      </c>
      <c r="H769" s="69">
        <f t="shared" si="27"/>
        <v>-2.1033717366028881E-2</v>
      </c>
      <c r="M769" s="225"/>
      <c r="N769" s="1319"/>
      <c r="O769" s="1319"/>
      <c r="P769" s="1319"/>
      <c r="Q769" s="35">
        <v>43438</v>
      </c>
      <c r="R769" s="36">
        <v>2.9100000000000001E-2</v>
      </c>
      <c r="S769" s="37">
        <v>2.7900000000000001E-2</v>
      </c>
    </row>
    <row r="770" spans="1:19" x14ac:dyDescent="0.2">
      <c r="A770" s="1"/>
      <c r="B770" s="13">
        <v>44596</v>
      </c>
      <c r="C770" s="14">
        <v>283.83</v>
      </c>
      <c r="D770" s="15">
        <v>428137</v>
      </c>
      <c r="E770" s="14">
        <v>290.91000000000003</v>
      </c>
      <c r="F770" s="14">
        <v>295.52999999999997</v>
      </c>
      <c r="G770" s="16">
        <v>274.54000000000002</v>
      </c>
      <c r="H770" s="69">
        <f t="shared" si="27"/>
        <v>-2.463917525773196E-2</v>
      </c>
      <c r="M770" s="225"/>
      <c r="N770" s="1319"/>
      <c r="O770" s="1319"/>
      <c r="P770" s="1319"/>
      <c r="Q770" s="35">
        <v>43440</v>
      </c>
      <c r="R770" s="36">
        <v>2.87E-2</v>
      </c>
      <c r="S770" s="37">
        <v>2.75E-2</v>
      </c>
    </row>
    <row r="771" spans="1:19" x14ac:dyDescent="0.2">
      <c r="A771" s="1"/>
      <c r="B771" s="13">
        <v>44595</v>
      </c>
      <c r="C771" s="14">
        <v>291</v>
      </c>
      <c r="D771" s="15">
        <v>600020</v>
      </c>
      <c r="E771" s="14">
        <v>296.25</v>
      </c>
      <c r="F771" s="14">
        <v>296.25</v>
      </c>
      <c r="G771" s="16">
        <v>285.5</v>
      </c>
      <c r="H771" s="69">
        <f t="shared" si="27"/>
        <v>-2.6755852842809347E-2</v>
      </c>
      <c r="M771" s="225"/>
      <c r="N771" s="1319"/>
      <c r="O771" s="1319"/>
      <c r="P771" s="1319"/>
      <c r="Q771" s="35">
        <v>43441</v>
      </c>
      <c r="R771" s="36">
        <v>2.8500000000000001E-2</v>
      </c>
      <c r="S771" s="37">
        <v>2.7000000000000003E-2</v>
      </c>
    </row>
    <row r="772" spans="1:19" x14ac:dyDescent="0.2">
      <c r="A772" s="1"/>
      <c r="B772" s="13">
        <v>44594</v>
      </c>
      <c r="C772" s="14">
        <v>299</v>
      </c>
      <c r="D772" s="15">
        <v>480170</v>
      </c>
      <c r="E772" s="14">
        <v>302</v>
      </c>
      <c r="F772" s="14">
        <v>304.48500000000001</v>
      </c>
      <c r="G772" s="16">
        <v>278.99</v>
      </c>
      <c r="H772" s="69">
        <f t="shared" si="27"/>
        <v>-2.4022420926198551E-3</v>
      </c>
      <c r="M772" s="225"/>
      <c r="N772" s="1319"/>
      <c r="O772" s="1319"/>
      <c r="P772" s="1319"/>
      <c r="Q772" s="35">
        <v>43444</v>
      </c>
      <c r="R772" s="36">
        <v>2.8500000000000001E-2</v>
      </c>
      <c r="S772" s="37">
        <v>2.7099999999999999E-2</v>
      </c>
    </row>
    <row r="773" spans="1:19" x14ac:dyDescent="0.2">
      <c r="A773" s="1"/>
      <c r="B773" s="13">
        <v>44593</v>
      </c>
      <c r="C773" s="14">
        <v>299.72000000000003</v>
      </c>
      <c r="D773" s="15">
        <v>661903</v>
      </c>
      <c r="E773" s="14">
        <v>289.79000000000002</v>
      </c>
      <c r="F773" s="14">
        <v>302.41000000000003</v>
      </c>
      <c r="G773" s="16">
        <v>287.5</v>
      </c>
      <c r="H773" s="69">
        <f t="shared" si="27"/>
        <v>5.4312649500492638E-2</v>
      </c>
      <c r="M773" s="225"/>
      <c r="N773" s="1319"/>
      <c r="O773" s="1319"/>
      <c r="P773" s="1319"/>
      <c r="Q773" s="35">
        <v>43445</v>
      </c>
      <c r="R773" s="36">
        <v>2.8900000000000002E-2</v>
      </c>
      <c r="S773" s="37">
        <v>2.75E-2</v>
      </c>
    </row>
    <row r="774" spans="1:19" x14ac:dyDescent="0.2">
      <c r="A774" s="1"/>
      <c r="B774" s="13">
        <v>44592</v>
      </c>
      <c r="C774" s="14">
        <v>284.27999999999997</v>
      </c>
      <c r="D774" s="15">
        <v>257293</v>
      </c>
      <c r="E774" s="14">
        <v>270.66000000000003</v>
      </c>
      <c r="F774" s="14">
        <v>284.64</v>
      </c>
      <c r="G774" s="16">
        <v>270.24</v>
      </c>
      <c r="H774" s="69">
        <f t="shared" si="27"/>
        <v>5.1642497780408414E-2</v>
      </c>
      <c r="M774" s="225"/>
      <c r="N774" s="1319"/>
      <c r="O774" s="1319"/>
      <c r="P774" s="1319"/>
      <c r="Q774" s="35">
        <v>43446</v>
      </c>
      <c r="R774" s="36">
        <v>2.9100000000000001E-2</v>
      </c>
      <c r="S774" s="37">
        <v>2.7699999999999999E-2</v>
      </c>
    </row>
    <row r="775" spans="1:19" x14ac:dyDescent="0.2">
      <c r="A775" s="1"/>
      <c r="B775" s="13">
        <v>44589</v>
      </c>
      <c r="C775" s="14">
        <v>270.32</v>
      </c>
      <c r="D775" s="15">
        <v>357226</v>
      </c>
      <c r="E775" s="14">
        <v>266.14</v>
      </c>
      <c r="F775" s="14">
        <v>270.89999999999998</v>
      </c>
      <c r="G775" s="16">
        <v>258.67</v>
      </c>
      <c r="H775" s="69">
        <f t="shared" si="27"/>
        <v>1.5667856471914376E-2</v>
      </c>
      <c r="M775" s="225"/>
      <c r="N775" s="1319"/>
      <c r="O775" s="1319"/>
      <c r="P775" s="1319"/>
      <c r="Q775" s="35">
        <v>43447</v>
      </c>
      <c r="R775" s="36">
        <v>2.9100000000000001E-2</v>
      </c>
      <c r="S775" s="37">
        <v>2.75E-2</v>
      </c>
    </row>
    <row r="776" spans="1:19" x14ac:dyDescent="0.2">
      <c r="A776" s="1"/>
      <c r="B776" s="13">
        <v>44588</v>
      </c>
      <c r="C776" s="14">
        <v>266.14999999999998</v>
      </c>
      <c r="D776" s="15">
        <v>300615</v>
      </c>
      <c r="E776" s="14">
        <v>282.62</v>
      </c>
      <c r="F776" s="14">
        <v>288.98989999999998</v>
      </c>
      <c r="G776" s="16">
        <v>263</v>
      </c>
      <c r="H776" s="69">
        <f t="shared" si="27"/>
        <v>-5.3621590868684121E-2</v>
      </c>
      <c r="M776" s="225"/>
      <c r="N776" s="1319"/>
      <c r="O776" s="1319"/>
      <c r="P776" s="1319"/>
      <c r="Q776" s="35">
        <v>43448</v>
      </c>
      <c r="R776" s="36">
        <v>2.8900000000000002E-2</v>
      </c>
      <c r="S776" s="37">
        <v>2.7300000000000001E-2</v>
      </c>
    </row>
    <row r="777" spans="1:19" x14ac:dyDescent="0.2">
      <c r="A777" s="1"/>
      <c r="B777" s="13">
        <v>44587</v>
      </c>
      <c r="C777" s="14">
        <v>281.23</v>
      </c>
      <c r="D777" s="15">
        <v>498229</v>
      </c>
      <c r="E777" s="14">
        <v>292.77</v>
      </c>
      <c r="F777" s="14">
        <v>299.3</v>
      </c>
      <c r="G777" s="16">
        <v>276.27999999999997</v>
      </c>
      <c r="H777" s="69">
        <f t="shared" si="27"/>
        <v>-1.543901414367721E-2</v>
      </c>
      <c r="M777" s="225"/>
      <c r="N777" s="1319"/>
      <c r="O777" s="1319"/>
      <c r="P777" s="1319"/>
      <c r="Q777" s="35">
        <v>43451</v>
      </c>
      <c r="R777" s="36">
        <v>2.86E-2</v>
      </c>
      <c r="S777" s="37">
        <v>2.69E-2</v>
      </c>
    </row>
    <row r="778" spans="1:19" x14ac:dyDescent="0.2">
      <c r="A778" s="1"/>
      <c r="B778" s="13">
        <v>44586</v>
      </c>
      <c r="C778" s="14">
        <v>285.64</v>
      </c>
      <c r="D778" s="15">
        <v>475510</v>
      </c>
      <c r="E778" s="14">
        <v>303.47000000000003</v>
      </c>
      <c r="F778" s="14">
        <v>303.47000000000003</v>
      </c>
      <c r="G778" s="16">
        <v>278.2</v>
      </c>
      <c r="H778" s="69">
        <f t="shared" si="27"/>
        <v>-3.4445458540377949E-2</v>
      </c>
      <c r="M778" s="225"/>
      <c r="N778" s="1319"/>
      <c r="O778" s="1319"/>
      <c r="P778" s="1319"/>
      <c r="Q778" s="35">
        <v>43452</v>
      </c>
      <c r="R778" s="36">
        <v>2.8199999999999999E-2</v>
      </c>
      <c r="S778" s="37">
        <v>2.6499999999999999E-2</v>
      </c>
    </row>
    <row r="779" spans="1:19" x14ac:dyDescent="0.2">
      <c r="A779" s="1"/>
      <c r="B779" s="13">
        <v>44585</v>
      </c>
      <c r="C779" s="14">
        <v>295.83</v>
      </c>
      <c r="D779" s="15">
        <v>611676</v>
      </c>
      <c r="E779" s="14">
        <v>275.47000000000003</v>
      </c>
      <c r="F779" s="14">
        <v>298.45999999999998</v>
      </c>
      <c r="G779" s="16">
        <v>267.01</v>
      </c>
      <c r="H779" s="69">
        <f t="shared" si="27"/>
        <v>8.4659382562147112E-2</v>
      </c>
      <c r="M779" s="225"/>
      <c r="N779" s="1319"/>
      <c r="O779" s="1319"/>
      <c r="P779" s="1319"/>
      <c r="Q779" s="35">
        <v>43453</v>
      </c>
      <c r="R779" s="36">
        <v>2.7699999999999999E-2</v>
      </c>
      <c r="S779" s="37">
        <v>2.6200000000000001E-2</v>
      </c>
    </row>
    <row r="780" spans="1:19" x14ac:dyDescent="0.2">
      <c r="A780" s="1"/>
      <c r="B780" s="13">
        <v>44582</v>
      </c>
      <c r="C780" s="14">
        <v>272.74</v>
      </c>
      <c r="D780" s="15">
        <v>365651</v>
      </c>
      <c r="E780" s="14">
        <v>280.3</v>
      </c>
      <c r="F780" s="14">
        <v>286.82</v>
      </c>
      <c r="G780" s="16">
        <v>272.2</v>
      </c>
      <c r="H780" s="69">
        <f t="shared" si="27"/>
        <v>-4.9719521967875657E-2</v>
      </c>
      <c r="M780" s="225"/>
      <c r="N780" s="1319"/>
      <c r="O780" s="1319"/>
      <c r="P780" s="1319"/>
      <c r="Q780" s="35">
        <v>43454</v>
      </c>
      <c r="R780" s="36">
        <v>2.7900000000000001E-2</v>
      </c>
      <c r="S780" s="37">
        <v>2.6499999999999999E-2</v>
      </c>
    </row>
    <row r="781" spans="1:19" x14ac:dyDescent="0.2">
      <c r="A781" s="1"/>
      <c r="B781" s="13">
        <v>44581</v>
      </c>
      <c r="C781" s="14">
        <v>287.01</v>
      </c>
      <c r="D781" s="15">
        <v>997261</v>
      </c>
      <c r="E781" s="14">
        <v>287.44</v>
      </c>
      <c r="F781" s="14">
        <v>296.24</v>
      </c>
      <c r="G781" s="16">
        <v>282.58999999999997</v>
      </c>
      <c r="H781" s="69">
        <f t="shared" si="27"/>
        <v>1.7080690315036007E-2</v>
      </c>
      <c r="M781" s="225"/>
      <c r="N781" s="1319"/>
      <c r="O781" s="1319"/>
      <c r="P781" s="1319"/>
      <c r="Q781" s="35">
        <v>43455</v>
      </c>
      <c r="R781" s="36">
        <v>2.7900000000000001E-2</v>
      </c>
      <c r="S781" s="37">
        <v>2.64E-2</v>
      </c>
    </row>
    <row r="782" spans="1:19" x14ac:dyDescent="0.2">
      <c r="A782" s="1"/>
      <c r="B782" s="13">
        <v>44580</v>
      </c>
      <c r="C782" s="14">
        <v>282.19</v>
      </c>
      <c r="D782" s="15">
        <v>612578</v>
      </c>
      <c r="E782" s="14">
        <v>278.88</v>
      </c>
      <c r="F782" s="14">
        <v>286.07</v>
      </c>
      <c r="G782" s="16">
        <v>273.5</v>
      </c>
      <c r="H782" s="69">
        <f t="shared" si="27"/>
        <v>1.0853990543057579E-2</v>
      </c>
      <c r="M782" s="225"/>
      <c r="N782" s="1319"/>
      <c r="O782" s="1319"/>
      <c r="P782" s="1319"/>
      <c r="Q782" s="35">
        <v>43458</v>
      </c>
      <c r="R782" s="36">
        <v>2.7400000000000001E-2</v>
      </c>
      <c r="S782" s="37">
        <v>2.58E-2</v>
      </c>
    </row>
    <row r="783" spans="1:19" x14ac:dyDescent="0.2">
      <c r="A783" s="1"/>
      <c r="B783" s="13">
        <v>44579</v>
      </c>
      <c r="C783" s="14">
        <v>279.16000000000003</v>
      </c>
      <c r="D783" s="15">
        <v>427415</v>
      </c>
      <c r="E783" s="14">
        <v>269.83999999999997</v>
      </c>
      <c r="F783" s="14">
        <v>282.05</v>
      </c>
      <c r="G783" s="16">
        <v>267.95</v>
      </c>
      <c r="H783" s="69">
        <f t="shared" si="27"/>
        <v>9.2552422270426593E-3</v>
      </c>
      <c r="M783" s="225"/>
      <c r="N783" s="1319"/>
      <c r="O783" s="1319"/>
      <c r="P783" s="1319"/>
      <c r="Q783" s="35">
        <v>43460</v>
      </c>
      <c r="R783" s="36">
        <v>2.81E-2</v>
      </c>
      <c r="S783" s="37">
        <v>2.6699999999999998E-2</v>
      </c>
    </row>
    <row r="784" spans="1:19" x14ac:dyDescent="0.2">
      <c r="A784" s="1"/>
      <c r="B784" s="13">
        <v>44575</v>
      </c>
      <c r="C784" s="14">
        <v>276.60000000000002</v>
      </c>
      <c r="D784" s="15">
        <v>348204</v>
      </c>
      <c r="E784" s="14">
        <v>269</v>
      </c>
      <c r="F784" s="14">
        <v>277.2</v>
      </c>
      <c r="G784" s="16">
        <v>264.07499999999999</v>
      </c>
      <c r="H784" s="69">
        <f t="shared" si="27"/>
        <v>2.1795345400812849E-2</v>
      </c>
      <c r="M784" s="225"/>
      <c r="N784" s="1319"/>
      <c r="O784" s="1319"/>
      <c r="P784" s="1319"/>
      <c r="Q784" s="35">
        <v>43461</v>
      </c>
      <c r="R784" s="36">
        <v>2.7699999999999999E-2</v>
      </c>
      <c r="S784" s="37">
        <v>2.6000000000000002E-2</v>
      </c>
    </row>
    <row r="785" spans="1:19" x14ac:dyDescent="0.2">
      <c r="A785" s="1"/>
      <c r="B785" s="13">
        <v>44574</v>
      </c>
      <c r="C785" s="14">
        <v>270.7</v>
      </c>
      <c r="D785" s="15">
        <v>275956</v>
      </c>
      <c r="E785" s="14">
        <v>283.99</v>
      </c>
      <c r="F785" s="14">
        <v>285</v>
      </c>
      <c r="G785" s="16">
        <v>269.39</v>
      </c>
      <c r="H785" s="69">
        <f t="shared" si="27"/>
        <v>-4.3631867161278981E-2</v>
      </c>
      <c r="M785" s="225"/>
      <c r="N785" s="1319"/>
      <c r="O785" s="1319"/>
      <c r="P785" s="1319"/>
      <c r="Q785" s="35">
        <v>43462</v>
      </c>
      <c r="R785" s="36">
        <v>2.7200000000000002E-2</v>
      </c>
      <c r="S785" s="37">
        <v>2.5600000000000001E-2</v>
      </c>
    </row>
    <row r="786" spans="1:19" x14ac:dyDescent="0.2">
      <c r="A786" s="1"/>
      <c r="B786" s="13">
        <v>44573</v>
      </c>
      <c r="C786" s="14">
        <v>283.05</v>
      </c>
      <c r="D786" s="15">
        <v>270721</v>
      </c>
      <c r="E786" s="14">
        <v>283.19</v>
      </c>
      <c r="F786" s="14">
        <v>291.92</v>
      </c>
      <c r="G786" s="16">
        <v>279.18</v>
      </c>
      <c r="H786" s="69">
        <f t="shared" si="27"/>
        <v>1.4007308160779663E-2</v>
      </c>
      <c r="M786" s="225"/>
      <c r="N786" s="1319"/>
      <c r="O786" s="1319"/>
      <c r="P786" s="1319"/>
      <c r="Q786" s="35">
        <v>43465</v>
      </c>
      <c r="R786" s="36">
        <v>2.69E-2</v>
      </c>
      <c r="S786" s="37">
        <v>2.5099999999999997E-2</v>
      </c>
    </row>
    <row r="787" spans="1:19" x14ac:dyDescent="0.2">
      <c r="A787" s="1"/>
      <c r="B787" s="13">
        <v>44572</v>
      </c>
      <c r="C787" s="14">
        <v>279.14</v>
      </c>
      <c r="D787" s="15">
        <v>333571</v>
      </c>
      <c r="E787" s="14">
        <v>285.32</v>
      </c>
      <c r="F787" s="14">
        <v>285.97000000000003</v>
      </c>
      <c r="G787" s="16">
        <v>272.51</v>
      </c>
      <c r="H787" s="69">
        <f t="shared" si="27"/>
        <v>-1.8909039786306758E-2</v>
      </c>
      <c r="M787" s="225"/>
      <c r="N787" s="1319"/>
      <c r="O787" s="1319"/>
      <c r="P787" s="1319"/>
      <c r="Q787" s="35">
        <v>43467</v>
      </c>
      <c r="R787" s="36">
        <v>2.6600000000000002E-2</v>
      </c>
      <c r="S787" s="37">
        <v>2.4900000000000002E-2</v>
      </c>
    </row>
    <row r="788" spans="1:19" x14ac:dyDescent="0.2">
      <c r="A788" s="1"/>
      <c r="B788" s="13">
        <v>44571</v>
      </c>
      <c r="C788" s="14">
        <v>284.52</v>
      </c>
      <c r="D788" s="15">
        <v>431788</v>
      </c>
      <c r="E788" s="14">
        <v>278.37</v>
      </c>
      <c r="F788" s="14">
        <v>284.91000000000003</v>
      </c>
      <c r="G788" s="16">
        <v>268.73</v>
      </c>
      <c r="H788" s="69">
        <f t="shared" si="27"/>
        <v>6.1531932951410795E-3</v>
      </c>
      <c r="M788" s="225"/>
      <c r="N788" s="1319"/>
      <c r="O788" s="1319"/>
      <c r="P788" s="1319"/>
      <c r="Q788" s="35">
        <v>43468</v>
      </c>
      <c r="R788" s="36">
        <v>2.5600000000000001E-2</v>
      </c>
      <c r="S788" s="37">
        <v>2.3700000000000002E-2</v>
      </c>
    </row>
    <row r="789" spans="1:19" x14ac:dyDescent="0.2">
      <c r="A789" s="1"/>
      <c r="B789" s="13">
        <v>44568</v>
      </c>
      <c r="C789" s="14">
        <v>282.77999999999997</v>
      </c>
      <c r="D789" s="15">
        <v>287694</v>
      </c>
      <c r="E789" s="14">
        <v>294.13</v>
      </c>
      <c r="F789" s="14">
        <v>297.57249999999999</v>
      </c>
      <c r="G789" s="16">
        <v>282.33999999999997</v>
      </c>
      <c r="H789" s="69">
        <f t="shared" si="27"/>
        <v>-4.0675781117481491E-2</v>
      </c>
      <c r="M789" s="225"/>
      <c r="N789" s="1319"/>
      <c r="O789" s="1319"/>
      <c r="P789" s="1319"/>
      <c r="Q789" s="35">
        <v>43469</v>
      </c>
      <c r="R789" s="36">
        <v>2.6699999999999998E-2</v>
      </c>
      <c r="S789" s="37">
        <v>2.4900000000000002E-2</v>
      </c>
    </row>
    <row r="790" spans="1:19" x14ac:dyDescent="0.2">
      <c r="A790" s="1"/>
      <c r="B790" s="13">
        <v>44567</v>
      </c>
      <c r="C790" s="14">
        <v>294.77</v>
      </c>
      <c r="D790" s="15">
        <v>276072</v>
      </c>
      <c r="E790" s="14">
        <v>295.89</v>
      </c>
      <c r="F790" s="14">
        <v>298.39999999999998</v>
      </c>
      <c r="G790" s="16">
        <v>290.75959999999998</v>
      </c>
      <c r="H790" s="69">
        <f t="shared" si="27"/>
        <v>7.4851322715154822E-3</v>
      </c>
      <c r="M790" s="225"/>
      <c r="N790" s="1319"/>
      <c r="O790" s="1319"/>
      <c r="P790" s="1319"/>
      <c r="Q790" s="35">
        <v>43472</v>
      </c>
      <c r="R790" s="36">
        <v>2.7000000000000003E-2</v>
      </c>
      <c r="S790" s="37">
        <v>2.53E-2</v>
      </c>
    </row>
    <row r="791" spans="1:19" x14ac:dyDescent="0.2">
      <c r="A791" s="1"/>
      <c r="B791" s="13">
        <v>44566</v>
      </c>
      <c r="C791" s="14">
        <v>292.58</v>
      </c>
      <c r="D791" s="15">
        <v>430812</v>
      </c>
      <c r="E791" s="14">
        <v>314.29000000000002</v>
      </c>
      <c r="F791" s="14">
        <v>315.39999999999998</v>
      </c>
      <c r="G791" s="16">
        <v>291.08</v>
      </c>
      <c r="H791" s="69">
        <f t="shared" si="27"/>
        <v>-7.9444986313437993E-2</v>
      </c>
      <c r="M791" s="225"/>
      <c r="N791" s="1319"/>
      <c r="O791" s="1319"/>
      <c r="P791" s="1319"/>
      <c r="Q791" s="35">
        <v>43473</v>
      </c>
      <c r="R791" s="36">
        <v>2.7300000000000001E-2</v>
      </c>
      <c r="S791" s="37">
        <v>2.58E-2</v>
      </c>
    </row>
    <row r="792" spans="1:19" x14ac:dyDescent="0.2">
      <c r="A792" s="1"/>
      <c r="B792" s="13">
        <v>44565</v>
      </c>
      <c r="C792" s="14">
        <v>317.83</v>
      </c>
      <c r="D792" s="15">
        <v>264703</v>
      </c>
      <c r="E792" s="14">
        <v>317.26</v>
      </c>
      <c r="F792" s="14">
        <v>322.27999999999997</v>
      </c>
      <c r="G792" s="16">
        <v>310.125</v>
      </c>
      <c r="H792" s="69">
        <f t="shared" si="27"/>
        <v>9.7213838675858089E-3</v>
      </c>
      <c r="M792" s="225"/>
      <c r="N792" s="1319"/>
      <c r="O792" s="1319"/>
      <c r="P792" s="1319"/>
      <c r="Q792" s="35">
        <v>43474</v>
      </c>
      <c r="R792" s="36">
        <v>2.7400000000000001E-2</v>
      </c>
      <c r="S792" s="37">
        <v>2.5699999999999997E-2</v>
      </c>
    </row>
    <row r="793" spans="1:19" x14ac:dyDescent="0.2">
      <c r="A793" s="1"/>
      <c r="B793" s="13">
        <v>44564</v>
      </c>
      <c r="C793" s="14">
        <v>314.77</v>
      </c>
      <c r="D793" s="15">
        <v>314983</v>
      </c>
      <c r="E793" s="14">
        <v>336.44</v>
      </c>
      <c r="F793" s="14">
        <v>342.99</v>
      </c>
      <c r="G793" s="16">
        <v>310.85610000000003</v>
      </c>
      <c r="H793" s="69">
        <f t="shared" si="27"/>
        <v>-6.6047532860576186E-2</v>
      </c>
      <c r="M793" s="225"/>
      <c r="N793" s="1319"/>
      <c r="O793" s="1319"/>
      <c r="P793" s="1319"/>
      <c r="Q793" s="35">
        <v>43475</v>
      </c>
      <c r="R793" s="36">
        <v>2.7400000000000001E-2</v>
      </c>
      <c r="S793" s="37">
        <v>2.5600000000000001E-2</v>
      </c>
    </row>
    <row r="794" spans="1:19" x14ac:dyDescent="0.2">
      <c r="A794" s="1"/>
      <c r="B794" s="13">
        <v>44561</v>
      </c>
      <c r="C794" s="14">
        <v>337.03</v>
      </c>
      <c r="D794" s="15">
        <v>236505</v>
      </c>
      <c r="E794" s="14">
        <v>331.48</v>
      </c>
      <c r="F794" s="14">
        <v>339.3</v>
      </c>
      <c r="G794" s="16">
        <v>330.4468</v>
      </c>
      <c r="H794" s="69">
        <f t="shared" si="27"/>
        <v>1.2588631174137666E-2</v>
      </c>
      <c r="M794" s="225"/>
      <c r="N794" s="1319"/>
      <c r="O794" s="1319"/>
      <c r="P794" s="1319"/>
      <c r="Q794" s="35">
        <v>43476</v>
      </c>
      <c r="R794" s="36">
        <v>2.7099999999999999E-2</v>
      </c>
      <c r="S794" s="37">
        <v>2.52E-2</v>
      </c>
    </row>
    <row r="795" spans="1:19" x14ac:dyDescent="0.2">
      <c r="A795" s="1"/>
      <c r="B795" s="13">
        <v>44560</v>
      </c>
      <c r="C795" s="14">
        <v>332.84</v>
      </c>
      <c r="D795" s="15">
        <v>137670</v>
      </c>
      <c r="E795" s="14">
        <v>336</v>
      </c>
      <c r="F795" s="14">
        <v>340.81</v>
      </c>
      <c r="G795" s="16">
        <v>332.63</v>
      </c>
      <c r="H795" s="69">
        <f t="shared" si="27"/>
        <v>-7.6622640946901743E-3</v>
      </c>
      <c r="M795" s="225"/>
      <c r="N795" s="1319"/>
      <c r="O795" s="1319"/>
      <c r="P795" s="1319"/>
      <c r="Q795" s="35">
        <v>43479</v>
      </c>
      <c r="R795" s="36">
        <v>2.7099999999999999E-2</v>
      </c>
      <c r="S795" s="37">
        <v>2.53E-2</v>
      </c>
    </row>
    <row r="796" spans="1:19" x14ac:dyDescent="0.2">
      <c r="A796" s="1"/>
      <c r="B796" s="13">
        <v>44559</v>
      </c>
      <c r="C796" s="14">
        <v>335.41</v>
      </c>
      <c r="D796" s="15">
        <v>127453</v>
      </c>
      <c r="E796" s="14">
        <v>330.82</v>
      </c>
      <c r="F796" s="14">
        <v>336.97</v>
      </c>
      <c r="G796" s="16">
        <v>328.53</v>
      </c>
      <c r="H796" s="69">
        <f t="shared" si="27"/>
        <v>1.5809079620824562E-2</v>
      </c>
      <c r="M796" s="225"/>
      <c r="N796" s="1319"/>
      <c r="O796" s="1319"/>
      <c r="P796" s="1319"/>
      <c r="Q796" s="35">
        <v>43480</v>
      </c>
      <c r="R796" s="36">
        <v>2.7200000000000002E-2</v>
      </c>
      <c r="S796" s="37">
        <v>2.53E-2</v>
      </c>
    </row>
    <row r="797" spans="1:19" x14ac:dyDescent="0.2">
      <c r="A797" s="1"/>
      <c r="B797" s="13">
        <v>44558</v>
      </c>
      <c r="C797" s="14">
        <v>330.19</v>
      </c>
      <c r="D797" s="15">
        <v>163581</v>
      </c>
      <c r="E797" s="14">
        <v>333.05</v>
      </c>
      <c r="F797" s="14">
        <v>336.8</v>
      </c>
      <c r="G797" s="16">
        <v>327.77</v>
      </c>
      <c r="H797" s="69">
        <f t="shared" si="27"/>
        <v>-8.5872992043236618E-3</v>
      </c>
      <c r="M797" s="225"/>
      <c r="N797" s="1319"/>
      <c r="O797" s="1319"/>
      <c r="P797" s="1319"/>
      <c r="Q797" s="35">
        <v>43481</v>
      </c>
      <c r="R797" s="36">
        <v>2.7300000000000001E-2</v>
      </c>
      <c r="S797" s="37">
        <v>2.5399999999999999E-2</v>
      </c>
    </row>
    <row r="798" spans="1:19" x14ac:dyDescent="0.2">
      <c r="A798" s="1"/>
      <c r="B798" s="13">
        <v>44557</v>
      </c>
      <c r="C798" s="14">
        <v>333.05</v>
      </c>
      <c r="D798" s="15">
        <v>195526</v>
      </c>
      <c r="E798" s="14">
        <v>323.8</v>
      </c>
      <c r="F798" s="14">
        <v>335.35</v>
      </c>
      <c r="G798" s="16">
        <v>323.8</v>
      </c>
      <c r="H798" s="69">
        <f t="shared" si="27"/>
        <v>2.9425401044725463E-2</v>
      </c>
      <c r="M798" s="225"/>
      <c r="N798" s="1319"/>
      <c r="O798" s="1319"/>
      <c r="P798" s="1319"/>
      <c r="Q798" s="35">
        <v>43482</v>
      </c>
      <c r="R798" s="36">
        <v>2.75E-2</v>
      </c>
      <c r="S798" s="37">
        <v>2.58E-2</v>
      </c>
    </row>
    <row r="799" spans="1:19" x14ac:dyDescent="0.2">
      <c r="A799" s="1"/>
      <c r="B799" s="13">
        <v>44553</v>
      </c>
      <c r="C799" s="14">
        <v>323.52999999999997</v>
      </c>
      <c r="D799" s="15">
        <v>140359</v>
      </c>
      <c r="E799" s="14">
        <v>315.37</v>
      </c>
      <c r="F799" s="14">
        <v>325.17500000000001</v>
      </c>
      <c r="G799" s="16">
        <v>315.37</v>
      </c>
      <c r="H799" s="69">
        <f t="shared" si="27"/>
        <v>3.1138449770525156E-2</v>
      </c>
      <c r="M799" s="225"/>
      <c r="N799" s="1319"/>
      <c r="O799" s="1319"/>
      <c r="P799" s="1319"/>
      <c r="Q799" s="35">
        <v>43483</v>
      </c>
      <c r="R799" s="36">
        <v>2.7900000000000001E-2</v>
      </c>
      <c r="S799" s="37">
        <v>2.6200000000000001E-2</v>
      </c>
    </row>
    <row r="800" spans="1:19" x14ac:dyDescent="0.2">
      <c r="A800" s="1"/>
      <c r="B800" s="13">
        <v>44552</v>
      </c>
      <c r="C800" s="14">
        <v>313.76</v>
      </c>
      <c r="D800" s="15">
        <v>157282</v>
      </c>
      <c r="E800" s="14">
        <v>315.02</v>
      </c>
      <c r="F800" s="14">
        <v>317.39</v>
      </c>
      <c r="G800" s="16">
        <v>310.04000000000002</v>
      </c>
      <c r="H800" s="69">
        <f t="shared" si="27"/>
        <v>-3.999746047869901E-3</v>
      </c>
      <c r="M800" s="225"/>
      <c r="N800" s="1319"/>
      <c r="O800" s="1319"/>
      <c r="P800" s="1319"/>
      <c r="Q800" s="35">
        <v>43487</v>
      </c>
      <c r="R800" s="36">
        <v>2.7400000000000001E-2</v>
      </c>
      <c r="S800" s="37">
        <v>2.5699999999999997E-2</v>
      </c>
    </row>
    <row r="801" spans="1:19" x14ac:dyDescent="0.2">
      <c r="A801" s="1"/>
      <c r="B801" s="13">
        <v>44551</v>
      </c>
      <c r="C801" s="14">
        <v>315.02</v>
      </c>
      <c r="D801" s="15">
        <v>190323</v>
      </c>
      <c r="E801" s="14">
        <v>304.2</v>
      </c>
      <c r="F801" s="14">
        <v>315.97500000000002</v>
      </c>
      <c r="G801" s="16">
        <v>302.55500000000001</v>
      </c>
      <c r="H801" s="69">
        <f t="shared" si="27"/>
        <v>4.4911768608199454E-2</v>
      </c>
      <c r="M801" s="225"/>
      <c r="N801" s="1319"/>
      <c r="O801" s="1319"/>
      <c r="P801" s="1319"/>
      <c r="Q801" s="35">
        <v>43488</v>
      </c>
      <c r="R801" s="36">
        <v>2.76E-2</v>
      </c>
      <c r="S801" s="37">
        <v>2.5899999999999999E-2</v>
      </c>
    </row>
    <row r="802" spans="1:19" x14ac:dyDescent="0.2">
      <c r="A802" s="1"/>
      <c r="B802" s="13">
        <v>44550</v>
      </c>
      <c r="C802" s="14">
        <v>301.48</v>
      </c>
      <c r="D802" s="15">
        <v>267394</v>
      </c>
      <c r="E802" s="14">
        <v>299.5</v>
      </c>
      <c r="F802" s="14">
        <v>303.98</v>
      </c>
      <c r="G802" s="16">
        <v>288.23</v>
      </c>
      <c r="H802" s="69">
        <f t="shared" si="27"/>
        <v>-1.1638199521358361E-2</v>
      </c>
      <c r="M802" s="225"/>
      <c r="N802" s="1319"/>
      <c r="O802" s="1319"/>
      <c r="P802" s="1319"/>
      <c r="Q802" s="35">
        <v>43489</v>
      </c>
      <c r="R802" s="36">
        <v>2.7200000000000002E-2</v>
      </c>
      <c r="S802" s="37">
        <v>2.5499999999999998E-2</v>
      </c>
    </row>
    <row r="803" spans="1:19" x14ac:dyDescent="0.2">
      <c r="A803" s="1"/>
      <c r="B803" s="13">
        <v>44547</v>
      </c>
      <c r="C803" s="14">
        <v>305.02999999999997</v>
      </c>
      <c r="D803" s="15">
        <v>481963</v>
      </c>
      <c r="E803" s="14">
        <v>310.08999999999997</v>
      </c>
      <c r="F803" s="14">
        <v>313.85000000000002</v>
      </c>
      <c r="G803" s="16">
        <v>301.35000000000002</v>
      </c>
      <c r="H803" s="69">
        <f t="shared" si="27"/>
        <v>-1.9133063219499813E-2</v>
      </c>
      <c r="M803" s="225"/>
      <c r="N803" s="1319"/>
      <c r="O803" s="1319"/>
      <c r="P803" s="1319"/>
      <c r="Q803" s="35">
        <v>43490</v>
      </c>
      <c r="R803" s="36">
        <v>2.76E-2</v>
      </c>
      <c r="S803" s="37">
        <v>2.5899999999999999E-2</v>
      </c>
    </row>
    <row r="804" spans="1:19" x14ac:dyDescent="0.2">
      <c r="A804" s="1"/>
      <c r="B804" s="13">
        <v>44546</v>
      </c>
      <c r="C804" s="14">
        <v>310.98</v>
      </c>
      <c r="D804" s="15">
        <v>361896</v>
      </c>
      <c r="E804" s="14">
        <v>336.42</v>
      </c>
      <c r="F804" s="14">
        <v>337.96</v>
      </c>
      <c r="G804" s="16">
        <v>309.07</v>
      </c>
      <c r="H804" s="69">
        <f t="shared" si="27"/>
        <v>-5.0703623431728517E-2</v>
      </c>
      <c r="M804" s="225"/>
      <c r="N804" s="1319"/>
      <c r="O804" s="1319"/>
      <c r="P804" s="1319"/>
      <c r="Q804" s="35">
        <v>43493</v>
      </c>
      <c r="R804" s="36">
        <v>2.75E-2</v>
      </c>
      <c r="S804" s="37">
        <v>2.58E-2</v>
      </c>
    </row>
    <row r="805" spans="1:19" x14ac:dyDescent="0.2">
      <c r="A805" s="1"/>
      <c r="B805" s="13">
        <v>44545</v>
      </c>
      <c r="C805" s="14">
        <v>327.58999999999997</v>
      </c>
      <c r="D805" s="15">
        <v>293474</v>
      </c>
      <c r="E805" s="14">
        <v>321.77</v>
      </c>
      <c r="F805" s="14">
        <v>327.99</v>
      </c>
      <c r="G805" s="16">
        <v>316.01</v>
      </c>
      <c r="H805" s="69">
        <f t="shared" si="27"/>
        <v>2.1452402481993094E-2</v>
      </c>
      <c r="M805" s="225"/>
      <c r="N805" s="1319"/>
      <c r="O805" s="1319"/>
      <c r="P805" s="1319"/>
      <c r="Q805" s="35">
        <v>43494</v>
      </c>
      <c r="R805" s="36">
        <v>2.7200000000000002E-2</v>
      </c>
      <c r="S805" s="37">
        <v>2.5499999999999998E-2</v>
      </c>
    </row>
    <row r="806" spans="1:19" x14ac:dyDescent="0.2">
      <c r="A806" s="1"/>
      <c r="B806" s="13">
        <v>44544</v>
      </c>
      <c r="C806" s="14">
        <v>320.70999999999998</v>
      </c>
      <c r="D806" s="15">
        <v>253602</v>
      </c>
      <c r="E806" s="14">
        <v>321.38</v>
      </c>
      <c r="F806" s="14">
        <v>328.15</v>
      </c>
      <c r="G806" s="16">
        <v>315.94060000000002</v>
      </c>
      <c r="H806" s="69">
        <f t="shared" si="27"/>
        <v>-1.6196815853247171E-2</v>
      </c>
      <c r="M806" s="225"/>
      <c r="N806" s="1319"/>
      <c r="O806" s="1319"/>
      <c r="P806" s="1319"/>
      <c r="Q806" s="35">
        <v>43495</v>
      </c>
      <c r="R806" s="36">
        <v>2.7000000000000003E-2</v>
      </c>
      <c r="S806" s="37">
        <v>2.4900000000000002E-2</v>
      </c>
    </row>
    <row r="807" spans="1:19" x14ac:dyDescent="0.2">
      <c r="A807" s="1"/>
      <c r="B807" s="13">
        <v>44543</v>
      </c>
      <c r="C807" s="14">
        <v>325.99</v>
      </c>
      <c r="D807" s="15">
        <v>200881</v>
      </c>
      <c r="E807" s="14">
        <v>333.21</v>
      </c>
      <c r="F807" s="14">
        <v>334.97</v>
      </c>
      <c r="G807" s="16">
        <v>325.14999999999998</v>
      </c>
      <c r="H807" s="69">
        <f t="shared" si="27"/>
        <v>-8.2747710748074521E-3</v>
      </c>
      <c r="M807" s="225"/>
      <c r="N807" s="1319"/>
      <c r="O807" s="1319"/>
      <c r="P807" s="1319"/>
      <c r="Q807" s="35">
        <v>43496</v>
      </c>
      <c r="R807" s="36">
        <v>2.63E-2</v>
      </c>
      <c r="S807" s="37">
        <v>2.4300000000000002E-2</v>
      </c>
    </row>
    <row r="808" spans="1:19" x14ac:dyDescent="0.2">
      <c r="A808" s="1"/>
      <c r="B808" s="13">
        <v>44540</v>
      </c>
      <c r="C808" s="14">
        <v>328.71</v>
      </c>
      <c r="D808" s="15">
        <v>161056</v>
      </c>
      <c r="E808" s="14">
        <v>329.95</v>
      </c>
      <c r="F808" s="14">
        <v>334.95</v>
      </c>
      <c r="G808" s="16">
        <v>327.17899999999997</v>
      </c>
      <c r="H808" s="69">
        <f t="shared" ref="H808:H871" si="28">C808/C809-1</f>
        <v>-3.3956886881120196E-3</v>
      </c>
      <c r="M808" s="225"/>
      <c r="N808" s="1319"/>
      <c r="O808" s="1319"/>
      <c r="P808" s="1319"/>
      <c r="Q808" s="35">
        <v>43497</v>
      </c>
      <c r="R808" s="36">
        <v>2.7000000000000003E-2</v>
      </c>
      <c r="S808" s="37">
        <v>2.5099999999999997E-2</v>
      </c>
    </row>
    <row r="809" spans="1:19" x14ac:dyDescent="0.2">
      <c r="A809" s="1"/>
      <c r="B809" s="13">
        <v>44539</v>
      </c>
      <c r="C809" s="14">
        <v>329.83</v>
      </c>
      <c r="D809" s="15">
        <v>194169</v>
      </c>
      <c r="E809" s="14">
        <v>332.03</v>
      </c>
      <c r="F809" s="14">
        <v>338.51499999999999</v>
      </c>
      <c r="G809" s="16">
        <v>328.92</v>
      </c>
      <c r="H809" s="69">
        <f t="shared" si="28"/>
        <v>-1.5438638978022556E-3</v>
      </c>
      <c r="M809" s="225"/>
      <c r="N809" s="1319"/>
      <c r="O809" s="1319"/>
      <c r="P809" s="1319"/>
      <c r="Q809" s="35">
        <v>43500</v>
      </c>
      <c r="R809" s="36">
        <v>2.7300000000000001E-2</v>
      </c>
      <c r="S809" s="37">
        <v>2.53E-2</v>
      </c>
    </row>
    <row r="810" spans="1:19" x14ac:dyDescent="0.2">
      <c r="A810" s="1"/>
      <c r="B810" s="13">
        <v>44538</v>
      </c>
      <c r="C810" s="14">
        <v>330.34</v>
      </c>
      <c r="D810" s="15">
        <v>227365</v>
      </c>
      <c r="E810" s="14">
        <v>336.15</v>
      </c>
      <c r="F810" s="14">
        <v>338</v>
      </c>
      <c r="G810" s="16">
        <v>327.14999999999998</v>
      </c>
      <c r="H810" s="69">
        <f t="shared" si="28"/>
        <v>-1.4792722934685476E-2</v>
      </c>
      <c r="M810" s="225"/>
      <c r="N810" s="1319"/>
      <c r="O810" s="1319"/>
      <c r="P810" s="1319"/>
      <c r="Q810" s="35">
        <v>43501</v>
      </c>
      <c r="R810" s="36">
        <v>2.7099999999999999E-2</v>
      </c>
      <c r="S810" s="37">
        <v>2.5099999999999997E-2</v>
      </c>
    </row>
    <row r="811" spans="1:19" x14ac:dyDescent="0.2">
      <c r="A811" s="1"/>
      <c r="B811" s="13">
        <v>44537</v>
      </c>
      <c r="C811" s="14">
        <v>335.3</v>
      </c>
      <c r="D811" s="15">
        <v>422540</v>
      </c>
      <c r="E811" s="14">
        <v>325.45999999999998</v>
      </c>
      <c r="F811" s="14">
        <v>344.44499999999999</v>
      </c>
      <c r="G811" s="16">
        <v>320.45999999999998</v>
      </c>
      <c r="H811" s="69">
        <f t="shared" si="28"/>
        <v>5.1723597126815291E-2</v>
      </c>
      <c r="M811" s="225"/>
      <c r="N811" s="1319"/>
      <c r="O811" s="1319"/>
      <c r="P811" s="1319"/>
      <c r="Q811" s="35">
        <v>43502</v>
      </c>
      <c r="R811" s="36">
        <v>2.7000000000000003E-2</v>
      </c>
      <c r="S811" s="37">
        <v>2.5000000000000001E-2</v>
      </c>
    </row>
    <row r="812" spans="1:19" x14ac:dyDescent="0.2">
      <c r="A812" s="1"/>
      <c r="B812" s="13">
        <v>44536</v>
      </c>
      <c r="C812" s="14">
        <v>318.81</v>
      </c>
      <c r="D812" s="15">
        <v>237002</v>
      </c>
      <c r="E812" s="14">
        <v>322.99</v>
      </c>
      <c r="F812" s="14">
        <v>322.99</v>
      </c>
      <c r="G812" s="16">
        <v>312.35000000000002</v>
      </c>
      <c r="H812" s="69">
        <f t="shared" si="28"/>
        <v>4.3932594847340134E-4</v>
      </c>
      <c r="M812" s="225"/>
      <c r="N812" s="1319"/>
      <c r="O812" s="1319"/>
      <c r="P812" s="1319"/>
      <c r="Q812" s="35">
        <v>43503</v>
      </c>
      <c r="R812" s="36">
        <v>2.6499999999999999E-2</v>
      </c>
      <c r="S812" s="37">
        <v>2.46E-2</v>
      </c>
    </row>
    <row r="813" spans="1:19" x14ac:dyDescent="0.2">
      <c r="A813" s="1"/>
      <c r="B813" s="13">
        <v>44533</v>
      </c>
      <c r="C813" s="14">
        <v>318.67</v>
      </c>
      <c r="D813" s="15">
        <v>206618</v>
      </c>
      <c r="E813" s="14">
        <v>321.63</v>
      </c>
      <c r="F813" s="14">
        <v>324.38</v>
      </c>
      <c r="G813" s="16">
        <v>313.97000000000003</v>
      </c>
      <c r="H813" s="69">
        <f t="shared" si="28"/>
        <v>-1.8480235544696688E-3</v>
      </c>
      <c r="M813" s="225"/>
      <c r="N813" s="1319"/>
      <c r="O813" s="1319"/>
      <c r="P813" s="1319"/>
      <c r="Q813" s="35">
        <v>43504</v>
      </c>
      <c r="R813" s="36">
        <v>2.63E-2</v>
      </c>
      <c r="S813" s="37">
        <v>2.4399999999999998E-2</v>
      </c>
    </row>
    <row r="814" spans="1:19" x14ac:dyDescent="0.2">
      <c r="A814" s="1"/>
      <c r="B814" s="13">
        <v>44532</v>
      </c>
      <c r="C814" s="14">
        <v>319.26</v>
      </c>
      <c r="D814" s="15">
        <v>385987</v>
      </c>
      <c r="E814" s="14">
        <v>315.95</v>
      </c>
      <c r="F814" s="14">
        <v>321.39</v>
      </c>
      <c r="G814" s="16">
        <v>312.17</v>
      </c>
      <c r="H814" s="69">
        <f t="shared" si="28"/>
        <v>9.8371026411514517E-3</v>
      </c>
      <c r="M814" s="225"/>
      <c r="N814" s="1319"/>
      <c r="O814" s="1319"/>
      <c r="P814" s="1319"/>
      <c r="Q814" s="35">
        <v>43507</v>
      </c>
      <c r="R814" s="36">
        <v>2.6499999999999999E-2</v>
      </c>
      <c r="S814" s="37">
        <v>2.4700000000000003E-2</v>
      </c>
    </row>
    <row r="815" spans="1:19" x14ac:dyDescent="0.2">
      <c r="A815" s="1"/>
      <c r="B815" s="13">
        <v>44531</v>
      </c>
      <c r="C815" s="14">
        <v>316.14999999999998</v>
      </c>
      <c r="D815" s="15">
        <v>225500</v>
      </c>
      <c r="E815" s="14">
        <v>340.45</v>
      </c>
      <c r="F815" s="14">
        <v>340.45</v>
      </c>
      <c r="G815" s="16">
        <v>316.01</v>
      </c>
      <c r="H815" s="69">
        <f t="shared" si="28"/>
        <v>-4.5383175312519008E-2</v>
      </c>
      <c r="M815" s="225"/>
      <c r="N815" s="1319"/>
      <c r="O815" s="1319"/>
      <c r="P815" s="1319"/>
      <c r="Q815" s="35">
        <v>43508</v>
      </c>
      <c r="R815" s="36">
        <v>2.6800000000000001E-2</v>
      </c>
      <c r="S815" s="37">
        <v>2.4900000000000002E-2</v>
      </c>
    </row>
    <row r="816" spans="1:19" x14ac:dyDescent="0.2">
      <c r="A816" s="1"/>
      <c r="B816" s="13">
        <v>44530</v>
      </c>
      <c r="C816" s="14">
        <v>331.18</v>
      </c>
      <c r="D816" s="15">
        <v>243278</v>
      </c>
      <c r="E816" s="14">
        <v>334.28</v>
      </c>
      <c r="F816" s="14">
        <v>334.53</v>
      </c>
      <c r="G816" s="16">
        <v>323.39</v>
      </c>
      <c r="H816" s="69">
        <f t="shared" si="28"/>
        <v>-1.1668506968277037E-2</v>
      </c>
      <c r="M816" s="225"/>
      <c r="N816" s="1319"/>
      <c r="O816" s="1319"/>
      <c r="P816" s="1319"/>
      <c r="Q816" s="35">
        <v>43509</v>
      </c>
      <c r="R816" s="36">
        <v>2.7099999999999999E-2</v>
      </c>
      <c r="S816" s="37">
        <v>2.53E-2</v>
      </c>
    </row>
    <row r="817" spans="1:19" x14ac:dyDescent="0.2">
      <c r="A817" s="1"/>
      <c r="B817" s="13">
        <v>44529</v>
      </c>
      <c r="C817" s="14">
        <v>335.09</v>
      </c>
      <c r="D817" s="15">
        <v>226795</v>
      </c>
      <c r="E817" s="14">
        <v>330.64</v>
      </c>
      <c r="F817" s="14">
        <v>343.59</v>
      </c>
      <c r="G817" s="16">
        <v>328.24</v>
      </c>
      <c r="H817" s="69">
        <f t="shared" si="28"/>
        <v>-2.203495816335721E-3</v>
      </c>
      <c r="M817" s="225"/>
      <c r="N817" s="1319"/>
      <c r="O817" s="1319"/>
      <c r="P817" s="1319"/>
      <c r="Q817" s="35">
        <v>43510</v>
      </c>
      <c r="R817" s="36">
        <v>2.6600000000000002E-2</v>
      </c>
      <c r="S817" s="37">
        <v>2.4799999999999999E-2</v>
      </c>
    </row>
    <row r="818" spans="1:19" x14ac:dyDescent="0.2">
      <c r="A818" s="1"/>
      <c r="B818" s="13">
        <v>44526</v>
      </c>
      <c r="C818" s="14">
        <v>335.83</v>
      </c>
      <c r="D818" s="15">
        <v>132555</v>
      </c>
      <c r="E818" s="14">
        <v>333.44</v>
      </c>
      <c r="F818" s="14">
        <v>341.52</v>
      </c>
      <c r="G818" s="16">
        <v>331.08</v>
      </c>
      <c r="H818" s="69">
        <f t="shared" si="28"/>
        <v>-2.4798908151116628E-2</v>
      </c>
      <c r="M818" s="225"/>
      <c r="N818" s="1319"/>
      <c r="O818" s="1319"/>
      <c r="P818" s="1319"/>
      <c r="Q818" s="35">
        <v>43511</v>
      </c>
      <c r="R818" s="36">
        <v>2.6600000000000002E-2</v>
      </c>
      <c r="S818" s="37">
        <v>2.4900000000000002E-2</v>
      </c>
    </row>
    <row r="819" spans="1:19" x14ac:dyDescent="0.2">
      <c r="A819" s="1"/>
      <c r="B819" s="13">
        <v>44524</v>
      </c>
      <c r="C819" s="14">
        <v>344.37</v>
      </c>
      <c r="D819" s="15">
        <v>333294</v>
      </c>
      <c r="E819" s="14">
        <v>341.07</v>
      </c>
      <c r="F819" s="14">
        <v>347.55</v>
      </c>
      <c r="G819" s="16">
        <v>336.11</v>
      </c>
      <c r="H819" s="69">
        <f t="shared" si="28"/>
        <v>-1.6235178152088636E-3</v>
      </c>
      <c r="M819" s="225"/>
      <c r="N819" s="1319"/>
      <c r="O819" s="1319"/>
      <c r="P819" s="1319"/>
      <c r="Q819" s="35">
        <v>43515</v>
      </c>
      <c r="R819" s="36">
        <v>2.6499999999999999E-2</v>
      </c>
      <c r="S819" s="37">
        <v>2.4700000000000003E-2</v>
      </c>
    </row>
    <row r="820" spans="1:19" x14ac:dyDescent="0.2">
      <c r="A820" s="1"/>
      <c r="B820" s="13">
        <v>44523</v>
      </c>
      <c r="C820" s="14">
        <v>344.93</v>
      </c>
      <c r="D820" s="15">
        <v>327280</v>
      </c>
      <c r="E820" s="14">
        <v>348.16</v>
      </c>
      <c r="F820" s="14">
        <v>357.08</v>
      </c>
      <c r="G820" s="16">
        <v>339.13</v>
      </c>
      <c r="H820" s="69">
        <f t="shared" si="28"/>
        <v>-1.3922241280731829E-2</v>
      </c>
      <c r="M820" s="225"/>
      <c r="N820" s="1319"/>
      <c r="O820" s="1319"/>
      <c r="P820" s="1319"/>
      <c r="Q820" s="35">
        <v>43516</v>
      </c>
      <c r="R820" s="36">
        <v>2.6499999999999999E-2</v>
      </c>
      <c r="S820" s="37">
        <v>2.4700000000000003E-2</v>
      </c>
    </row>
    <row r="821" spans="1:19" x14ac:dyDescent="0.2">
      <c r="A821" s="1"/>
      <c r="B821" s="13">
        <v>44522</v>
      </c>
      <c r="C821" s="14">
        <v>349.8</v>
      </c>
      <c r="D821" s="15">
        <v>262211</v>
      </c>
      <c r="E821" s="14">
        <v>360.37</v>
      </c>
      <c r="F821" s="14">
        <v>361.39</v>
      </c>
      <c r="G821" s="16">
        <v>349.11099999999999</v>
      </c>
      <c r="H821" s="69">
        <f t="shared" si="28"/>
        <v>-2.4158901969536295E-2</v>
      </c>
      <c r="M821" s="225"/>
      <c r="N821" s="1319"/>
      <c r="O821" s="1319"/>
      <c r="P821" s="1319"/>
      <c r="Q821" s="35">
        <v>43517</v>
      </c>
      <c r="R821" s="36">
        <v>2.69E-2</v>
      </c>
      <c r="S821" s="37">
        <v>2.5099999999999997E-2</v>
      </c>
    </row>
    <row r="822" spans="1:19" x14ac:dyDescent="0.2">
      <c r="A822" s="1"/>
      <c r="B822" s="13">
        <v>44519</v>
      </c>
      <c r="C822" s="14">
        <v>358.46</v>
      </c>
      <c r="D822" s="15">
        <v>231977</v>
      </c>
      <c r="E822" s="14">
        <v>358.82</v>
      </c>
      <c r="F822" s="14">
        <v>362.46499999999997</v>
      </c>
      <c r="G822" s="16">
        <v>350.08</v>
      </c>
      <c r="H822" s="69">
        <f t="shared" si="28"/>
        <v>1.1199187565234414E-2</v>
      </c>
      <c r="M822" s="225"/>
      <c r="N822" s="1319"/>
      <c r="O822" s="1319"/>
      <c r="P822" s="1319"/>
      <c r="Q822" s="35">
        <v>43518</v>
      </c>
      <c r="R822" s="36">
        <v>2.6499999999999999E-2</v>
      </c>
      <c r="S822" s="37">
        <v>2.4700000000000003E-2</v>
      </c>
    </row>
    <row r="823" spans="1:19" x14ac:dyDescent="0.2">
      <c r="A823" s="1"/>
      <c r="B823" s="13">
        <v>44518</v>
      </c>
      <c r="C823" s="14">
        <v>354.49</v>
      </c>
      <c r="D823" s="15">
        <v>353045</v>
      </c>
      <c r="E823" s="14">
        <v>364.85</v>
      </c>
      <c r="F823" s="14">
        <v>365.06</v>
      </c>
      <c r="G823" s="16">
        <v>348.05</v>
      </c>
      <c r="H823" s="69">
        <f t="shared" si="28"/>
        <v>-2.7328851694333856E-2</v>
      </c>
      <c r="M823" s="225"/>
      <c r="N823" s="1319"/>
      <c r="O823" s="1319"/>
      <c r="P823" s="1319"/>
      <c r="Q823" s="35">
        <v>43521</v>
      </c>
      <c r="R823" s="36">
        <v>2.6699999999999998E-2</v>
      </c>
      <c r="S823" s="37">
        <v>2.4799999999999999E-2</v>
      </c>
    </row>
    <row r="824" spans="1:19" x14ac:dyDescent="0.2">
      <c r="A824" s="1"/>
      <c r="B824" s="13">
        <v>44517</v>
      </c>
      <c r="C824" s="14">
        <v>364.45</v>
      </c>
      <c r="D824" s="15">
        <v>323742</v>
      </c>
      <c r="E824" s="14">
        <v>358.69</v>
      </c>
      <c r="F824" s="14">
        <v>365.5</v>
      </c>
      <c r="G824" s="16">
        <v>352.81</v>
      </c>
      <c r="H824" s="69">
        <f t="shared" si="28"/>
        <v>1.8528869263875647E-2</v>
      </c>
      <c r="M824" s="225"/>
      <c r="N824" s="1319"/>
      <c r="O824" s="1319"/>
      <c r="P824" s="1319"/>
      <c r="Q824" s="35">
        <v>43522</v>
      </c>
      <c r="R824" s="36">
        <v>2.64E-2</v>
      </c>
      <c r="S824" s="37">
        <v>2.4500000000000001E-2</v>
      </c>
    </row>
    <row r="825" spans="1:19" x14ac:dyDescent="0.2">
      <c r="A825" s="1"/>
      <c r="B825" s="13">
        <v>44516</v>
      </c>
      <c r="C825" s="14">
        <v>357.82</v>
      </c>
      <c r="D825" s="15">
        <v>281067</v>
      </c>
      <c r="E825" s="14">
        <v>342.87</v>
      </c>
      <c r="F825" s="14">
        <v>358.33</v>
      </c>
      <c r="G825" s="16">
        <v>342.505</v>
      </c>
      <c r="H825" s="69">
        <f t="shared" si="28"/>
        <v>4.0900628345357237E-2</v>
      </c>
      <c r="M825" s="225"/>
      <c r="N825" s="1319"/>
      <c r="O825" s="1319"/>
      <c r="P825" s="1319"/>
      <c r="Q825" s="35">
        <v>43523</v>
      </c>
      <c r="R825" s="36">
        <v>2.69E-2</v>
      </c>
      <c r="S825" s="37">
        <v>2.4900000000000002E-2</v>
      </c>
    </row>
    <row r="826" spans="1:19" x14ac:dyDescent="0.2">
      <c r="A826" s="1"/>
      <c r="B826" s="13">
        <v>44515</v>
      </c>
      <c r="C826" s="14">
        <v>343.76</v>
      </c>
      <c r="D826" s="15">
        <v>192212</v>
      </c>
      <c r="E826" s="14">
        <v>346.98</v>
      </c>
      <c r="F826" s="14">
        <v>348.06</v>
      </c>
      <c r="G826" s="16">
        <v>339.9</v>
      </c>
      <c r="H826" s="69">
        <f t="shared" si="28"/>
        <v>-2.6112690767714497E-3</v>
      </c>
      <c r="M826" s="225"/>
      <c r="N826" s="1319"/>
      <c r="O826" s="1319"/>
      <c r="P826" s="1319"/>
      <c r="Q826" s="35">
        <v>43524</v>
      </c>
      <c r="R826" s="36">
        <v>2.7300000000000001E-2</v>
      </c>
      <c r="S826" s="37">
        <v>2.52E-2</v>
      </c>
    </row>
    <row r="827" spans="1:19" x14ac:dyDescent="0.2">
      <c r="A827" s="1"/>
      <c r="B827" s="13">
        <v>44512</v>
      </c>
      <c r="C827" s="14">
        <v>344.66</v>
      </c>
      <c r="D827" s="15">
        <v>336412</v>
      </c>
      <c r="E827" s="14">
        <v>341.19</v>
      </c>
      <c r="F827" s="14">
        <v>348.99</v>
      </c>
      <c r="G827" s="16">
        <v>340.2672</v>
      </c>
      <c r="H827" s="69">
        <f t="shared" si="28"/>
        <v>1.4899882214369775E-2</v>
      </c>
      <c r="M827" s="225"/>
      <c r="N827" s="1319"/>
      <c r="O827" s="1319"/>
      <c r="P827" s="1319"/>
      <c r="Q827" s="35">
        <v>43525</v>
      </c>
      <c r="R827" s="36">
        <v>2.76E-2</v>
      </c>
      <c r="S827" s="37">
        <v>2.5600000000000001E-2</v>
      </c>
    </row>
    <row r="828" spans="1:19" x14ac:dyDescent="0.2">
      <c r="A828" s="1"/>
      <c r="B828" s="13">
        <v>44511</v>
      </c>
      <c r="C828" s="14">
        <v>339.6</v>
      </c>
      <c r="D828" s="15">
        <v>211623</v>
      </c>
      <c r="E828" s="14">
        <v>335.25</v>
      </c>
      <c r="F828" s="14">
        <v>339.68</v>
      </c>
      <c r="G828" s="16">
        <v>333.62</v>
      </c>
      <c r="H828" s="69">
        <f t="shared" si="28"/>
        <v>1.9911703757095278E-2</v>
      </c>
      <c r="M828" s="225"/>
      <c r="N828" s="1319"/>
      <c r="O828" s="1319"/>
      <c r="P828" s="1319"/>
      <c r="Q828" s="35">
        <v>43528</v>
      </c>
      <c r="R828" s="36">
        <v>2.7200000000000002E-2</v>
      </c>
      <c r="S828" s="37">
        <v>2.53E-2</v>
      </c>
    </row>
    <row r="829" spans="1:19" x14ac:dyDescent="0.2">
      <c r="A829" s="1"/>
      <c r="B829" s="13">
        <v>44510</v>
      </c>
      <c r="C829" s="14">
        <v>332.97</v>
      </c>
      <c r="D829" s="15">
        <v>227328</v>
      </c>
      <c r="E829" s="14">
        <v>336.34</v>
      </c>
      <c r="F829" s="14">
        <v>340.56</v>
      </c>
      <c r="G829" s="16">
        <v>328.26</v>
      </c>
      <c r="H829" s="69">
        <f t="shared" si="28"/>
        <v>-1.9031906431370205E-2</v>
      </c>
      <c r="M829" s="225"/>
      <c r="N829" s="1319"/>
      <c r="O829" s="1319"/>
      <c r="P829" s="1319"/>
      <c r="Q829" s="35">
        <v>43529</v>
      </c>
      <c r="R829" s="36">
        <v>2.7200000000000002E-2</v>
      </c>
      <c r="S829" s="37">
        <v>2.53E-2</v>
      </c>
    </row>
    <row r="830" spans="1:19" x14ac:dyDescent="0.2">
      <c r="A830" s="1"/>
      <c r="B830" s="13">
        <v>44509</v>
      </c>
      <c r="C830" s="14">
        <v>339.43</v>
      </c>
      <c r="D830" s="15">
        <v>423368</v>
      </c>
      <c r="E830" s="14">
        <v>348.47</v>
      </c>
      <c r="F830" s="14">
        <v>352.33159999999998</v>
      </c>
      <c r="G830" s="16">
        <v>336.5</v>
      </c>
      <c r="H830" s="69">
        <f t="shared" si="28"/>
        <v>-3.5737621090309868E-2</v>
      </c>
      <c r="M830" s="225"/>
      <c r="N830" s="1319"/>
      <c r="O830" s="1319"/>
      <c r="P830" s="1319"/>
      <c r="Q830" s="35">
        <v>43530</v>
      </c>
      <c r="R830" s="36">
        <v>2.69E-2</v>
      </c>
      <c r="S830" s="37">
        <v>2.4900000000000002E-2</v>
      </c>
    </row>
    <row r="831" spans="1:19" x14ac:dyDescent="0.2">
      <c r="A831" s="1"/>
      <c r="B831" s="13">
        <v>44508</v>
      </c>
      <c r="C831" s="14">
        <v>352.01</v>
      </c>
      <c r="D831" s="15">
        <v>438098</v>
      </c>
      <c r="E831" s="14">
        <v>343.81</v>
      </c>
      <c r="F831" s="14">
        <v>352.92</v>
      </c>
      <c r="G831" s="16">
        <v>338.2</v>
      </c>
      <c r="H831" s="69">
        <f t="shared" si="28"/>
        <v>2.6657333683320239E-2</v>
      </c>
      <c r="M831" s="225"/>
      <c r="N831" s="1319"/>
      <c r="O831" s="1319"/>
      <c r="P831" s="1319"/>
      <c r="Q831" s="35">
        <v>43531</v>
      </c>
      <c r="R831" s="36">
        <v>2.64E-2</v>
      </c>
      <c r="S831" s="37">
        <v>2.4399999999999998E-2</v>
      </c>
    </row>
    <row r="832" spans="1:19" x14ac:dyDescent="0.2">
      <c r="A832" s="1"/>
      <c r="B832" s="13">
        <v>44505</v>
      </c>
      <c r="C832" s="14">
        <v>342.87</v>
      </c>
      <c r="D832" s="15">
        <v>417362</v>
      </c>
      <c r="E832" s="14">
        <v>354</v>
      </c>
      <c r="F832" s="14">
        <v>359.75</v>
      </c>
      <c r="G832" s="16">
        <v>332.49</v>
      </c>
      <c r="H832" s="69">
        <f t="shared" si="28"/>
        <v>-2.4274331246442737E-2</v>
      </c>
      <c r="M832" s="225"/>
      <c r="N832" s="1319"/>
      <c r="O832" s="1319"/>
      <c r="P832" s="1319"/>
      <c r="Q832" s="35">
        <v>43532</v>
      </c>
      <c r="R832" s="36">
        <v>2.6200000000000001E-2</v>
      </c>
      <c r="S832" s="37">
        <v>2.4199999999999999E-2</v>
      </c>
    </row>
    <row r="833" spans="1:19" x14ac:dyDescent="0.2">
      <c r="A833" s="1"/>
      <c r="B833" s="13">
        <v>44504</v>
      </c>
      <c r="C833" s="14">
        <v>351.4</v>
      </c>
      <c r="D833" s="15">
        <v>446944</v>
      </c>
      <c r="E833" s="14">
        <v>343.99</v>
      </c>
      <c r="F833" s="14">
        <v>354.62</v>
      </c>
      <c r="G833" s="16">
        <v>339.5</v>
      </c>
      <c r="H833" s="69">
        <f t="shared" si="28"/>
        <v>1.8786965093354757E-2</v>
      </c>
      <c r="M833" s="225"/>
      <c r="N833" s="1319"/>
      <c r="O833" s="1319"/>
      <c r="P833" s="1319"/>
      <c r="Q833" s="35">
        <v>43535</v>
      </c>
      <c r="R833" s="36">
        <v>2.64E-2</v>
      </c>
      <c r="S833" s="37">
        <v>2.4399999999999998E-2</v>
      </c>
    </row>
    <row r="834" spans="1:19" x14ac:dyDescent="0.2">
      <c r="A834" s="1"/>
      <c r="B834" s="13">
        <v>44503</v>
      </c>
      <c r="C834" s="14">
        <v>344.92</v>
      </c>
      <c r="D834" s="15">
        <v>462777</v>
      </c>
      <c r="E834" s="14">
        <v>332.88</v>
      </c>
      <c r="F834" s="14">
        <v>345.87</v>
      </c>
      <c r="G834" s="16">
        <v>330.29</v>
      </c>
      <c r="H834" s="69">
        <f t="shared" si="28"/>
        <v>3.0966044954567229E-2</v>
      </c>
      <c r="M834" s="225"/>
      <c r="N834" s="1319"/>
      <c r="O834" s="1319"/>
      <c r="P834" s="1319"/>
      <c r="Q834" s="35">
        <v>43536</v>
      </c>
      <c r="R834" s="36">
        <v>2.6099999999999998E-2</v>
      </c>
      <c r="S834" s="37">
        <v>2.41E-2</v>
      </c>
    </row>
    <row r="835" spans="1:19" x14ac:dyDescent="0.2">
      <c r="A835" s="1"/>
      <c r="B835" s="13">
        <v>44502</v>
      </c>
      <c r="C835" s="14">
        <v>334.56</v>
      </c>
      <c r="D835" s="15">
        <v>428797</v>
      </c>
      <c r="E835" s="14">
        <v>329.64</v>
      </c>
      <c r="F835" s="14">
        <v>341.39</v>
      </c>
      <c r="G835" s="16">
        <v>327.1567</v>
      </c>
      <c r="H835" s="69">
        <f t="shared" si="28"/>
        <v>1.9626965744239833E-2</v>
      </c>
      <c r="M835" s="225"/>
      <c r="N835" s="1319"/>
      <c r="O835" s="1319"/>
      <c r="P835" s="1319"/>
      <c r="Q835" s="35">
        <v>43537</v>
      </c>
      <c r="R835" s="36">
        <v>2.6099999999999998E-2</v>
      </c>
      <c r="S835" s="37">
        <v>2.4199999999999999E-2</v>
      </c>
    </row>
    <row r="836" spans="1:19" x14ac:dyDescent="0.2">
      <c r="A836" s="1"/>
      <c r="B836" s="13">
        <v>44501</v>
      </c>
      <c r="C836" s="14">
        <v>328.12</v>
      </c>
      <c r="D836" s="15">
        <v>368879</v>
      </c>
      <c r="E836" s="14">
        <v>315.41000000000003</v>
      </c>
      <c r="F836" s="14">
        <v>329.12</v>
      </c>
      <c r="G836" s="16">
        <v>311.79000000000002</v>
      </c>
      <c r="H836" s="69">
        <f t="shared" si="28"/>
        <v>4.9513817809621274E-2</v>
      </c>
      <c r="M836" s="225"/>
      <c r="N836" s="1319"/>
      <c r="O836" s="1319"/>
      <c r="P836" s="1319"/>
      <c r="Q836" s="35">
        <v>43538</v>
      </c>
      <c r="R836" s="36">
        <v>2.63E-2</v>
      </c>
      <c r="S836" s="37">
        <v>2.4300000000000002E-2</v>
      </c>
    </row>
    <row r="837" spans="1:19" x14ac:dyDescent="0.2">
      <c r="A837" s="1"/>
      <c r="B837" s="13">
        <v>44498</v>
      </c>
      <c r="C837" s="14">
        <v>312.64</v>
      </c>
      <c r="D837" s="15">
        <v>316809</v>
      </c>
      <c r="E837" s="14">
        <v>314.32</v>
      </c>
      <c r="F837" s="14">
        <v>315.83</v>
      </c>
      <c r="G837" s="16">
        <v>308.11</v>
      </c>
      <c r="H837" s="69">
        <f t="shared" si="28"/>
        <v>2.5011222984672177E-3</v>
      </c>
      <c r="M837" s="225"/>
      <c r="N837" s="1319"/>
      <c r="O837" s="1319"/>
      <c r="P837" s="1319"/>
      <c r="Q837" s="35">
        <v>43539</v>
      </c>
      <c r="R837" s="36">
        <v>2.5899999999999999E-2</v>
      </c>
      <c r="S837" s="37">
        <v>2.4E-2</v>
      </c>
    </row>
    <row r="838" spans="1:19" x14ac:dyDescent="0.2">
      <c r="A838" s="1"/>
      <c r="B838" s="13">
        <v>44497</v>
      </c>
      <c r="C838" s="14">
        <v>311.86</v>
      </c>
      <c r="D838" s="15">
        <v>613886</v>
      </c>
      <c r="E838" s="14">
        <v>296.8</v>
      </c>
      <c r="F838" s="14">
        <v>316.98500000000001</v>
      </c>
      <c r="G838" s="16">
        <v>291.50009999999997</v>
      </c>
      <c r="H838" s="69">
        <f t="shared" si="28"/>
        <v>0.13863229763773788</v>
      </c>
      <c r="M838" s="225"/>
      <c r="N838" s="1319"/>
      <c r="O838" s="1319"/>
      <c r="P838" s="1319"/>
      <c r="Q838" s="35">
        <v>43542</v>
      </c>
      <c r="R838" s="36">
        <v>2.6000000000000002E-2</v>
      </c>
      <c r="S838" s="37">
        <v>2.4199999999999999E-2</v>
      </c>
    </row>
    <row r="839" spans="1:19" x14ac:dyDescent="0.2">
      <c r="A839" s="1"/>
      <c r="B839" s="13">
        <v>44496</v>
      </c>
      <c r="C839" s="14">
        <v>273.89</v>
      </c>
      <c r="D839" s="15">
        <v>258957</v>
      </c>
      <c r="E839" s="14">
        <v>275.19</v>
      </c>
      <c r="F839" s="14">
        <v>280.05</v>
      </c>
      <c r="G839" s="16">
        <v>272.54000000000002</v>
      </c>
      <c r="H839" s="69">
        <f t="shared" si="28"/>
        <v>-7.8965479769623759E-3</v>
      </c>
      <c r="M839" s="225"/>
      <c r="N839" s="1319"/>
      <c r="O839" s="1319"/>
      <c r="P839" s="1319"/>
      <c r="Q839" s="35">
        <v>43543</v>
      </c>
      <c r="R839" s="36">
        <v>2.6099999999999998E-2</v>
      </c>
      <c r="S839" s="37">
        <v>2.4199999999999999E-2</v>
      </c>
    </row>
    <row r="840" spans="1:19" x14ac:dyDescent="0.2">
      <c r="A840" s="1"/>
      <c r="B840" s="13">
        <v>44495</v>
      </c>
      <c r="C840" s="14">
        <v>276.07</v>
      </c>
      <c r="D840" s="15">
        <v>169510</v>
      </c>
      <c r="E840" s="14">
        <v>277.42</v>
      </c>
      <c r="F840" s="14">
        <v>277.75</v>
      </c>
      <c r="G840" s="16">
        <v>273.16000000000003</v>
      </c>
      <c r="H840" s="69">
        <f t="shared" si="28"/>
        <v>4.2195627659959989E-3</v>
      </c>
      <c r="M840" s="225"/>
      <c r="N840" s="1319"/>
      <c r="O840" s="1319"/>
      <c r="P840" s="1319"/>
      <c r="Q840" s="35">
        <v>43544</v>
      </c>
      <c r="R840" s="36">
        <v>2.5399999999999999E-2</v>
      </c>
      <c r="S840" s="37">
        <v>2.3399999999999997E-2</v>
      </c>
    </row>
    <row r="841" spans="1:19" x14ac:dyDescent="0.2">
      <c r="A841" s="1"/>
      <c r="B841" s="13">
        <v>44494</v>
      </c>
      <c r="C841" s="14">
        <v>274.91000000000003</v>
      </c>
      <c r="D841" s="15">
        <v>185745</v>
      </c>
      <c r="E841" s="14">
        <v>272.74</v>
      </c>
      <c r="F841" s="14">
        <v>278.23</v>
      </c>
      <c r="G841" s="16">
        <v>271.36</v>
      </c>
      <c r="H841" s="69">
        <f t="shared" si="28"/>
        <v>1.140502556933165E-2</v>
      </c>
      <c r="M841" s="225"/>
      <c r="N841" s="1319"/>
      <c r="O841" s="1319"/>
      <c r="P841" s="1319"/>
      <c r="Q841" s="35">
        <v>43545</v>
      </c>
      <c r="R841" s="36">
        <v>2.5399999999999999E-2</v>
      </c>
      <c r="S841" s="37">
        <v>2.3399999999999997E-2</v>
      </c>
    </row>
    <row r="842" spans="1:19" x14ac:dyDescent="0.2">
      <c r="A842" s="1"/>
      <c r="B842" s="13">
        <v>44491</v>
      </c>
      <c r="C842" s="14">
        <v>271.81</v>
      </c>
      <c r="D842" s="15">
        <v>157428</v>
      </c>
      <c r="E842" s="14">
        <v>268.41000000000003</v>
      </c>
      <c r="F842" s="14">
        <v>273.66000000000003</v>
      </c>
      <c r="G842" s="16">
        <v>268.41000000000003</v>
      </c>
      <c r="H842" s="69">
        <f t="shared" si="28"/>
        <v>1.7595747070495271E-2</v>
      </c>
      <c r="M842" s="225"/>
      <c r="N842" s="1319"/>
      <c r="O842" s="1319"/>
      <c r="P842" s="1319"/>
      <c r="Q842" s="35">
        <v>43546</v>
      </c>
      <c r="R842" s="36">
        <v>2.4399999999999998E-2</v>
      </c>
      <c r="S842" s="37">
        <v>2.2400000000000003E-2</v>
      </c>
    </row>
    <row r="843" spans="1:19" x14ac:dyDescent="0.2">
      <c r="A843" s="1"/>
      <c r="B843" s="13">
        <v>44490</v>
      </c>
      <c r="C843" s="14">
        <v>267.11</v>
      </c>
      <c r="D843" s="15">
        <v>118095</v>
      </c>
      <c r="E843" s="14">
        <v>266.43</v>
      </c>
      <c r="F843" s="14">
        <v>269.9699</v>
      </c>
      <c r="G843" s="16">
        <v>266.12</v>
      </c>
      <c r="H843" s="69">
        <f t="shared" si="28"/>
        <v>2.326541333633525E-3</v>
      </c>
      <c r="M843" s="225"/>
      <c r="N843" s="1319"/>
      <c r="O843" s="1319"/>
      <c r="P843" s="1319"/>
      <c r="Q843" s="35">
        <v>43549</v>
      </c>
      <c r="R843" s="36">
        <v>2.4300000000000002E-2</v>
      </c>
      <c r="S843" s="37">
        <v>2.2099999999999998E-2</v>
      </c>
    </row>
    <row r="844" spans="1:19" x14ac:dyDescent="0.2">
      <c r="A844" s="1"/>
      <c r="B844" s="13">
        <v>44489</v>
      </c>
      <c r="C844" s="14">
        <v>266.49</v>
      </c>
      <c r="D844" s="15">
        <v>108957</v>
      </c>
      <c r="E844" s="14">
        <v>261.97000000000003</v>
      </c>
      <c r="F844" s="14">
        <v>267.08</v>
      </c>
      <c r="G844" s="16">
        <v>259.52</v>
      </c>
      <c r="H844" s="69">
        <f t="shared" si="28"/>
        <v>2.154329742783756E-2</v>
      </c>
      <c r="M844" s="225"/>
      <c r="N844" s="1319"/>
      <c r="O844" s="1319"/>
      <c r="P844" s="1319"/>
      <c r="Q844" s="35">
        <v>43550</v>
      </c>
      <c r="R844" s="36">
        <v>2.41E-2</v>
      </c>
      <c r="S844" s="37">
        <v>2.18E-2</v>
      </c>
    </row>
    <row r="845" spans="1:19" x14ac:dyDescent="0.2">
      <c r="A845" s="1"/>
      <c r="B845" s="13">
        <v>44488</v>
      </c>
      <c r="C845" s="14">
        <v>260.87</v>
      </c>
      <c r="D845" s="15">
        <v>110857</v>
      </c>
      <c r="E845" s="14">
        <v>266.60000000000002</v>
      </c>
      <c r="F845" s="14">
        <v>266.60000000000002</v>
      </c>
      <c r="G845" s="16">
        <v>260.26</v>
      </c>
      <c r="H845" s="69">
        <f t="shared" si="28"/>
        <v>-1.0469218222508792E-2</v>
      </c>
      <c r="M845" s="225"/>
      <c r="N845" s="1319"/>
      <c r="O845" s="1319"/>
      <c r="P845" s="1319"/>
      <c r="Q845" s="35">
        <v>43551</v>
      </c>
      <c r="R845" s="36">
        <v>2.3900000000000001E-2</v>
      </c>
      <c r="S845" s="37">
        <v>2.18E-2</v>
      </c>
    </row>
    <row r="846" spans="1:19" x14ac:dyDescent="0.2">
      <c r="A846" s="1"/>
      <c r="B846" s="13">
        <v>44487</v>
      </c>
      <c r="C846" s="14">
        <v>263.63</v>
      </c>
      <c r="D846" s="15">
        <v>158170</v>
      </c>
      <c r="E846" s="14">
        <v>261.5</v>
      </c>
      <c r="F846" s="14">
        <v>266.06</v>
      </c>
      <c r="G846" s="16">
        <v>260.46499999999997</v>
      </c>
      <c r="H846" s="69">
        <f t="shared" si="28"/>
        <v>7.914054136718196E-3</v>
      </c>
      <c r="M846" s="225"/>
      <c r="N846" s="1319"/>
      <c r="O846" s="1319"/>
      <c r="P846" s="1319"/>
      <c r="Q846" s="35">
        <v>43552</v>
      </c>
      <c r="R846" s="36">
        <v>2.3900000000000001E-2</v>
      </c>
      <c r="S846" s="37">
        <v>2.2000000000000002E-2</v>
      </c>
    </row>
    <row r="847" spans="1:19" x14ac:dyDescent="0.2">
      <c r="A847" s="1"/>
      <c r="B847" s="13">
        <v>44484</v>
      </c>
      <c r="C847" s="14">
        <v>261.56</v>
      </c>
      <c r="D847" s="15">
        <v>285649</v>
      </c>
      <c r="E847" s="14">
        <v>257.2</v>
      </c>
      <c r="F847" s="14">
        <v>264.42</v>
      </c>
      <c r="G847" s="16">
        <v>256.33</v>
      </c>
      <c r="H847" s="69">
        <f t="shared" si="28"/>
        <v>3.2813425468904311E-2</v>
      </c>
      <c r="M847" s="225"/>
      <c r="N847" s="1319"/>
      <c r="O847" s="1319"/>
      <c r="P847" s="1319"/>
      <c r="Q847" s="35">
        <v>43553</v>
      </c>
      <c r="R847" s="36">
        <v>2.41E-2</v>
      </c>
      <c r="S847" s="37">
        <v>2.23E-2</v>
      </c>
    </row>
    <row r="848" spans="1:19" x14ac:dyDescent="0.2">
      <c r="A848" s="1"/>
      <c r="B848" s="13">
        <v>44483</v>
      </c>
      <c r="C848" s="14">
        <v>253.25</v>
      </c>
      <c r="D848" s="15">
        <v>133168</v>
      </c>
      <c r="E848" s="14">
        <v>250.36</v>
      </c>
      <c r="F848" s="14">
        <v>253.39</v>
      </c>
      <c r="G848" s="16">
        <v>248.43</v>
      </c>
      <c r="H848" s="69">
        <f t="shared" si="28"/>
        <v>2.3770061042163615E-2</v>
      </c>
      <c r="M848" s="225"/>
      <c r="N848" s="1319"/>
      <c r="O848" s="1319"/>
      <c r="P848" s="1319"/>
      <c r="Q848" s="35">
        <v>43556</v>
      </c>
      <c r="R848" s="36">
        <v>2.4900000000000002E-2</v>
      </c>
      <c r="S848" s="37">
        <v>2.3099999999999999E-2</v>
      </c>
    </row>
    <row r="849" spans="1:19" x14ac:dyDescent="0.2">
      <c r="A849" s="1"/>
      <c r="B849" s="13">
        <v>44482</v>
      </c>
      <c r="C849" s="14">
        <v>247.37</v>
      </c>
      <c r="D849" s="15">
        <v>105796</v>
      </c>
      <c r="E849" s="14">
        <v>251.96</v>
      </c>
      <c r="F849" s="14">
        <v>252.5</v>
      </c>
      <c r="G849" s="16">
        <v>246.55</v>
      </c>
      <c r="H849" s="69">
        <f t="shared" si="28"/>
        <v>-1.5560331104743752E-2</v>
      </c>
      <c r="M849" s="225"/>
      <c r="N849" s="1319"/>
      <c r="O849" s="1319"/>
      <c r="P849" s="1319"/>
      <c r="Q849" s="35">
        <v>43557</v>
      </c>
      <c r="R849" s="36">
        <v>2.4799999999999999E-2</v>
      </c>
      <c r="S849" s="37">
        <v>2.2799999999999997E-2</v>
      </c>
    </row>
    <row r="850" spans="1:19" x14ac:dyDescent="0.2">
      <c r="A850" s="1"/>
      <c r="B850" s="13">
        <v>44481</v>
      </c>
      <c r="C850" s="14">
        <v>251.28</v>
      </c>
      <c r="D850" s="15">
        <v>122389</v>
      </c>
      <c r="E850" s="14">
        <v>254.81</v>
      </c>
      <c r="F850" s="14">
        <v>255.26499999999999</v>
      </c>
      <c r="G850" s="16">
        <v>250.97</v>
      </c>
      <c r="H850" s="69">
        <f t="shared" si="28"/>
        <v>-1.0085092971950815E-2</v>
      </c>
      <c r="M850" s="225"/>
      <c r="N850" s="1319"/>
      <c r="O850" s="1319"/>
      <c r="P850" s="1319"/>
      <c r="Q850" s="35">
        <v>43558</v>
      </c>
      <c r="R850" s="36">
        <v>2.52E-2</v>
      </c>
      <c r="S850" s="37">
        <v>2.3199999999999998E-2</v>
      </c>
    </row>
    <row r="851" spans="1:19" x14ac:dyDescent="0.2">
      <c r="A851" s="1"/>
      <c r="B851" s="13">
        <v>44480</v>
      </c>
      <c r="C851" s="14">
        <v>253.84</v>
      </c>
      <c r="D851" s="15">
        <v>80136</v>
      </c>
      <c r="E851" s="14">
        <v>254.5</v>
      </c>
      <c r="F851" s="14">
        <v>255.87</v>
      </c>
      <c r="G851" s="16">
        <v>251.8</v>
      </c>
      <c r="H851" s="69">
        <f t="shared" si="28"/>
        <v>-2.1620346711741512E-3</v>
      </c>
      <c r="M851" s="225"/>
      <c r="N851" s="1319"/>
      <c r="O851" s="1319"/>
      <c r="P851" s="1319"/>
      <c r="Q851" s="35">
        <v>43559</v>
      </c>
      <c r="R851" s="36">
        <v>2.5099999999999997E-2</v>
      </c>
      <c r="S851" s="37">
        <v>2.3199999999999998E-2</v>
      </c>
    </row>
    <row r="852" spans="1:19" x14ac:dyDescent="0.2">
      <c r="A852" s="1"/>
      <c r="B852" s="13">
        <v>44477</v>
      </c>
      <c r="C852" s="14">
        <v>254.39</v>
      </c>
      <c r="D852" s="15">
        <v>268247</v>
      </c>
      <c r="E852" s="14">
        <v>253.62</v>
      </c>
      <c r="F852" s="14">
        <v>255.69</v>
      </c>
      <c r="G852" s="16">
        <v>249.51</v>
      </c>
      <c r="H852" s="69">
        <f t="shared" si="28"/>
        <v>8.1639123370189637E-3</v>
      </c>
      <c r="M852" s="225"/>
      <c r="N852" s="1319"/>
      <c r="O852" s="1319"/>
      <c r="P852" s="1319"/>
      <c r="Q852" s="35">
        <v>43560</v>
      </c>
      <c r="R852" s="36">
        <v>2.5000000000000001E-2</v>
      </c>
      <c r="S852" s="37">
        <v>2.3099999999999999E-2</v>
      </c>
    </row>
    <row r="853" spans="1:19" x14ac:dyDescent="0.2">
      <c r="A853" s="1"/>
      <c r="B853" s="13">
        <v>44476</v>
      </c>
      <c r="C853" s="14">
        <v>252.33</v>
      </c>
      <c r="D853" s="15">
        <v>193923</v>
      </c>
      <c r="E853" s="14">
        <v>250.9</v>
      </c>
      <c r="F853" s="14">
        <v>256.38990000000001</v>
      </c>
      <c r="G853" s="16">
        <v>250.9</v>
      </c>
      <c r="H853" s="69">
        <f t="shared" si="28"/>
        <v>1.4106583072100332E-2</v>
      </c>
      <c r="M853" s="225"/>
      <c r="N853" s="1319"/>
      <c r="O853" s="1319"/>
      <c r="P853" s="1319"/>
      <c r="Q853" s="35">
        <v>43563</v>
      </c>
      <c r="R853" s="36">
        <v>2.52E-2</v>
      </c>
      <c r="S853" s="37">
        <v>2.3300000000000001E-2</v>
      </c>
    </row>
    <row r="854" spans="1:19" x14ac:dyDescent="0.2">
      <c r="A854" s="1"/>
      <c r="B854" s="13">
        <v>44475</v>
      </c>
      <c r="C854" s="14">
        <v>248.82</v>
      </c>
      <c r="D854" s="15">
        <v>226891</v>
      </c>
      <c r="E854" s="14">
        <v>241.11</v>
      </c>
      <c r="F854" s="14">
        <v>249.97</v>
      </c>
      <c r="G854" s="16">
        <v>240.935</v>
      </c>
      <c r="H854" s="69">
        <f t="shared" si="28"/>
        <v>2.1931986200098619E-2</v>
      </c>
      <c r="M854" s="225"/>
      <c r="N854" s="1319"/>
      <c r="O854" s="1319"/>
      <c r="P854" s="1319"/>
      <c r="Q854" s="35">
        <v>43564</v>
      </c>
      <c r="R854" s="36">
        <v>2.5099999999999997E-2</v>
      </c>
      <c r="S854" s="37">
        <v>2.3099999999999999E-2</v>
      </c>
    </row>
    <row r="855" spans="1:19" x14ac:dyDescent="0.2">
      <c r="A855" s="1"/>
      <c r="B855" s="13">
        <v>44474</v>
      </c>
      <c r="C855" s="14">
        <v>243.48</v>
      </c>
      <c r="D855" s="15">
        <v>171955</v>
      </c>
      <c r="E855" s="14">
        <v>240.4</v>
      </c>
      <c r="F855" s="14">
        <v>245.23</v>
      </c>
      <c r="G855" s="16">
        <v>235.64500000000001</v>
      </c>
      <c r="H855" s="69">
        <f t="shared" si="28"/>
        <v>3.8825838382114508E-2</v>
      </c>
      <c r="M855" s="225"/>
      <c r="N855" s="1319"/>
      <c r="O855" s="1319"/>
      <c r="P855" s="1319"/>
      <c r="Q855" s="35">
        <v>43565</v>
      </c>
      <c r="R855" s="36">
        <v>2.4799999999999999E-2</v>
      </c>
      <c r="S855" s="37">
        <v>2.2799999999999997E-2</v>
      </c>
    </row>
    <row r="856" spans="1:19" x14ac:dyDescent="0.2">
      <c r="A856" s="1"/>
      <c r="B856" s="13">
        <v>44473</v>
      </c>
      <c r="C856" s="14">
        <v>234.38</v>
      </c>
      <c r="D856" s="15">
        <v>224938</v>
      </c>
      <c r="E856" s="14">
        <v>242.88</v>
      </c>
      <c r="F856" s="14">
        <v>243.12</v>
      </c>
      <c r="G856" s="16">
        <v>232.3</v>
      </c>
      <c r="H856" s="69">
        <f t="shared" si="28"/>
        <v>-3.4161618659084292E-2</v>
      </c>
      <c r="M856" s="225"/>
      <c r="N856" s="1319"/>
      <c r="O856" s="1319"/>
      <c r="P856" s="1319"/>
      <c r="Q856" s="35">
        <v>43566</v>
      </c>
      <c r="R856" s="36">
        <v>2.5099999999999997E-2</v>
      </c>
      <c r="S856" s="37">
        <v>2.3099999999999999E-2</v>
      </c>
    </row>
    <row r="857" spans="1:19" x14ac:dyDescent="0.2">
      <c r="A857" s="1"/>
      <c r="B857" s="13">
        <v>44470</v>
      </c>
      <c r="C857" s="14">
        <v>242.67</v>
      </c>
      <c r="D857" s="15">
        <v>207139</v>
      </c>
      <c r="E857" s="14">
        <v>239.37</v>
      </c>
      <c r="F857" s="14">
        <v>244.5</v>
      </c>
      <c r="G857" s="16">
        <v>234.85</v>
      </c>
      <c r="H857" s="69">
        <f t="shared" si="28"/>
        <v>1.9493341175482071E-2</v>
      </c>
      <c r="M857" s="225"/>
      <c r="N857" s="1319"/>
      <c r="O857" s="1319"/>
      <c r="P857" s="1319"/>
      <c r="Q857" s="35">
        <v>43567</v>
      </c>
      <c r="R857" s="36">
        <v>2.5600000000000001E-2</v>
      </c>
      <c r="S857" s="37">
        <v>2.3799999999999998E-2</v>
      </c>
    </row>
    <row r="858" spans="1:19" x14ac:dyDescent="0.2">
      <c r="A858" s="1"/>
      <c r="B858" s="13">
        <v>44469</v>
      </c>
      <c r="C858" s="14">
        <v>238.03</v>
      </c>
      <c r="D858" s="15">
        <v>127761</v>
      </c>
      <c r="E858" s="14">
        <v>240.33</v>
      </c>
      <c r="F858" s="14">
        <v>242.55500000000001</v>
      </c>
      <c r="G858" s="16">
        <v>236.69</v>
      </c>
      <c r="H858" s="69">
        <f t="shared" si="28"/>
        <v>-1.7195101493038267E-3</v>
      </c>
      <c r="M858" s="225"/>
      <c r="N858" s="1319"/>
      <c r="O858" s="1319"/>
      <c r="P858" s="1319"/>
      <c r="Q858" s="35">
        <v>43570</v>
      </c>
      <c r="R858" s="36">
        <v>2.5499999999999998E-2</v>
      </c>
      <c r="S858" s="37">
        <v>2.3700000000000002E-2</v>
      </c>
    </row>
    <row r="859" spans="1:19" x14ac:dyDescent="0.2">
      <c r="A859" s="1"/>
      <c r="B859" s="13">
        <v>44468</v>
      </c>
      <c r="C859" s="14">
        <v>238.44</v>
      </c>
      <c r="D859" s="15">
        <v>106733</v>
      </c>
      <c r="E859" s="14">
        <v>243.33</v>
      </c>
      <c r="F859" s="14">
        <v>243.33</v>
      </c>
      <c r="G859" s="16">
        <v>237.32</v>
      </c>
      <c r="H859" s="69">
        <f t="shared" si="28"/>
        <v>-8.8951700058192973E-3</v>
      </c>
      <c r="M859" s="225"/>
      <c r="N859" s="1319"/>
      <c r="O859" s="1319"/>
      <c r="P859" s="1319"/>
      <c r="Q859" s="35">
        <v>43571</v>
      </c>
      <c r="R859" s="36">
        <v>2.6000000000000002E-2</v>
      </c>
      <c r="S859" s="37">
        <v>2.41E-2</v>
      </c>
    </row>
    <row r="860" spans="1:19" x14ac:dyDescent="0.2">
      <c r="A860" s="1"/>
      <c r="B860" s="13">
        <v>44467</v>
      </c>
      <c r="C860" s="14">
        <v>240.58</v>
      </c>
      <c r="D860" s="15">
        <v>125138</v>
      </c>
      <c r="E860" s="14">
        <v>246.84</v>
      </c>
      <c r="F860" s="14">
        <v>250.99</v>
      </c>
      <c r="G860" s="16">
        <v>240.37</v>
      </c>
      <c r="H860" s="69">
        <f t="shared" si="28"/>
        <v>-2.9919354838709666E-2</v>
      </c>
      <c r="M860" s="225"/>
      <c r="N860" s="1319"/>
      <c r="O860" s="1319"/>
      <c r="P860" s="1319"/>
      <c r="Q860" s="35">
        <v>43572</v>
      </c>
      <c r="R860" s="36">
        <v>2.5899999999999999E-2</v>
      </c>
      <c r="S860" s="37">
        <v>2.4E-2</v>
      </c>
    </row>
    <row r="861" spans="1:19" x14ac:dyDescent="0.2">
      <c r="A861" s="1"/>
      <c r="B861" s="13">
        <v>44466</v>
      </c>
      <c r="C861" s="14">
        <v>248</v>
      </c>
      <c r="D861" s="15">
        <v>147665</v>
      </c>
      <c r="E861" s="14">
        <v>242.92</v>
      </c>
      <c r="F861" s="14">
        <v>250.03049999999999</v>
      </c>
      <c r="G861" s="16">
        <v>242.92</v>
      </c>
      <c r="H861" s="69">
        <f t="shared" si="28"/>
        <v>1.9443416779709732E-2</v>
      </c>
      <c r="M861" s="225"/>
      <c r="N861" s="1319"/>
      <c r="O861" s="1319"/>
      <c r="P861" s="1319"/>
      <c r="Q861" s="35">
        <v>43573</v>
      </c>
      <c r="R861" s="36">
        <v>2.5699999999999997E-2</v>
      </c>
      <c r="S861" s="37">
        <v>2.3799999999999998E-2</v>
      </c>
    </row>
    <row r="862" spans="1:19" x14ac:dyDescent="0.2">
      <c r="A862" s="1"/>
      <c r="B862" s="13">
        <v>44463</v>
      </c>
      <c r="C862" s="14">
        <v>243.27</v>
      </c>
      <c r="D862" s="15">
        <v>100123</v>
      </c>
      <c r="E862" s="14">
        <v>241.58</v>
      </c>
      <c r="F862" s="14">
        <v>244.36</v>
      </c>
      <c r="G862" s="16">
        <v>239.98</v>
      </c>
      <c r="H862" s="69">
        <f t="shared" si="28"/>
        <v>-2.0549071181974465E-4</v>
      </c>
      <c r="M862" s="225"/>
      <c r="N862" s="1319"/>
      <c r="O862" s="1319"/>
      <c r="P862" s="1319"/>
      <c r="Q862" s="35">
        <v>43577</v>
      </c>
      <c r="R862" s="36">
        <v>2.5899999999999999E-2</v>
      </c>
      <c r="S862" s="37">
        <v>2.3900000000000001E-2</v>
      </c>
    </row>
    <row r="863" spans="1:19" x14ac:dyDescent="0.2">
      <c r="A863" s="1"/>
      <c r="B863" s="13">
        <v>44462</v>
      </c>
      <c r="C863" s="14">
        <v>243.32</v>
      </c>
      <c r="D863" s="15">
        <v>202350</v>
      </c>
      <c r="E863" s="14">
        <v>244.89</v>
      </c>
      <c r="F863" s="14">
        <v>246.63</v>
      </c>
      <c r="G863" s="16">
        <v>240.66499999999999</v>
      </c>
      <c r="H863" s="69">
        <f t="shared" si="28"/>
        <v>-4.1096453376132658E-5</v>
      </c>
      <c r="M863" s="225"/>
      <c r="N863" s="1319"/>
      <c r="O863" s="1319"/>
      <c r="P863" s="1319"/>
      <c r="Q863" s="35">
        <v>43578</v>
      </c>
      <c r="R863" s="36">
        <v>2.5699999999999997E-2</v>
      </c>
      <c r="S863" s="37">
        <v>2.3599999999999999E-2</v>
      </c>
    </row>
    <row r="864" spans="1:19" x14ac:dyDescent="0.2">
      <c r="A864" s="1"/>
      <c r="B864" s="13">
        <v>44461</v>
      </c>
      <c r="C864" s="14">
        <v>243.33</v>
      </c>
      <c r="D864" s="15">
        <v>135496</v>
      </c>
      <c r="E864" s="14">
        <v>246</v>
      </c>
      <c r="F864" s="14">
        <v>247.98</v>
      </c>
      <c r="G864" s="16">
        <v>242.98</v>
      </c>
      <c r="H864" s="69">
        <f t="shared" si="28"/>
        <v>-9.4443313657642802E-3</v>
      </c>
      <c r="M864" s="225"/>
      <c r="N864" s="1319"/>
      <c r="O864" s="1319"/>
      <c r="P864" s="1319"/>
      <c r="Q864" s="35">
        <v>43579</v>
      </c>
      <c r="R864" s="36">
        <v>2.53E-2</v>
      </c>
      <c r="S864" s="37">
        <v>2.3199999999999998E-2</v>
      </c>
    </row>
    <row r="865" spans="1:19" x14ac:dyDescent="0.2">
      <c r="A865" s="1"/>
      <c r="B865" s="13">
        <v>44460</v>
      </c>
      <c r="C865" s="14">
        <v>245.65</v>
      </c>
      <c r="D865" s="15">
        <v>155465</v>
      </c>
      <c r="E865" s="14">
        <v>245.94</v>
      </c>
      <c r="F865" s="14">
        <v>246.16</v>
      </c>
      <c r="G865" s="16">
        <v>237.46</v>
      </c>
      <c r="H865" s="69">
        <f t="shared" si="28"/>
        <v>1.1071781363187316E-2</v>
      </c>
      <c r="M865" s="225"/>
      <c r="N865" s="1319"/>
      <c r="O865" s="1319"/>
      <c r="P865" s="1319"/>
      <c r="Q865" s="35">
        <v>43580</v>
      </c>
      <c r="R865" s="36">
        <v>2.5399999999999999E-2</v>
      </c>
      <c r="S865" s="37">
        <v>2.3300000000000001E-2</v>
      </c>
    </row>
    <row r="866" spans="1:19" x14ac:dyDescent="0.2">
      <c r="A866" s="1"/>
      <c r="B866" s="13">
        <v>44459</v>
      </c>
      <c r="C866" s="14">
        <v>242.96</v>
      </c>
      <c r="D866" s="15">
        <v>152558</v>
      </c>
      <c r="E866" s="14">
        <v>238.75</v>
      </c>
      <c r="F866" s="14">
        <v>243.35</v>
      </c>
      <c r="G866" s="16">
        <v>235.14</v>
      </c>
      <c r="H866" s="69">
        <f t="shared" si="28"/>
        <v>-7.5568808463706283E-3</v>
      </c>
      <c r="M866" s="225"/>
      <c r="N866" s="1319"/>
      <c r="O866" s="1319"/>
      <c r="P866" s="1319"/>
      <c r="Q866" s="35">
        <v>43581</v>
      </c>
      <c r="R866" s="36">
        <v>2.5099999999999997E-2</v>
      </c>
      <c r="S866" s="37">
        <v>2.29E-2</v>
      </c>
    </row>
    <row r="867" spans="1:19" x14ac:dyDescent="0.2">
      <c r="A867" s="1"/>
      <c r="B867" s="13">
        <v>44456</v>
      </c>
      <c r="C867" s="14">
        <v>244.81</v>
      </c>
      <c r="D867" s="15">
        <v>381713</v>
      </c>
      <c r="E867" s="14">
        <v>249.22</v>
      </c>
      <c r="F867" s="14">
        <v>249.36</v>
      </c>
      <c r="G867" s="16">
        <v>242.71</v>
      </c>
      <c r="H867" s="69">
        <f t="shared" si="28"/>
        <v>-9.4278546572792443E-3</v>
      </c>
      <c r="M867" s="225"/>
      <c r="N867" s="1319"/>
      <c r="O867" s="1319"/>
      <c r="P867" s="1319"/>
      <c r="Q867" s="35">
        <v>43584</v>
      </c>
      <c r="R867" s="36">
        <v>2.5399999999999999E-2</v>
      </c>
      <c r="S867" s="37">
        <v>2.3199999999999998E-2</v>
      </c>
    </row>
    <row r="868" spans="1:19" x14ac:dyDescent="0.2">
      <c r="A868" s="1"/>
      <c r="B868" s="13">
        <v>44455</v>
      </c>
      <c r="C868" s="14">
        <v>247.14</v>
      </c>
      <c r="D868" s="15">
        <v>131320</v>
      </c>
      <c r="E868" s="14">
        <v>246.04</v>
      </c>
      <c r="F868" s="14">
        <v>248.67</v>
      </c>
      <c r="G868" s="16">
        <v>245.22</v>
      </c>
      <c r="H868" s="69">
        <f t="shared" si="28"/>
        <v>8.1997307551096021E-3</v>
      </c>
      <c r="M868" s="225"/>
      <c r="N868" s="1319"/>
      <c r="O868" s="1319"/>
      <c r="P868" s="1319"/>
      <c r="Q868" s="35">
        <v>43585</v>
      </c>
      <c r="R868" s="36">
        <v>2.5099999999999997E-2</v>
      </c>
      <c r="S868" s="37">
        <v>2.2799999999999997E-2</v>
      </c>
    </row>
    <row r="869" spans="1:19" x14ac:dyDescent="0.2">
      <c r="A869" s="1"/>
      <c r="B869" s="13">
        <v>44454</v>
      </c>
      <c r="C869" s="14">
        <v>245.13</v>
      </c>
      <c r="D869" s="15">
        <v>180887</v>
      </c>
      <c r="E869" s="14">
        <v>242.7</v>
      </c>
      <c r="F869" s="14">
        <v>245.69</v>
      </c>
      <c r="G869" s="16">
        <v>238.1</v>
      </c>
      <c r="H869" s="69">
        <f t="shared" si="28"/>
        <v>1.8531599285328548E-2</v>
      </c>
      <c r="M869" s="225"/>
      <c r="N869" s="1319"/>
      <c r="O869" s="1319"/>
      <c r="P869" s="1319"/>
      <c r="Q869" s="35">
        <v>43586</v>
      </c>
      <c r="R869" s="36">
        <v>2.52E-2</v>
      </c>
      <c r="S869" s="37">
        <v>2.3099999999999999E-2</v>
      </c>
    </row>
    <row r="870" spans="1:19" x14ac:dyDescent="0.2">
      <c r="A870" s="1"/>
      <c r="B870" s="13">
        <v>44453</v>
      </c>
      <c r="C870" s="14">
        <v>240.67</v>
      </c>
      <c r="D870" s="15">
        <v>144837</v>
      </c>
      <c r="E870" s="14">
        <v>244.98</v>
      </c>
      <c r="F870" s="14">
        <v>244.98</v>
      </c>
      <c r="G870" s="16">
        <v>239.22</v>
      </c>
      <c r="H870" s="69">
        <f t="shared" si="28"/>
        <v>-1.5342443335242595E-2</v>
      </c>
      <c r="M870" s="225"/>
      <c r="N870" s="1319"/>
      <c r="O870" s="1319"/>
      <c r="P870" s="1319"/>
      <c r="Q870" s="35">
        <v>43587</v>
      </c>
      <c r="R870" s="36">
        <v>2.5499999999999998E-2</v>
      </c>
      <c r="S870" s="37">
        <v>2.3399999999999997E-2</v>
      </c>
    </row>
    <row r="871" spans="1:19" x14ac:dyDescent="0.2">
      <c r="A871" s="1"/>
      <c r="B871" s="13">
        <v>44452</v>
      </c>
      <c r="C871" s="14">
        <v>244.42</v>
      </c>
      <c r="D871" s="15">
        <v>161246</v>
      </c>
      <c r="E871" s="14">
        <v>243.32</v>
      </c>
      <c r="F871" s="14">
        <v>246.98</v>
      </c>
      <c r="G871" s="16">
        <v>238.14</v>
      </c>
      <c r="H871" s="69">
        <f t="shared" si="28"/>
        <v>1.2258759214776704E-2</v>
      </c>
      <c r="M871" s="225"/>
      <c r="N871" s="1319"/>
      <c r="O871" s="1319"/>
      <c r="P871" s="1319"/>
      <c r="Q871" s="35">
        <v>43588</v>
      </c>
      <c r="R871" s="36">
        <v>2.5399999999999999E-2</v>
      </c>
      <c r="S871" s="37">
        <v>2.3300000000000001E-2</v>
      </c>
    </row>
    <row r="872" spans="1:19" x14ac:dyDescent="0.2">
      <c r="A872" s="1"/>
      <c r="B872" s="13">
        <v>44449</v>
      </c>
      <c r="C872" s="14">
        <v>241.46</v>
      </c>
      <c r="D872" s="15">
        <v>162697</v>
      </c>
      <c r="E872" s="14">
        <v>241.33</v>
      </c>
      <c r="F872" s="14">
        <v>244.56</v>
      </c>
      <c r="G872" s="16">
        <v>238.54</v>
      </c>
      <c r="H872" s="69">
        <f t="shared" ref="H872:H935" si="29">C872/C873-1</f>
        <v>1.0800401875418641E-2</v>
      </c>
      <c r="M872" s="225"/>
      <c r="N872" s="1319"/>
      <c r="O872" s="1319"/>
      <c r="P872" s="1319"/>
      <c r="Q872" s="35">
        <v>43591</v>
      </c>
      <c r="R872" s="36">
        <v>2.5099999999999997E-2</v>
      </c>
      <c r="S872" s="37">
        <v>2.3E-2</v>
      </c>
    </row>
    <row r="873" spans="1:19" x14ac:dyDescent="0.2">
      <c r="A873" s="1"/>
      <c r="B873" s="13">
        <v>44448</v>
      </c>
      <c r="C873" s="14">
        <v>238.88</v>
      </c>
      <c r="D873" s="15">
        <v>169064</v>
      </c>
      <c r="E873" s="14">
        <v>241.33</v>
      </c>
      <c r="F873" s="14">
        <v>242.65</v>
      </c>
      <c r="G873" s="16">
        <v>235.72499999999999</v>
      </c>
      <c r="H873" s="69">
        <f t="shared" si="29"/>
        <v>-1.019308858871304E-2</v>
      </c>
      <c r="M873" s="225"/>
      <c r="N873" s="1319"/>
      <c r="O873" s="1319"/>
      <c r="P873" s="1319"/>
      <c r="Q873" s="35">
        <v>43592</v>
      </c>
      <c r="R873" s="36">
        <v>2.4500000000000001E-2</v>
      </c>
      <c r="S873" s="37">
        <v>2.2499999999999999E-2</v>
      </c>
    </row>
    <row r="874" spans="1:19" x14ac:dyDescent="0.2">
      <c r="A874" s="1"/>
      <c r="B874" s="13">
        <v>44447</v>
      </c>
      <c r="C874" s="14">
        <v>241.34</v>
      </c>
      <c r="D874" s="15">
        <v>345968</v>
      </c>
      <c r="E874" s="14">
        <v>246.32</v>
      </c>
      <c r="F874" s="14">
        <v>246.32</v>
      </c>
      <c r="G874" s="16">
        <v>238.53</v>
      </c>
      <c r="H874" s="69">
        <f t="shared" si="29"/>
        <v>-2.1290401070602982E-2</v>
      </c>
      <c r="M874" s="225"/>
      <c r="N874" s="1319"/>
      <c r="O874" s="1319"/>
      <c r="P874" s="1319"/>
      <c r="Q874" s="35">
        <v>43593</v>
      </c>
      <c r="R874" s="36">
        <v>2.4900000000000002E-2</v>
      </c>
      <c r="S874" s="37">
        <v>2.2799999999999997E-2</v>
      </c>
    </row>
    <row r="875" spans="1:19" x14ac:dyDescent="0.2">
      <c r="A875" s="1"/>
      <c r="B875" s="13">
        <v>44446</v>
      </c>
      <c r="C875" s="14">
        <v>246.59</v>
      </c>
      <c r="D875" s="15">
        <v>134451</v>
      </c>
      <c r="E875" s="14">
        <v>248.7</v>
      </c>
      <c r="F875" s="14">
        <v>251</v>
      </c>
      <c r="G875" s="16">
        <v>246.21</v>
      </c>
      <c r="H875" s="69">
        <f t="shared" si="29"/>
        <v>-1.0354376530079756E-2</v>
      </c>
      <c r="M875" s="225"/>
      <c r="N875" s="1319"/>
      <c r="O875" s="1319"/>
      <c r="P875" s="1319"/>
      <c r="Q875" s="35">
        <v>43594</v>
      </c>
      <c r="R875" s="36">
        <v>2.4500000000000001E-2</v>
      </c>
      <c r="S875" s="37">
        <v>2.2499999999999999E-2</v>
      </c>
    </row>
    <row r="876" spans="1:19" x14ac:dyDescent="0.2">
      <c r="A876" s="1"/>
      <c r="B876" s="13">
        <v>44442</v>
      </c>
      <c r="C876" s="14">
        <v>249.17</v>
      </c>
      <c r="D876" s="15">
        <v>192149</v>
      </c>
      <c r="E876" s="14">
        <v>245.25</v>
      </c>
      <c r="F876" s="14">
        <v>251.45</v>
      </c>
      <c r="G876" s="16">
        <v>244.08</v>
      </c>
      <c r="H876" s="69">
        <f t="shared" si="29"/>
        <v>1.1282925443402814E-2</v>
      </c>
      <c r="M876" s="225"/>
      <c r="N876" s="1319"/>
      <c r="O876" s="1319"/>
      <c r="P876" s="1319"/>
      <c r="Q876" s="35">
        <v>43595</v>
      </c>
      <c r="R876" s="36">
        <v>2.4700000000000003E-2</v>
      </c>
      <c r="S876" s="37">
        <v>2.2599999999999999E-2</v>
      </c>
    </row>
    <row r="877" spans="1:19" x14ac:dyDescent="0.2">
      <c r="A877" s="1"/>
      <c r="B877" s="13">
        <v>44441</v>
      </c>
      <c r="C877" s="14">
        <v>246.39</v>
      </c>
      <c r="D877" s="15">
        <v>145092</v>
      </c>
      <c r="E877" s="14">
        <v>246.11</v>
      </c>
      <c r="F877" s="14">
        <v>248.78</v>
      </c>
      <c r="G877" s="16">
        <v>245.07</v>
      </c>
      <c r="H877" s="69">
        <f t="shared" si="29"/>
        <v>8.4724950884085271E-3</v>
      </c>
      <c r="M877" s="225"/>
      <c r="N877" s="1319"/>
      <c r="O877" s="1319"/>
      <c r="P877" s="1319"/>
      <c r="Q877" s="35">
        <v>43598</v>
      </c>
      <c r="R877" s="36">
        <v>2.4E-2</v>
      </c>
      <c r="S877" s="37">
        <v>2.18E-2</v>
      </c>
    </row>
    <row r="878" spans="1:19" x14ac:dyDescent="0.2">
      <c r="A878" s="1"/>
      <c r="B878" s="13">
        <v>44440</v>
      </c>
      <c r="C878" s="14">
        <v>244.32</v>
      </c>
      <c r="D878" s="15">
        <v>173926</v>
      </c>
      <c r="E878" s="14">
        <v>241.35</v>
      </c>
      <c r="F878" s="14">
        <v>246.65</v>
      </c>
      <c r="G878" s="16">
        <v>237.03</v>
      </c>
      <c r="H878" s="69">
        <f t="shared" si="29"/>
        <v>1.7448881855661513E-2</v>
      </c>
      <c r="M878" s="225"/>
      <c r="N878" s="1319"/>
      <c r="O878" s="1319"/>
      <c r="P878" s="1319"/>
      <c r="Q878" s="35">
        <v>43599</v>
      </c>
      <c r="R878" s="36">
        <v>2.4199999999999999E-2</v>
      </c>
      <c r="S878" s="37">
        <v>2.2000000000000002E-2</v>
      </c>
    </row>
    <row r="879" spans="1:19" x14ac:dyDescent="0.2">
      <c r="A879" s="1"/>
      <c r="B879" s="13">
        <v>44439</v>
      </c>
      <c r="C879" s="14">
        <v>240.13</v>
      </c>
      <c r="D879" s="15">
        <v>256312</v>
      </c>
      <c r="E879" s="14">
        <v>245.83</v>
      </c>
      <c r="F879" s="14">
        <v>245.83</v>
      </c>
      <c r="G879" s="16">
        <v>239.61500000000001</v>
      </c>
      <c r="H879" s="69">
        <f t="shared" si="29"/>
        <v>-2.0117522239451624E-2</v>
      </c>
      <c r="M879" s="225"/>
      <c r="N879" s="1319"/>
      <c r="O879" s="1319"/>
      <c r="P879" s="1319"/>
      <c r="Q879" s="35">
        <v>43600</v>
      </c>
      <c r="R879" s="36">
        <v>2.3700000000000002E-2</v>
      </c>
      <c r="S879" s="37">
        <v>2.1499999999999998E-2</v>
      </c>
    </row>
    <row r="880" spans="1:19" x14ac:dyDescent="0.2">
      <c r="A880" s="1"/>
      <c r="B880" s="13">
        <v>44438</v>
      </c>
      <c r="C880" s="14">
        <v>245.06</v>
      </c>
      <c r="D880" s="15">
        <v>297303</v>
      </c>
      <c r="E880" s="14">
        <v>240.2</v>
      </c>
      <c r="F880" s="14">
        <v>245.38</v>
      </c>
      <c r="G880" s="16">
        <v>237.19</v>
      </c>
      <c r="H880" s="69">
        <f t="shared" si="29"/>
        <v>1.9384359400998363E-2</v>
      </c>
      <c r="M880" s="225"/>
      <c r="N880" s="1319"/>
      <c r="O880" s="1319"/>
      <c r="P880" s="1319"/>
      <c r="Q880" s="35">
        <v>43601</v>
      </c>
      <c r="R880" s="36">
        <v>2.4E-2</v>
      </c>
      <c r="S880" s="37">
        <v>2.18E-2</v>
      </c>
    </row>
    <row r="881" spans="1:19" x14ac:dyDescent="0.2">
      <c r="A881" s="1"/>
      <c r="B881" s="13">
        <v>44435</v>
      </c>
      <c r="C881" s="14">
        <v>240.4</v>
      </c>
      <c r="D881" s="15">
        <v>6159883</v>
      </c>
      <c r="E881" s="14">
        <v>233.02</v>
      </c>
      <c r="F881" s="14">
        <v>244.655</v>
      </c>
      <c r="G881" s="16">
        <v>230.01</v>
      </c>
      <c r="H881" s="69">
        <f t="shared" si="29"/>
        <v>1.9119080927550991E-2</v>
      </c>
      <c r="M881" s="225"/>
      <c r="N881" s="1319"/>
      <c r="O881" s="1319"/>
      <c r="P881" s="1319"/>
      <c r="Q881" s="35">
        <v>43602</v>
      </c>
      <c r="R881" s="36">
        <v>2.3900000000000001E-2</v>
      </c>
      <c r="S881" s="37">
        <v>2.1700000000000001E-2</v>
      </c>
    </row>
    <row r="882" spans="1:19" x14ac:dyDescent="0.2">
      <c r="A882" s="1"/>
      <c r="B882" s="13">
        <v>44434</v>
      </c>
      <c r="C882" s="14">
        <v>235.89</v>
      </c>
      <c r="D882" s="15">
        <v>634007</v>
      </c>
      <c r="E882" s="14">
        <v>241.84</v>
      </c>
      <c r="F882" s="14">
        <v>243.12</v>
      </c>
      <c r="G882" s="16">
        <v>233.17500000000001</v>
      </c>
      <c r="H882" s="69">
        <f t="shared" si="29"/>
        <v>-2.0756361824899372E-2</v>
      </c>
      <c r="M882" s="225"/>
      <c r="N882" s="1319"/>
      <c r="O882" s="1319"/>
      <c r="P882" s="1319"/>
      <c r="Q882" s="35">
        <v>43605</v>
      </c>
      <c r="R882" s="36">
        <v>2.41E-2</v>
      </c>
      <c r="S882" s="37">
        <v>2.2099999999999998E-2</v>
      </c>
    </row>
    <row r="883" spans="1:19" x14ac:dyDescent="0.2">
      <c r="A883" s="1"/>
      <c r="B883" s="13">
        <v>44433</v>
      </c>
      <c r="C883" s="14">
        <v>240.89</v>
      </c>
      <c r="D883" s="15">
        <v>1086286</v>
      </c>
      <c r="E883" s="14">
        <v>238.92</v>
      </c>
      <c r="F883" s="14">
        <v>246.99</v>
      </c>
      <c r="G883" s="16">
        <v>234.64</v>
      </c>
      <c r="H883" s="69">
        <f t="shared" si="29"/>
        <v>-5.2136617612339675E-2</v>
      </c>
      <c r="M883" s="225"/>
      <c r="N883" s="1319"/>
      <c r="O883" s="1319"/>
      <c r="P883" s="1319"/>
      <c r="Q883" s="35">
        <v>43606</v>
      </c>
      <c r="R883" s="36">
        <v>2.4300000000000002E-2</v>
      </c>
      <c r="S883" s="37">
        <v>2.23E-2</v>
      </c>
    </row>
    <row r="884" spans="1:19" x14ac:dyDescent="0.2">
      <c r="A884" s="1"/>
      <c r="B884" s="13">
        <v>44432</v>
      </c>
      <c r="C884" s="14">
        <v>254.14</v>
      </c>
      <c r="D884" s="15">
        <v>92858</v>
      </c>
      <c r="E884" s="14">
        <v>254.93</v>
      </c>
      <c r="F884" s="14">
        <v>255.51</v>
      </c>
      <c r="G884" s="16">
        <v>251.78</v>
      </c>
      <c r="H884" s="69">
        <f t="shared" si="29"/>
        <v>4.3301972208009687E-4</v>
      </c>
      <c r="M884" s="225"/>
      <c r="N884" s="1319"/>
      <c r="O884" s="1319"/>
      <c r="P884" s="1319"/>
      <c r="Q884" s="35">
        <v>43607</v>
      </c>
      <c r="R884" s="36">
        <v>2.3900000000000001E-2</v>
      </c>
      <c r="S884" s="37">
        <v>2.1899999999999999E-2</v>
      </c>
    </row>
    <row r="885" spans="1:19" x14ac:dyDescent="0.2">
      <c r="A885" s="1"/>
      <c r="B885" s="13">
        <v>44431</v>
      </c>
      <c r="C885" s="14">
        <v>254.03</v>
      </c>
      <c r="D885" s="15">
        <v>159081</v>
      </c>
      <c r="E885" s="14">
        <v>250.33</v>
      </c>
      <c r="F885" s="14">
        <v>259.13</v>
      </c>
      <c r="G885" s="16">
        <v>250.33</v>
      </c>
      <c r="H885" s="69">
        <f t="shared" si="29"/>
        <v>1.8768798877080384E-2</v>
      </c>
      <c r="M885" s="225"/>
      <c r="N885" s="1319"/>
      <c r="O885" s="1319"/>
      <c r="P885" s="1319"/>
      <c r="Q885" s="35">
        <v>43608</v>
      </c>
      <c r="R885" s="36">
        <v>2.3099999999999999E-2</v>
      </c>
      <c r="S885" s="37">
        <v>2.1099999999999997E-2</v>
      </c>
    </row>
    <row r="886" spans="1:19" x14ac:dyDescent="0.2">
      <c r="A886" s="1"/>
      <c r="B886" s="13">
        <v>44428</v>
      </c>
      <c r="C886" s="14">
        <v>249.35</v>
      </c>
      <c r="D886" s="15">
        <v>209052</v>
      </c>
      <c r="E886" s="14">
        <v>243.51</v>
      </c>
      <c r="F886" s="14">
        <v>249.77500000000001</v>
      </c>
      <c r="G886" s="16">
        <v>239.04</v>
      </c>
      <c r="H886" s="69">
        <f t="shared" si="29"/>
        <v>2.8926301889906636E-2</v>
      </c>
      <c r="M886" s="225"/>
      <c r="N886" s="1319"/>
      <c r="O886" s="1319"/>
      <c r="P886" s="1319"/>
      <c r="Q886" s="35">
        <v>43609</v>
      </c>
      <c r="R886" s="36">
        <v>2.3199999999999998E-2</v>
      </c>
      <c r="S886" s="37">
        <v>2.12E-2</v>
      </c>
    </row>
    <row r="887" spans="1:19" x14ac:dyDescent="0.2">
      <c r="A887" s="1"/>
      <c r="B887" s="13">
        <v>44427</v>
      </c>
      <c r="C887" s="14">
        <v>242.34</v>
      </c>
      <c r="D887" s="15">
        <v>298875</v>
      </c>
      <c r="E887" s="14">
        <v>243.76</v>
      </c>
      <c r="F887" s="14">
        <v>246.9</v>
      </c>
      <c r="G887" s="16">
        <v>240.815</v>
      </c>
      <c r="H887" s="69">
        <f t="shared" si="29"/>
        <v>-1.5598342676090726E-2</v>
      </c>
      <c r="M887" s="225"/>
      <c r="N887" s="1319"/>
      <c r="O887" s="1319"/>
      <c r="P887" s="1319"/>
      <c r="Q887" s="35">
        <v>43613</v>
      </c>
      <c r="R887" s="36">
        <v>2.2599999999999999E-2</v>
      </c>
      <c r="S887" s="37">
        <v>2.06E-2</v>
      </c>
    </row>
    <row r="888" spans="1:19" x14ac:dyDescent="0.2">
      <c r="A888" s="1"/>
      <c r="B888" s="13">
        <v>44426</v>
      </c>
      <c r="C888" s="14">
        <v>246.18</v>
      </c>
      <c r="D888" s="15">
        <v>214086</v>
      </c>
      <c r="E888" s="14">
        <v>244.05</v>
      </c>
      <c r="F888" s="14">
        <v>249.83</v>
      </c>
      <c r="G888" s="16">
        <v>241.87</v>
      </c>
      <c r="H888" s="69">
        <f t="shared" si="29"/>
        <v>5.5961766267718094E-3</v>
      </c>
      <c r="M888" s="225"/>
      <c r="N888" s="1319"/>
      <c r="O888" s="1319"/>
      <c r="P888" s="1319"/>
      <c r="Q888" s="35">
        <v>43614</v>
      </c>
      <c r="R888" s="36">
        <v>2.2499999999999999E-2</v>
      </c>
      <c r="S888" s="37">
        <v>2.0499999999999997E-2</v>
      </c>
    </row>
    <row r="889" spans="1:19" x14ac:dyDescent="0.2">
      <c r="A889" s="1"/>
      <c r="B889" s="13">
        <v>44425</v>
      </c>
      <c r="C889" s="14">
        <v>244.81</v>
      </c>
      <c r="D889" s="15">
        <v>325598</v>
      </c>
      <c r="E889" s="14">
        <v>245</v>
      </c>
      <c r="F889" s="14">
        <v>245.98</v>
      </c>
      <c r="G889" s="16">
        <v>238.05</v>
      </c>
      <c r="H889" s="69">
        <f t="shared" si="29"/>
        <v>-8.3846403110823253E-3</v>
      </c>
      <c r="M889" s="225"/>
      <c r="N889" s="1319"/>
      <c r="O889" s="1319"/>
      <c r="P889" s="1319"/>
      <c r="Q889" s="35">
        <v>43615</v>
      </c>
      <c r="R889" s="36">
        <v>2.2200000000000001E-2</v>
      </c>
      <c r="S889" s="37">
        <v>2.0299999999999999E-2</v>
      </c>
    </row>
    <row r="890" spans="1:19" x14ac:dyDescent="0.2">
      <c r="A890" s="1"/>
      <c r="B890" s="13">
        <v>44424</v>
      </c>
      <c r="C890" s="14">
        <v>246.88</v>
      </c>
      <c r="D890" s="15">
        <v>157910</v>
      </c>
      <c r="E890" s="14">
        <v>245.62</v>
      </c>
      <c r="F890" s="14">
        <v>247.53440000000001</v>
      </c>
      <c r="G890" s="16">
        <v>243.44</v>
      </c>
      <c r="H890" s="69">
        <f t="shared" si="29"/>
        <v>7.5089781260202493E-3</v>
      </c>
      <c r="M890" s="225"/>
      <c r="N890" s="1319"/>
      <c r="O890" s="1319"/>
      <c r="P890" s="1319"/>
      <c r="Q890" s="35">
        <v>43616</v>
      </c>
      <c r="R890" s="36">
        <v>2.1400000000000002E-2</v>
      </c>
      <c r="S890" s="37">
        <v>1.9299999999999998E-2</v>
      </c>
    </row>
    <row r="891" spans="1:19" x14ac:dyDescent="0.2">
      <c r="A891" s="1"/>
      <c r="B891" s="13">
        <v>44421</v>
      </c>
      <c r="C891" s="14">
        <v>245.04</v>
      </c>
      <c r="D891" s="15">
        <v>122016</v>
      </c>
      <c r="E891" s="14">
        <v>248.34</v>
      </c>
      <c r="F891" s="14">
        <v>249.52</v>
      </c>
      <c r="G891" s="16">
        <v>244.53380000000001</v>
      </c>
      <c r="H891" s="69">
        <f t="shared" si="29"/>
        <v>-1.4280542258337081E-2</v>
      </c>
      <c r="M891" s="225"/>
      <c r="N891" s="1319"/>
      <c r="O891" s="1319"/>
      <c r="P891" s="1319"/>
      <c r="Q891" s="35">
        <v>43619</v>
      </c>
      <c r="R891" s="36">
        <v>2.07E-2</v>
      </c>
      <c r="S891" s="37">
        <v>1.83E-2</v>
      </c>
    </row>
    <row r="892" spans="1:19" x14ac:dyDescent="0.2">
      <c r="A892" s="1"/>
      <c r="B892" s="13">
        <v>44420</v>
      </c>
      <c r="C892" s="14">
        <v>248.59</v>
      </c>
      <c r="D892" s="15">
        <v>162305</v>
      </c>
      <c r="E892" s="14">
        <v>250.53</v>
      </c>
      <c r="F892" s="14">
        <v>253</v>
      </c>
      <c r="G892" s="16">
        <v>248.41</v>
      </c>
      <c r="H892" s="69">
        <f t="shared" si="29"/>
        <v>-2.8879707994063919E-3</v>
      </c>
      <c r="M892" s="225"/>
      <c r="N892" s="1319"/>
      <c r="O892" s="1319"/>
      <c r="P892" s="1319"/>
      <c r="Q892" s="35">
        <v>43620</v>
      </c>
      <c r="R892" s="36">
        <v>2.12E-2</v>
      </c>
      <c r="S892" s="37">
        <v>1.89E-2</v>
      </c>
    </row>
    <row r="893" spans="1:19" x14ac:dyDescent="0.2">
      <c r="A893" s="1"/>
      <c r="B893" s="13">
        <v>44419</v>
      </c>
      <c r="C893" s="14">
        <v>249.31</v>
      </c>
      <c r="D893" s="15">
        <v>177696</v>
      </c>
      <c r="E893" s="14">
        <v>243.78</v>
      </c>
      <c r="F893" s="14">
        <v>249.37</v>
      </c>
      <c r="G893" s="16">
        <v>242.1</v>
      </c>
      <c r="H893" s="69">
        <f t="shared" si="29"/>
        <v>1.9672801635991721E-2</v>
      </c>
      <c r="M893" s="225"/>
      <c r="N893" s="1319"/>
      <c r="O893" s="1319"/>
      <c r="P893" s="1319"/>
      <c r="Q893" s="35">
        <v>43621</v>
      </c>
      <c r="R893" s="36">
        <v>2.12E-2</v>
      </c>
      <c r="S893" s="37">
        <v>1.8600000000000002E-2</v>
      </c>
    </row>
    <row r="894" spans="1:19" x14ac:dyDescent="0.2">
      <c r="A894" s="1"/>
      <c r="B894" s="13">
        <v>44418</v>
      </c>
      <c r="C894" s="14">
        <v>244.5</v>
      </c>
      <c r="D894" s="15">
        <v>259612</v>
      </c>
      <c r="E894" s="14">
        <v>241.41</v>
      </c>
      <c r="F894" s="14">
        <v>247.12</v>
      </c>
      <c r="G894" s="16">
        <v>238.94</v>
      </c>
      <c r="H894" s="69">
        <f t="shared" si="29"/>
        <v>1.3429495150460102E-2</v>
      </c>
      <c r="M894" s="225"/>
      <c r="N894" s="1319"/>
      <c r="O894" s="1319"/>
      <c r="P894" s="1319"/>
      <c r="Q894" s="35">
        <v>43622</v>
      </c>
      <c r="R894" s="36">
        <v>2.12E-2</v>
      </c>
      <c r="S894" s="37">
        <v>1.8799999999999997E-2</v>
      </c>
    </row>
    <row r="895" spans="1:19" x14ac:dyDescent="0.2">
      <c r="A895" s="1"/>
      <c r="B895" s="13">
        <v>44417</v>
      </c>
      <c r="C895" s="14">
        <v>241.26</v>
      </c>
      <c r="D895" s="15">
        <v>572911</v>
      </c>
      <c r="E895" s="14">
        <v>238.52</v>
      </c>
      <c r="F895" s="14">
        <v>243.1</v>
      </c>
      <c r="G895" s="16">
        <v>235.85</v>
      </c>
      <c r="H895" s="69">
        <f t="shared" si="29"/>
        <v>-1.0351538238582147E-3</v>
      </c>
      <c r="M895" s="225"/>
      <c r="N895" s="1319"/>
      <c r="O895" s="1319"/>
      <c r="P895" s="1319"/>
      <c r="Q895" s="35">
        <v>43623</v>
      </c>
      <c r="R895" s="36">
        <v>2.0899999999999998E-2</v>
      </c>
      <c r="S895" s="37">
        <v>1.8500000000000003E-2</v>
      </c>
    </row>
    <row r="896" spans="1:19" x14ac:dyDescent="0.2">
      <c r="A896" s="1"/>
      <c r="B896" s="13">
        <v>44414</v>
      </c>
      <c r="C896" s="14">
        <v>241.51</v>
      </c>
      <c r="D896" s="15">
        <v>356259</v>
      </c>
      <c r="E896" s="14">
        <v>236.97</v>
      </c>
      <c r="F896" s="14">
        <v>243.11</v>
      </c>
      <c r="G896" s="16">
        <v>236.47</v>
      </c>
      <c r="H896" s="69">
        <f t="shared" si="29"/>
        <v>1.5686769282529989E-2</v>
      </c>
      <c r="M896" s="225"/>
      <c r="N896" s="1319"/>
      <c r="O896" s="1319"/>
      <c r="P896" s="1319"/>
      <c r="Q896" s="35">
        <v>43626</v>
      </c>
      <c r="R896" s="36">
        <v>2.1499999999999998E-2</v>
      </c>
      <c r="S896" s="37">
        <v>1.9099999999999999E-2</v>
      </c>
    </row>
    <row r="897" spans="1:19" x14ac:dyDescent="0.2">
      <c r="A897" s="1"/>
      <c r="B897" s="13">
        <v>44413</v>
      </c>
      <c r="C897" s="14">
        <v>237.78</v>
      </c>
      <c r="D897" s="15">
        <v>237845</v>
      </c>
      <c r="E897" s="14">
        <v>237.8</v>
      </c>
      <c r="F897" s="14">
        <v>239.08</v>
      </c>
      <c r="G897" s="16">
        <v>233.63</v>
      </c>
      <c r="H897" s="69">
        <f t="shared" si="29"/>
        <v>-1.3020286446301377E-3</v>
      </c>
      <c r="M897" s="225"/>
      <c r="N897" s="1319"/>
      <c r="O897" s="1319"/>
      <c r="P897" s="1319"/>
      <c r="Q897" s="35">
        <v>43627</v>
      </c>
      <c r="R897" s="36">
        <v>2.1499999999999998E-2</v>
      </c>
      <c r="S897" s="37">
        <v>1.9199999999999998E-2</v>
      </c>
    </row>
    <row r="898" spans="1:19" x14ac:dyDescent="0.2">
      <c r="A898" s="1"/>
      <c r="B898" s="13">
        <v>44412</v>
      </c>
      <c r="C898" s="14">
        <v>238.09</v>
      </c>
      <c r="D898" s="15">
        <v>858523</v>
      </c>
      <c r="E898" s="14">
        <v>234.49</v>
      </c>
      <c r="F898" s="14">
        <v>243.2</v>
      </c>
      <c r="G898" s="16">
        <v>234.49</v>
      </c>
      <c r="H898" s="69">
        <f t="shared" si="29"/>
        <v>1.0954948834444478E-2</v>
      </c>
      <c r="M898" s="225"/>
      <c r="N898" s="1319"/>
      <c r="O898" s="1319"/>
      <c r="P898" s="1319"/>
      <c r="Q898" s="35">
        <v>43628</v>
      </c>
      <c r="R898" s="36">
        <v>2.1299999999999999E-2</v>
      </c>
      <c r="S898" s="37">
        <v>1.8799999999999997E-2</v>
      </c>
    </row>
    <row r="899" spans="1:19" x14ac:dyDescent="0.2">
      <c r="A899" s="1"/>
      <c r="B899" s="13">
        <v>44411</v>
      </c>
      <c r="C899" s="14">
        <v>235.51</v>
      </c>
      <c r="D899" s="15">
        <v>304380</v>
      </c>
      <c r="E899" s="14">
        <v>223.86</v>
      </c>
      <c r="F899" s="14">
        <v>235.78</v>
      </c>
      <c r="G899" s="16">
        <v>222.91</v>
      </c>
      <c r="H899" s="69">
        <f t="shared" si="29"/>
        <v>5.0446030330062452E-2</v>
      </c>
      <c r="M899" s="225"/>
      <c r="N899" s="1319"/>
      <c r="O899" s="1319"/>
      <c r="P899" s="1319"/>
      <c r="Q899" s="35">
        <v>43629</v>
      </c>
      <c r="R899" s="36">
        <v>2.1000000000000001E-2</v>
      </c>
      <c r="S899" s="37">
        <v>1.84E-2</v>
      </c>
    </row>
    <row r="900" spans="1:19" x14ac:dyDescent="0.2">
      <c r="A900" s="1"/>
      <c r="B900" s="13">
        <v>44410</v>
      </c>
      <c r="C900" s="14">
        <v>224.2</v>
      </c>
      <c r="D900" s="15">
        <v>286413</v>
      </c>
      <c r="E900" s="14">
        <v>227.66</v>
      </c>
      <c r="F900" s="14">
        <v>230.81</v>
      </c>
      <c r="G900" s="16">
        <v>219.11</v>
      </c>
      <c r="H900" s="69">
        <f t="shared" si="29"/>
        <v>-7.964601769911539E-3</v>
      </c>
      <c r="M900" s="225"/>
      <c r="N900" s="1319"/>
      <c r="O900" s="1319"/>
      <c r="P900" s="1319"/>
      <c r="Q900" s="35">
        <v>43630</v>
      </c>
      <c r="R900" s="36">
        <v>2.0899999999999998E-2</v>
      </c>
      <c r="S900" s="37">
        <v>1.8500000000000003E-2</v>
      </c>
    </row>
    <row r="901" spans="1:19" x14ac:dyDescent="0.2">
      <c r="A901" s="1"/>
      <c r="B901" s="13">
        <v>44407</v>
      </c>
      <c r="C901" s="14">
        <v>226</v>
      </c>
      <c r="D901" s="15">
        <v>321910</v>
      </c>
      <c r="E901" s="14">
        <v>222.01</v>
      </c>
      <c r="F901" s="14">
        <v>227.08</v>
      </c>
      <c r="G901" s="16">
        <v>219.9</v>
      </c>
      <c r="H901" s="69">
        <f t="shared" si="29"/>
        <v>1.9487549621075351E-2</v>
      </c>
      <c r="M901" s="225"/>
      <c r="N901" s="1319"/>
      <c r="O901" s="1319"/>
      <c r="P901" s="1319"/>
      <c r="Q901" s="35">
        <v>43633</v>
      </c>
      <c r="R901" s="36">
        <v>2.0899999999999998E-2</v>
      </c>
      <c r="S901" s="37">
        <v>1.8500000000000003E-2</v>
      </c>
    </row>
    <row r="902" spans="1:19" x14ac:dyDescent="0.2">
      <c r="A902" s="1"/>
      <c r="B902" s="13">
        <v>44406</v>
      </c>
      <c r="C902" s="14">
        <v>221.68</v>
      </c>
      <c r="D902" s="15">
        <v>353383</v>
      </c>
      <c r="E902" s="14">
        <v>210.15</v>
      </c>
      <c r="F902" s="14">
        <v>223.58</v>
      </c>
      <c r="G902" s="16">
        <v>205.5</v>
      </c>
      <c r="H902" s="69">
        <f t="shared" si="29"/>
        <v>8.2950659501709989E-2</v>
      </c>
      <c r="M902" s="225"/>
      <c r="N902" s="1319"/>
      <c r="O902" s="1319"/>
      <c r="P902" s="1319"/>
      <c r="Q902" s="35">
        <v>43634</v>
      </c>
      <c r="R902" s="36">
        <v>2.06E-2</v>
      </c>
      <c r="S902" s="37">
        <v>1.83E-2</v>
      </c>
    </row>
    <row r="903" spans="1:19" x14ac:dyDescent="0.2">
      <c r="A903" s="1"/>
      <c r="B903" s="13">
        <v>44405</v>
      </c>
      <c r="C903" s="14">
        <v>204.7</v>
      </c>
      <c r="D903" s="15">
        <v>233706</v>
      </c>
      <c r="E903" s="14">
        <v>205.8</v>
      </c>
      <c r="F903" s="14">
        <v>207.91</v>
      </c>
      <c r="G903" s="16">
        <v>201.69</v>
      </c>
      <c r="H903" s="69">
        <f t="shared" si="29"/>
        <v>-1.9502681618722706E-3</v>
      </c>
      <c r="M903" s="225"/>
      <c r="N903" s="1319"/>
      <c r="O903" s="1319"/>
      <c r="P903" s="1319"/>
      <c r="Q903" s="35">
        <v>43635</v>
      </c>
      <c r="R903" s="36">
        <v>2.0299999999999999E-2</v>
      </c>
      <c r="S903" s="37">
        <v>1.77E-2</v>
      </c>
    </row>
    <row r="904" spans="1:19" x14ac:dyDescent="0.2">
      <c r="A904" s="1"/>
      <c r="B904" s="13">
        <v>44404</v>
      </c>
      <c r="C904" s="14">
        <v>205.1</v>
      </c>
      <c r="D904" s="15">
        <v>166370</v>
      </c>
      <c r="E904" s="14">
        <v>204.67</v>
      </c>
      <c r="F904" s="14">
        <v>207.88</v>
      </c>
      <c r="G904" s="16">
        <v>203.12</v>
      </c>
      <c r="H904" s="69">
        <f t="shared" si="29"/>
        <v>-1.3147002970249622E-3</v>
      </c>
      <c r="M904" s="225"/>
      <c r="N904" s="1319"/>
      <c r="O904" s="1319"/>
      <c r="P904" s="1319"/>
      <c r="Q904" s="35">
        <v>43636</v>
      </c>
      <c r="R904" s="36">
        <v>2.0099999999999996E-2</v>
      </c>
      <c r="S904" s="37">
        <v>1.7399999999999999E-2</v>
      </c>
    </row>
    <row r="905" spans="1:19" x14ac:dyDescent="0.2">
      <c r="A905" s="1"/>
      <c r="B905" s="13">
        <v>44403</v>
      </c>
      <c r="C905" s="14">
        <v>205.37</v>
      </c>
      <c r="D905" s="15">
        <v>121363</v>
      </c>
      <c r="E905" s="14">
        <v>207.04</v>
      </c>
      <c r="F905" s="14">
        <v>208.44</v>
      </c>
      <c r="G905" s="16">
        <v>204.4</v>
      </c>
      <c r="H905" s="69">
        <f t="shared" si="29"/>
        <v>-7.8264650466206565E-3</v>
      </c>
      <c r="M905" s="225"/>
      <c r="N905" s="1319"/>
      <c r="O905" s="1319"/>
      <c r="P905" s="1319"/>
      <c r="Q905" s="35">
        <v>43637</v>
      </c>
      <c r="R905" s="36">
        <v>2.07E-2</v>
      </c>
      <c r="S905" s="37">
        <v>1.8000000000000002E-2</v>
      </c>
    </row>
    <row r="906" spans="1:19" x14ac:dyDescent="0.2">
      <c r="A906" s="1"/>
      <c r="B906" s="13">
        <v>44400</v>
      </c>
      <c r="C906" s="14">
        <v>206.99</v>
      </c>
      <c r="D906" s="15">
        <v>135392</v>
      </c>
      <c r="E906" s="14">
        <v>201.64</v>
      </c>
      <c r="F906" s="14">
        <v>207.42</v>
      </c>
      <c r="G906" s="16">
        <v>199.57</v>
      </c>
      <c r="H906" s="69">
        <f t="shared" si="29"/>
        <v>3.0518769292044112E-2</v>
      </c>
      <c r="M906" s="225"/>
      <c r="N906" s="1319"/>
      <c r="O906" s="1319"/>
      <c r="P906" s="1319"/>
      <c r="Q906" s="35">
        <v>43640</v>
      </c>
      <c r="R906" s="36">
        <v>2.0199999999999999E-2</v>
      </c>
      <c r="S906" s="37">
        <v>1.7500000000000002E-2</v>
      </c>
    </row>
    <row r="907" spans="1:19" x14ac:dyDescent="0.2">
      <c r="A907" s="1"/>
      <c r="B907" s="13">
        <v>44399</v>
      </c>
      <c r="C907" s="14">
        <v>200.86</v>
      </c>
      <c r="D907" s="15">
        <v>105094</v>
      </c>
      <c r="E907" s="14">
        <v>202.87</v>
      </c>
      <c r="F907" s="14">
        <v>206.08</v>
      </c>
      <c r="G907" s="16">
        <v>200.44</v>
      </c>
      <c r="H907" s="69">
        <f t="shared" si="29"/>
        <v>-1.2050563179381135E-2</v>
      </c>
      <c r="M907" s="225"/>
      <c r="N907" s="1319"/>
      <c r="O907" s="1319"/>
      <c r="P907" s="1319"/>
      <c r="Q907" s="35">
        <v>43641</v>
      </c>
      <c r="R907" s="36">
        <v>0.02</v>
      </c>
      <c r="S907" s="37">
        <v>1.7299999999999999E-2</v>
      </c>
    </row>
    <row r="908" spans="1:19" x14ac:dyDescent="0.2">
      <c r="A908" s="1"/>
      <c r="B908" s="13">
        <v>44398</v>
      </c>
      <c r="C908" s="14">
        <v>203.31</v>
      </c>
      <c r="D908" s="15">
        <v>200566</v>
      </c>
      <c r="E908" s="14">
        <v>201.44</v>
      </c>
      <c r="F908" s="14">
        <v>204.77500000000001</v>
      </c>
      <c r="G908" s="16">
        <v>200.46</v>
      </c>
      <c r="H908" s="69">
        <f t="shared" si="29"/>
        <v>1.204639354870829E-2</v>
      </c>
      <c r="M908" s="225"/>
      <c r="N908" s="1319"/>
      <c r="O908" s="1319"/>
      <c r="P908" s="1319"/>
      <c r="Q908" s="35">
        <v>43642</v>
      </c>
      <c r="R908" s="36">
        <v>2.0499999999999997E-2</v>
      </c>
      <c r="S908" s="37">
        <v>1.8000000000000002E-2</v>
      </c>
    </row>
    <row r="909" spans="1:19" x14ac:dyDescent="0.2">
      <c r="A909" s="1"/>
      <c r="B909" s="13">
        <v>44397</v>
      </c>
      <c r="C909" s="14">
        <v>200.89</v>
      </c>
      <c r="D909" s="15">
        <v>219770</v>
      </c>
      <c r="E909" s="14">
        <v>194.28</v>
      </c>
      <c r="F909" s="14">
        <v>203.97</v>
      </c>
      <c r="G909" s="16">
        <v>193.2</v>
      </c>
      <c r="H909" s="69">
        <f t="shared" si="29"/>
        <v>3.9695683676638005E-2</v>
      </c>
      <c r="M909" s="225"/>
      <c r="N909" s="1319"/>
      <c r="O909" s="1319"/>
      <c r="P909" s="1319"/>
      <c r="Q909" s="35">
        <v>43643</v>
      </c>
      <c r="R909" s="36">
        <v>2.0099999999999996E-2</v>
      </c>
      <c r="S909" s="37">
        <v>1.7600000000000001E-2</v>
      </c>
    </row>
    <row r="910" spans="1:19" x14ac:dyDescent="0.2">
      <c r="A910" s="1"/>
      <c r="B910" s="13">
        <v>44396</v>
      </c>
      <c r="C910" s="14">
        <v>193.22</v>
      </c>
      <c r="D910" s="15">
        <v>193768</v>
      </c>
      <c r="E910" s="14">
        <v>191.74</v>
      </c>
      <c r="F910" s="14">
        <v>196.96</v>
      </c>
      <c r="G910" s="16">
        <v>187.02</v>
      </c>
      <c r="H910" s="69">
        <f t="shared" si="29"/>
        <v>-1.5589973507234567E-2</v>
      </c>
      <c r="M910" s="225"/>
      <c r="N910" s="1319"/>
      <c r="O910" s="1319"/>
      <c r="P910" s="1319"/>
      <c r="Q910" s="35">
        <v>43644</v>
      </c>
      <c r="R910" s="36">
        <v>0.02</v>
      </c>
      <c r="S910" s="37">
        <v>1.7600000000000001E-2</v>
      </c>
    </row>
    <row r="911" spans="1:19" x14ac:dyDescent="0.2">
      <c r="A911" s="1"/>
      <c r="B911" s="13">
        <v>44393</v>
      </c>
      <c r="C911" s="14">
        <v>196.28</v>
      </c>
      <c r="D911" s="15">
        <v>247640</v>
      </c>
      <c r="E911" s="14">
        <v>203.54</v>
      </c>
      <c r="F911" s="14">
        <v>204.33</v>
      </c>
      <c r="G911" s="16">
        <v>196</v>
      </c>
      <c r="H911" s="69">
        <f t="shared" si="29"/>
        <v>-3.1624648477971307E-2</v>
      </c>
      <c r="M911" s="225"/>
      <c r="N911" s="1319"/>
      <c r="O911" s="1319"/>
      <c r="P911" s="1319"/>
      <c r="Q911" s="35">
        <v>43647</v>
      </c>
      <c r="R911" s="36">
        <v>2.0299999999999999E-2</v>
      </c>
      <c r="S911" s="37">
        <v>1.7899999999999999E-2</v>
      </c>
    </row>
    <row r="912" spans="1:19" x14ac:dyDescent="0.2">
      <c r="A912" s="1"/>
      <c r="B912" s="13">
        <v>44392</v>
      </c>
      <c r="C912" s="14">
        <v>202.69</v>
      </c>
      <c r="D912" s="15">
        <v>114480</v>
      </c>
      <c r="E912" s="14">
        <v>203.18</v>
      </c>
      <c r="F912" s="14">
        <v>205.16</v>
      </c>
      <c r="G912" s="16">
        <v>200.15459999999999</v>
      </c>
      <c r="H912" s="69">
        <f t="shared" si="29"/>
        <v>-1.3049617763061794E-2</v>
      </c>
      <c r="M912" s="225"/>
      <c r="N912" s="1319"/>
      <c r="O912" s="1319"/>
      <c r="P912" s="1319"/>
      <c r="Q912" s="35">
        <v>43648</v>
      </c>
      <c r="R912" s="36">
        <v>1.9799999999999998E-2</v>
      </c>
      <c r="S912" s="37">
        <v>1.7500000000000002E-2</v>
      </c>
    </row>
    <row r="913" spans="1:19" x14ac:dyDescent="0.2">
      <c r="A913" s="1"/>
      <c r="B913" s="13">
        <v>44391</v>
      </c>
      <c r="C913" s="14">
        <v>205.37</v>
      </c>
      <c r="D913" s="15">
        <v>217527</v>
      </c>
      <c r="E913" s="14">
        <v>207.78</v>
      </c>
      <c r="F913" s="14">
        <v>210.49</v>
      </c>
      <c r="G913" s="16">
        <v>204.59</v>
      </c>
      <c r="H913" s="69">
        <f t="shared" si="29"/>
        <v>-3.4452639751553216E-3</v>
      </c>
      <c r="M913" s="225"/>
      <c r="N913" s="1319"/>
      <c r="O913" s="1319"/>
      <c r="P913" s="1319"/>
      <c r="Q913" s="35">
        <v>43649</v>
      </c>
      <c r="R913" s="36">
        <v>1.9599999999999999E-2</v>
      </c>
      <c r="S913" s="37">
        <v>1.7399999999999999E-2</v>
      </c>
    </row>
    <row r="914" spans="1:19" x14ac:dyDescent="0.2">
      <c r="A914" s="1"/>
      <c r="B914" s="13">
        <v>44390</v>
      </c>
      <c r="C914" s="14">
        <v>206.08</v>
      </c>
      <c r="D914" s="15">
        <v>87717</v>
      </c>
      <c r="E914" s="14">
        <v>206.94</v>
      </c>
      <c r="F914" s="14">
        <v>208.38</v>
      </c>
      <c r="G914" s="16">
        <v>204.36</v>
      </c>
      <c r="H914" s="69">
        <f t="shared" si="29"/>
        <v>-5.6453558504221402E-3</v>
      </c>
      <c r="M914" s="225"/>
      <c r="N914" s="1319"/>
      <c r="O914" s="1319"/>
      <c r="P914" s="1319"/>
      <c r="Q914" s="35">
        <v>43651</v>
      </c>
      <c r="R914" s="36">
        <v>2.0400000000000001E-2</v>
      </c>
      <c r="S914" s="37">
        <v>1.84E-2</v>
      </c>
    </row>
    <row r="915" spans="1:19" x14ac:dyDescent="0.2">
      <c r="A915" s="1"/>
      <c r="B915" s="13">
        <v>44389</v>
      </c>
      <c r="C915" s="14">
        <v>207.25</v>
      </c>
      <c r="D915" s="15">
        <v>129453</v>
      </c>
      <c r="E915" s="14">
        <v>205.12</v>
      </c>
      <c r="F915" s="14">
        <v>208.82</v>
      </c>
      <c r="G915" s="16">
        <v>204.44</v>
      </c>
      <c r="H915" s="69">
        <f t="shared" si="29"/>
        <v>3.9722908491981457E-3</v>
      </c>
      <c r="M915" s="225"/>
      <c r="N915" s="1319"/>
      <c r="O915" s="1319"/>
      <c r="P915" s="1319"/>
      <c r="Q915" s="35">
        <v>43654</v>
      </c>
      <c r="R915" s="36">
        <v>2.0499999999999997E-2</v>
      </c>
      <c r="S915" s="37">
        <v>1.8600000000000002E-2</v>
      </c>
    </row>
    <row r="916" spans="1:19" x14ac:dyDescent="0.2">
      <c r="A916" s="1"/>
      <c r="B916" s="13">
        <v>44386</v>
      </c>
      <c r="C916" s="14">
        <v>206.43</v>
      </c>
      <c r="D916" s="15">
        <v>75339</v>
      </c>
      <c r="E916" s="14">
        <v>206.01</v>
      </c>
      <c r="F916" s="14">
        <v>207.33</v>
      </c>
      <c r="G916" s="16">
        <v>202.92500000000001</v>
      </c>
      <c r="H916" s="69">
        <f t="shared" si="29"/>
        <v>1.920608274908675E-2</v>
      </c>
      <c r="M916" s="225"/>
      <c r="N916" s="1319"/>
      <c r="O916" s="1319"/>
      <c r="P916" s="1319"/>
      <c r="Q916" s="35">
        <v>43655</v>
      </c>
      <c r="R916" s="36">
        <v>2.07E-2</v>
      </c>
      <c r="S916" s="37">
        <v>1.8799999999999997E-2</v>
      </c>
    </row>
    <row r="917" spans="1:19" x14ac:dyDescent="0.2">
      <c r="A917" s="1"/>
      <c r="B917" s="13">
        <v>44385</v>
      </c>
      <c r="C917" s="14">
        <v>202.54</v>
      </c>
      <c r="D917" s="15">
        <v>218191</v>
      </c>
      <c r="E917" s="14">
        <v>203.36</v>
      </c>
      <c r="F917" s="14">
        <v>206.29</v>
      </c>
      <c r="G917" s="16">
        <v>198.02</v>
      </c>
      <c r="H917" s="69">
        <f t="shared" si="29"/>
        <v>-2.4514761835958243E-2</v>
      </c>
      <c r="M917" s="225"/>
      <c r="N917" s="1319"/>
      <c r="O917" s="1319"/>
      <c r="P917" s="1319"/>
      <c r="Q917" s="35">
        <v>43656</v>
      </c>
      <c r="R917" s="36">
        <v>2.07E-2</v>
      </c>
      <c r="S917" s="37">
        <v>1.8200000000000001E-2</v>
      </c>
    </row>
    <row r="918" spans="1:19" x14ac:dyDescent="0.2">
      <c r="A918" s="1"/>
      <c r="B918" s="13">
        <v>44384</v>
      </c>
      <c r="C918" s="14">
        <v>207.63</v>
      </c>
      <c r="D918" s="15">
        <v>277473</v>
      </c>
      <c r="E918" s="14">
        <v>208.98</v>
      </c>
      <c r="F918" s="14">
        <v>212.6</v>
      </c>
      <c r="G918" s="16">
        <v>206.41</v>
      </c>
      <c r="H918" s="69">
        <f t="shared" si="29"/>
        <v>-9.0206185567011099E-3</v>
      </c>
      <c r="M918" s="225"/>
      <c r="N918" s="1319"/>
      <c r="O918" s="1319"/>
      <c r="P918" s="1319"/>
      <c r="Q918" s="35">
        <v>43657</v>
      </c>
      <c r="R918" s="36">
        <v>2.1299999999999999E-2</v>
      </c>
      <c r="S918" s="37">
        <v>1.8799999999999997E-2</v>
      </c>
    </row>
    <row r="919" spans="1:19" x14ac:dyDescent="0.2">
      <c r="A919" s="1"/>
      <c r="B919" s="13">
        <v>44383</v>
      </c>
      <c r="C919" s="14">
        <v>209.52</v>
      </c>
      <c r="D919" s="15">
        <v>160554</v>
      </c>
      <c r="E919" s="14">
        <v>210.77</v>
      </c>
      <c r="F919" s="14">
        <v>211.8639</v>
      </c>
      <c r="G919" s="16">
        <v>204.12</v>
      </c>
      <c r="H919" s="69">
        <f t="shared" si="29"/>
        <v>-6.5904888340997392E-3</v>
      </c>
      <c r="M919" s="225"/>
      <c r="N919" s="1319"/>
      <c r="O919" s="1319"/>
      <c r="P919" s="1319"/>
      <c r="Q919" s="35">
        <v>43658</v>
      </c>
      <c r="R919" s="36">
        <v>2.12E-2</v>
      </c>
      <c r="S919" s="37">
        <v>1.8600000000000002E-2</v>
      </c>
    </row>
    <row r="920" spans="1:19" x14ac:dyDescent="0.2">
      <c r="A920" s="1"/>
      <c r="B920" s="13">
        <v>44379</v>
      </c>
      <c r="C920" s="14">
        <v>210.91</v>
      </c>
      <c r="D920" s="15">
        <v>92666</v>
      </c>
      <c r="E920" s="14">
        <v>213.56</v>
      </c>
      <c r="F920" s="14">
        <v>213.56</v>
      </c>
      <c r="G920" s="16">
        <v>210.215</v>
      </c>
      <c r="H920" s="69">
        <f t="shared" si="29"/>
        <v>-9.9051732231716372E-3</v>
      </c>
      <c r="M920" s="225"/>
      <c r="N920" s="1319"/>
      <c r="O920" s="1319"/>
      <c r="P920" s="1319"/>
      <c r="Q920" s="35">
        <v>43661</v>
      </c>
      <c r="R920" s="36">
        <v>2.0899999999999998E-2</v>
      </c>
      <c r="S920" s="37">
        <v>1.84E-2</v>
      </c>
    </row>
    <row r="921" spans="1:19" x14ac:dyDescent="0.2">
      <c r="A921" s="1"/>
      <c r="B921" s="13">
        <v>44378</v>
      </c>
      <c r="C921" s="14">
        <v>213.02</v>
      </c>
      <c r="D921" s="15">
        <v>137823</v>
      </c>
      <c r="E921" s="14">
        <v>210.59</v>
      </c>
      <c r="F921" s="14">
        <v>215</v>
      </c>
      <c r="G921" s="16">
        <v>209.45</v>
      </c>
      <c r="H921" s="69">
        <f t="shared" si="29"/>
        <v>1.6850446322020041E-2</v>
      </c>
      <c r="M921" s="225"/>
      <c r="N921" s="1319"/>
      <c r="O921" s="1319"/>
      <c r="P921" s="1319"/>
      <c r="Q921" s="35">
        <v>43662</v>
      </c>
      <c r="R921" s="36">
        <v>2.1299999999999999E-2</v>
      </c>
      <c r="S921" s="37">
        <v>1.8799999999999997E-2</v>
      </c>
    </row>
    <row r="922" spans="1:19" x14ac:dyDescent="0.2">
      <c r="A922" s="1"/>
      <c r="B922" s="13">
        <v>44377</v>
      </c>
      <c r="C922" s="14">
        <v>209.49</v>
      </c>
      <c r="D922" s="15">
        <v>295197</v>
      </c>
      <c r="E922" s="14">
        <v>210.05</v>
      </c>
      <c r="F922" s="14">
        <v>212.17</v>
      </c>
      <c r="G922" s="16">
        <v>208.15</v>
      </c>
      <c r="H922" s="69">
        <f t="shared" si="29"/>
        <v>-2.7135104255926468E-3</v>
      </c>
      <c r="M922" s="225"/>
      <c r="N922" s="1319"/>
      <c r="O922" s="1319"/>
      <c r="P922" s="1319"/>
      <c r="Q922" s="35">
        <v>43663</v>
      </c>
      <c r="R922" s="36">
        <v>2.06E-2</v>
      </c>
      <c r="S922" s="37">
        <v>1.83E-2</v>
      </c>
    </row>
    <row r="923" spans="1:19" x14ac:dyDescent="0.2">
      <c r="A923" s="1"/>
      <c r="B923" s="13">
        <v>44376</v>
      </c>
      <c r="C923" s="14">
        <v>210.06</v>
      </c>
      <c r="D923" s="15">
        <v>136005</v>
      </c>
      <c r="E923" s="14">
        <v>211.18</v>
      </c>
      <c r="F923" s="14">
        <v>212.51</v>
      </c>
      <c r="G923" s="16">
        <v>208.995</v>
      </c>
      <c r="H923" s="69">
        <f t="shared" si="29"/>
        <v>-9.3378607809846415E-3</v>
      </c>
      <c r="M923" s="225"/>
      <c r="N923" s="1319"/>
      <c r="O923" s="1319"/>
      <c r="P923" s="1319"/>
      <c r="Q923" s="35">
        <v>43664</v>
      </c>
      <c r="R923" s="36">
        <v>2.0400000000000001E-2</v>
      </c>
      <c r="S923" s="37">
        <v>1.78E-2</v>
      </c>
    </row>
    <row r="924" spans="1:19" x14ac:dyDescent="0.2">
      <c r="A924" s="1"/>
      <c r="B924" s="13">
        <v>44375</v>
      </c>
      <c r="C924" s="14">
        <v>212.04</v>
      </c>
      <c r="D924" s="15">
        <v>231515</v>
      </c>
      <c r="E924" s="14">
        <v>210.5</v>
      </c>
      <c r="F924" s="14">
        <v>212.96</v>
      </c>
      <c r="G924" s="16">
        <v>206.15</v>
      </c>
      <c r="H924" s="69">
        <f t="shared" si="29"/>
        <v>7.5514442137047944E-4</v>
      </c>
      <c r="M924" s="225"/>
      <c r="N924" s="1319"/>
      <c r="O924" s="1319"/>
      <c r="P924" s="1319"/>
      <c r="Q924" s="35">
        <v>43665</v>
      </c>
      <c r="R924" s="36">
        <v>2.0499999999999997E-2</v>
      </c>
      <c r="S924" s="37">
        <v>1.8000000000000002E-2</v>
      </c>
    </row>
    <row r="925" spans="1:19" x14ac:dyDescent="0.2">
      <c r="A925" s="1"/>
      <c r="B925" s="13">
        <v>44372</v>
      </c>
      <c r="C925" s="14">
        <v>211.88</v>
      </c>
      <c r="D925" s="15">
        <v>371871</v>
      </c>
      <c r="E925" s="14">
        <v>208.7</v>
      </c>
      <c r="F925" s="14">
        <v>212.92</v>
      </c>
      <c r="G925" s="16">
        <v>208.49</v>
      </c>
      <c r="H925" s="69">
        <f t="shared" si="29"/>
        <v>1.4799559365870074E-2</v>
      </c>
      <c r="M925" s="225"/>
      <c r="N925" s="1319"/>
      <c r="O925" s="1319"/>
      <c r="P925" s="1319"/>
      <c r="Q925" s="35">
        <v>43668</v>
      </c>
      <c r="R925" s="36">
        <v>2.0499999999999997E-2</v>
      </c>
      <c r="S925" s="37">
        <v>1.8000000000000002E-2</v>
      </c>
    </row>
    <row r="926" spans="1:19" x14ac:dyDescent="0.2">
      <c r="A926" s="1"/>
      <c r="B926" s="13">
        <v>44371</v>
      </c>
      <c r="C926" s="14">
        <v>208.79</v>
      </c>
      <c r="D926" s="15">
        <v>191389</v>
      </c>
      <c r="E926" s="14">
        <v>210.66</v>
      </c>
      <c r="F926" s="14">
        <v>210.66</v>
      </c>
      <c r="G926" s="16">
        <v>205.54</v>
      </c>
      <c r="H926" s="69">
        <f t="shared" si="29"/>
        <v>-3.4841542573502693E-3</v>
      </c>
      <c r="M926" s="225"/>
      <c r="N926" s="1319"/>
      <c r="O926" s="1319"/>
      <c r="P926" s="1319"/>
      <c r="Q926" s="35">
        <v>43669</v>
      </c>
      <c r="R926" s="36">
        <v>2.0799999999999999E-2</v>
      </c>
      <c r="S926" s="37">
        <v>1.83E-2</v>
      </c>
    </row>
    <row r="927" spans="1:19" x14ac:dyDescent="0.2">
      <c r="A927" s="1"/>
      <c r="B927" s="13">
        <v>44370</v>
      </c>
      <c r="C927" s="14">
        <v>209.52</v>
      </c>
      <c r="D927" s="15">
        <v>157092</v>
      </c>
      <c r="E927" s="14">
        <v>209.28</v>
      </c>
      <c r="F927" s="14">
        <v>212.33</v>
      </c>
      <c r="G927" s="16">
        <v>208.625</v>
      </c>
      <c r="H927" s="69">
        <f t="shared" si="29"/>
        <v>1.529636711281146E-3</v>
      </c>
      <c r="M927" s="225"/>
      <c r="N927" s="1319"/>
      <c r="O927" s="1319"/>
      <c r="P927" s="1319"/>
      <c r="Q927" s="35">
        <v>43670</v>
      </c>
      <c r="R927" s="36">
        <v>2.0499999999999997E-2</v>
      </c>
      <c r="S927" s="37">
        <v>1.8200000000000001E-2</v>
      </c>
    </row>
    <row r="928" spans="1:19" x14ac:dyDescent="0.2">
      <c r="A928" s="1"/>
      <c r="B928" s="13">
        <v>44369</v>
      </c>
      <c r="C928" s="14">
        <v>209.2</v>
      </c>
      <c r="D928" s="15">
        <v>147914</v>
      </c>
      <c r="E928" s="14">
        <v>206.68</v>
      </c>
      <c r="F928" s="14">
        <v>209.46</v>
      </c>
      <c r="G928" s="16">
        <v>205.44</v>
      </c>
      <c r="H928" s="69">
        <f t="shared" si="29"/>
        <v>1.0969893200599046E-2</v>
      </c>
      <c r="M928" s="225"/>
      <c r="N928" s="1319"/>
      <c r="O928" s="1319"/>
      <c r="P928" s="1319"/>
      <c r="Q928" s="35">
        <v>43671</v>
      </c>
      <c r="R928" s="36">
        <v>2.0799999999999999E-2</v>
      </c>
      <c r="S928" s="37">
        <v>1.8500000000000003E-2</v>
      </c>
    </row>
    <row r="929" spans="1:19" x14ac:dyDescent="0.2">
      <c r="A929" s="1"/>
      <c r="B929" s="13">
        <v>44368</v>
      </c>
      <c r="C929" s="14">
        <v>206.93</v>
      </c>
      <c r="D929" s="15">
        <v>171169</v>
      </c>
      <c r="E929" s="14">
        <v>204.19</v>
      </c>
      <c r="F929" s="14">
        <v>208.37</v>
      </c>
      <c r="G929" s="16">
        <v>202.88</v>
      </c>
      <c r="H929" s="69">
        <f t="shared" si="29"/>
        <v>2.1876543209876642E-2</v>
      </c>
      <c r="M929" s="225"/>
      <c r="N929" s="1319"/>
      <c r="O929" s="1319"/>
      <c r="P929" s="1319"/>
      <c r="Q929" s="35">
        <v>43672</v>
      </c>
      <c r="R929" s="36">
        <v>2.0799999999999999E-2</v>
      </c>
      <c r="S929" s="37">
        <v>1.8500000000000003E-2</v>
      </c>
    </row>
    <row r="930" spans="1:19" x14ac:dyDescent="0.2">
      <c r="A930" s="1"/>
      <c r="B930" s="13">
        <v>44365</v>
      </c>
      <c r="C930" s="14">
        <v>202.5</v>
      </c>
      <c r="D930" s="15">
        <v>308160</v>
      </c>
      <c r="E930" s="14">
        <v>201.86</v>
      </c>
      <c r="F930" s="14">
        <v>204.76499999999999</v>
      </c>
      <c r="G930" s="16">
        <v>201</v>
      </c>
      <c r="H930" s="69">
        <f t="shared" si="29"/>
        <v>3.0214473227996308E-3</v>
      </c>
      <c r="M930" s="225"/>
      <c r="N930" s="1319"/>
      <c r="O930" s="1319"/>
      <c r="P930" s="1319"/>
      <c r="Q930" s="35">
        <v>43675</v>
      </c>
      <c r="R930" s="36">
        <v>2.06E-2</v>
      </c>
      <c r="S930" s="37">
        <v>1.84E-2</v>
      </c>
    </row>
    <row r="931" spans="1:19" x14ac:dyDescent="0.2">
      <c r="A931" s="1"/>
      <c r="B931" s="13">
        <v>44364</v>
      </c>
      <c r="C931" s="14">
        <v>201.89</v>
      </c>
      <c r="D931" s="15">
        <v>289852</v>
      </c>
      <c r="E931" s="14">
        <v>208.81</v>
      </c>
      <c r="F931" s="14">
        <v>211.39</v>
      </c>
      <c r="G931" s="16">
        <v>200.52</v>
      </c>
      <c r="H931" s="69">
        <f t="shared" si="29"/>
        <v>-3.9807856939027886E-2</v>
      </c>
      <c r="M931" s="225"/>
      <c r="N931" s="1319"/>
      <c r="O931" s="1319"/>
      <c r="P931" s="1319"/>
      <c r="Q931" s="35">
        <v>43676</v>
      </c>
      <c r="R931" s="36">
        <v>2.06E-2</v>
      </c>
      <c r="S931" s="37">
        <v>1.84E-2</v>
      </c>
    </row>
    <row r="932" spans="1:19" x14ac:dyDescent="0.2">
      <c r="A932" s="1"/>
      <c r="B932" s="13">
        <v>44363</v>
      </c>
      <c r="C932" s="14">
        <v>210.26</v>
      </c>
      <c r="D932" s="15">
        <v>186983</v>
      </c>
      <c r="E932" s="14">
        <v>210.08</v>
      </c>
      <c r="F932" s="14">
        <v>212.14</v>
      </c>
      <c r="G932" s="16">
        <v>208.39</v>
      </c>
      <c r="H932" s="69">
        <f t="shared" si="29"/>
        <v>-1.0926884887644261E-3</v>
      </c>
      <c r="M932" s="225"/>
      <c r="N932" s="1319"/>
      <c r="O932" s="1319"/>
      <c r="P932" s="1319"/>
      <c r="Q932" s="35">
        <v>43677</v>
      </c>
      <c r="R932" s="36">
        <v>2.0199999999999999E-2</v>
      </c>
      <c r="S932" s="37">
        <v>1.84E-2</v>
      </c>
    </row>
    <row r="933" spans="1:19" x14ac:dyDescent="0.2">
      <c r="A933" s="1"/>
      <c r="B933" s="13">
        <v>44362</v>
      </c>
      <c r="C933" s="14">
        <v>210.49</v>
      </c>
      <c r="D933" s="15">
        <v>201808</v>
      </c>
      <c r="E933" s="14">
        <v>211.05</v>
      </c>
      <c r="F933" s="14">
        <v>211.52500000000001</v>
      </c>
      <c r="G933" s="16">
        <v>207.16</v>
      </c>
      <c r="H933" s="69">
        <f t="shared" si="29"/>
        <v>4.5337405745919934E-3</v>
      </c>
      <c r="M933" s="225"/>
      <c r="N933" s="1319"/>
      <c r="O933" s="1319"/>
      <c r="P933" s="1319"/>
      <c r="Q933" s="35">
        <v>43678</v>
      </c>
      <c r="R933" s="36">
        <v>1.9E-2</v>
      </c>
      <c r="S933" s="37">
        <v>1.6799999999999999E-2</v>
      </c>
    </row>
    <row r="934" spans="1:19" x14ac:dyDescent="0.2">
      <c r="A934" s="1"/>
      <c r="B934" s="13">
        <v>44361</v>
      </c>
      <c r="C934" s="14">
        <v>209.54</v>
      </c>
      <c r="D934" s="15">
        <v>355336</v>
      </c>
      <c r="E934" s="14">
        <v>206.27</v>
      </c>
      <c r="F934" s="14">
        <v>211.85</v>
      </c>
      <c r="G934" s="16">
        <v>206.27</v>
      </c>
      <c r="H934" s="69">
        <f t="shared" si="29"/>
        <v>1.8866089662549879E-2</v>
      </c>
      <c r="M934" s="225"/>
      <c r="N934" s="1319"/>
      <c r="O934" s="1319"/>
      <c r="P934" s="1319"/>
      <c r="Q934" s="35">
        <v>43679</v>
      </c>
      <c r="R934" s="36">
        <v>1.8600000000000002E-2</v>
      </c>
      <c r="S934" s="37">
        <v>1.66E-2</v>
      </c>
    </row>
    <row r="935" spans="1:19" x14ac:dyDescent="0.2">
      <c r="A935" s="1"/>
      <c r="B935" s="13">
        <v>44358</v>
      </c>
      <c r="C935" s="14">
        <v>205.66</v>
      </c>
      <c r="D935" s="15">
        <v>230216</v>
      </c>
      <c r="E935" s="14">
        <v>201.11</v>
      </c>
      <c r="F935" s="14">
        <v>206.64</v>
      </c>
      <c r="G935" s="16">
        <v>201.11</v>
      </c>
      <c r="H935" s="69">
        <f t="shared" si="29"/>
        <v>2.640115785796282E-2</v>
      </c>
      <c r="M935" s="225"/>
      <c r="N935" s="1319"/>
      <c r="O935" s="1319"/>
      <c r="P935" s="1319"/>
      <c r="Q935" s="35">
        <v>43682</v>
      </c>
      <c r="R935" s="36">
        <v>1.7500000000000002E-2</v>
      </c>
      <c r="S935" s="37">
        <v>1.55E-2</v>
      </c>
    </row>
    <row r="936" spans="1:19" x14ac:dyDescent="0.2">
      <c r="A936" s="1"/>
      <c r="B936" s="13">
        <v>44357</v>
      </c>
      <c r="C936" s="14">
        <v>200.37</v>
      </c>
      <c r="D936" s="15">
        <v>234528</v>
      </c>
      <c r="E936" s="14">
        <v>204.98</v>
      </c>
      <c r="F936" s="14">
        <v>204.98</v>
      </c>
      <c r="G936" s="16">
        <v>196.34</v>
      </c>
      <c r="H936" s="69">
        <f t="shared" ref="H936:H999" si="30">C936/C937-1</f>
        <v>-1.4557615698618021E-2</v>
      </c>
      <c r="M936" s="225"/>
      <c r="N936" s="1319"/>
      <c r="O936" s="1319"/>
      <c r="P936" s="1319"/>
      <c r="Q936" s="35">
        <v>43683</v>
      </c>
      <c r="R936" s="36">
        <v>1.7299999999999999E-2</v>
      </c>
      <c r="S936" s="37">
        <v>1.5300000000000001E-2</v>
      </c>
    </row>
    <row r="937" spans="1:19" x14ac:dyDescent="0.2">
      <c r="A937" s="1"/>
      <c r="B937" s="13">
        <v>44356</v>
      </c>
      <c r="C937" s="14">
        <v>203.33</v>
      </c>
      <c r="D937" s="15">
        <v>333699</v>
      </c>
      <c r="E937" s="14">
        <v>210.89</v>
      </c>
      <c r="F937" s="14">
        <v>215.42</v>
      </c>
      <c r="G937" s="16">
        <v>202.68</v>
      </c>
      <c r="H937" s="69">
        <f t="shared" si="30"/>
        <v>-3.5573684959446017E-2</v>
      </c>
      <c r="M937" s="225"/>
      <c r="N937" s="1319"/>
      <c r="O937" s="1319"/>
      <c r="P937" s="1319"/>
      <c r="Q937" s="35">
        <v>43684</v>
      </c>
      <c r="R937" s="36">
        <v>1.7100000000000001E-2</v>
      </c>
      <c r="S937" s="37">
        <v>1.52E-2</v>
      </c>
    </row>
    <row r="938" spans="1:19" x14ac:dyDescent="0.2">
      <c r="A938" s="1"/>
      <c r="B938" s="13">
        <v>44355</v>
      </c>
      <c r="C938" s="14">
        <v>210.83</v>
      </c>
      <c r="D938" s="15">
        <v>454051</v>
      </c>
      <c r="E938" s="14">
        <v>210.65</v>
      </c>
      <c r="F938" s="14">
        <v>211.59</v>
      </c>
      <c r="G938" s="16">
        <v>205.85</v>
      </c>
      <c r="H938" s="69">
        <f t="shared" si="30"/>
        <v>1.2340343801018117E-2</v>
      </c>
      <c r="M938" s="225"/>
      <c r="N938" s="1319"/>
      <c r="O938" s="1319"/>
      <c r="P938" s="1319"/>
      <c r="Q938" s="35">
        <v>43685</v>
      </c>
      <c r="R938" s="36">
        <v>1.72E-2</v>
      </c>
      <c r="S938" s="37">
        <v>1.54E-2</v>
      </c>
    </row>
    <row r="939" spans="1:19" x14ac:dyDescent="0.2">
      <c r="A939" s="1"/>
      <c r="B939" s="13">
        <v>44354</v>
      </c>
      <c r="C939" s="14">
        <v>208.26</v>
      </c>
      <c r="D939" s="15">
        <v>282341</v>
      </c>
      <c r="E939" s="14">
        <v>211</v>
      </c>
      <c r="F939" s="14">
        <v>212.78</v>
      </c>
      <c r="G939" s="16">
        <v>206.3</v>
      </c>
      <c r="H939" s="69">
        <f t="shared" si="30"/>
        <v>-9.2293054234062755E-3</v>
      </c>
      <c r="M939" s="225"/>
      <c r="N939" s="1319"/>
      <c r="O939" s="1319"/>
      <c r="P939" s="1319"/>
      <c r="Q939" s="35">
        <v>43686</v>
      </c>
      <c r="R939" s="36">
        <v>1.7399999999999999E-2</v>
      </c>
      <c r="S939" s="37">
        <v>1.5700000000000002E-2</v>
      </c>
    </row>
    <row r="940" spans="1:19" x14ac:dyDescent="0.2">
      <c r="A940" s="1"/>
      <c r="B940" s="13">
        <v>44351</v>
      </c>
      <c r="C940" s="14">
        <v>210.2</v>
      </c>
      <c r="D940" s="15">
        <v>434276</v>
      </c>
      <c r="E940" s="14">
        <v>216.16</v>
      </c>
      <c r="F940" s="14">
        <v>219.51</v>
      </c>
      <c r="G940" s="16">
        <v>206.32499999999999</v>
      </c>
      <c r="H940" s="69">
        <f t="shared" si="30"/>
        <v>-3.2272915611620157E-2</v>
      </c>
      <c r="M940" s="225"/>
      <c r="N940" s="1319"/>
      <c r="O940" s="1319"/>
      <c r="P940" s="1319"/>
      <c r="Q940" s="35">
        <v>43689</v>
      </c>
      <c r="R940" s="36">
        <v>1.6500000000000001E-2</v>
      </c>
      <c r="S940" s="37">
        <v>1.49E-2</v>
      </c>
    </row>
    <row r="941" spans="1:19" x14ac:dyDescent="0.2">
      <c r="A941" s="1"/>
      <c r="B941" s="13">
        <v>44350</v>
      </c>
      <c r="C941" s="14">
        <v>217.21</v>
      </c>
      <c r="D941" s="15">
        <v>263713</v>
      </c>
      <c r="E941" s="14">
        <v>222.94</v>
      </c>
      <c r="F941" s="14">
        <v>222.94</v>
      </c>
      <c r="G941" s="16">
        <v>216.83</v>
      </c>
      <c r="H941" s="69">
        <f t="shared" si="30"/>
        <v>-2.918566192902472E-2</v>
      </c>
      <c r="M941" s="225"/>
      <c r="N941" s="1319"/>
      <c r="O941" s="1319"/>
      <c r="P941" s="1319"/>
      <c r="Q941" s="35">
        <v>43690</v>
      </c>
      <c r="R941" s="36">
        <v>1.6799999999999999E-2</v>
      </c>
      <c r="S941" s="37">
        <v>1.5700000000000002E-2</v>
      </c>
    </row>
    <row r="942" spans="1:19" x14ac:dyDescent="0.2">
      <c r="A942" s="1"/>
      <c r="B942" s="13">
        <v>44349</v>
      </c>
      <c r="C942" s="14">
        <v>223.74</v>
      </c>
      <c r="D942" s="15">
        <v>216052</v>
      </c>
      <c r="E942" s="14">
        <v>234.48</v>
      </c>
      <c r="F942" s="14">
        <v>234.48</v>
      </c>
      <c r="G942" s="16">
        <v>222.61750000000001</v>
      </c>
      <c r="H942" s="69">
        <f t="shared" si="30"/>
        <v>-4.3764424309770011E-2</v>
      </c>
      <c r="M942" s="225"/>
      <c r="N942" s="1319"/>
      <c r="O942" s="1319"/>
      <c r="P942" s="1319"/>
      <c r="Q942" s="35">
        <v>43691</v>
      </c>
      <c r="R942" s="36">
        <v>1.5900000000000001E-2</v>
      </c>
      <c r="S942" s="37">
        <v>1.5100000000000001E-2</v>
      </c>
    </row>
    <row r="943" spans="1:19" x14ac:dyDescent="0.2">
      <c r="A943" s="1"/>
      <c r="B943" s="13">
        <v>44348</v>
      </c>
      <c r="C943" s="14">
        <v>233.98</v>
      </c>
      <c r="D943" s="15">
        <v>179982</v>
      </c>
      <c r="E943" s="14">
        <v>231.77</v>
      </c>
      <c r="F943" s="14">
        <v>235.64</v>
      </c>
      <c r="G943" s="16">
        <v>229.73</v>
      </c>
      <c r="H943" s="69">
        <f t="shared" si="30"/>
        <v>1.6597149808828648E-2</v>
      </c>
      <c r="M943" s="225"/>
      <c r="N943" s="1319"/>
      <c r="O943" s="1319"/>
      <c r="P943" s="1319"/>
      <c r="Q943" s="35">
        <v>43692</v>
      </c>
      <c r="R943" s="36">
        <v>1.52E-2</v>
      </c>
      <c r="S943" s="37">
        <v>1.4199999999999999E-2</v>
      </c>
    </row>
    <row r="944" spans="1:19" x14ac:dyDescent="0.2">
      <c r="A944" s="1"/>
      <c r="B944" s="13">
        <v>44344</v>
      </c>
      <c r="C944" s="14">
        <v>230.16</v>
      </c>
      <c r="D944" s="15">
        <v>103511</v>
      </c>
      <c r="E944" s="14">
        <v>230</v>
      </c>
      <c r="F944" s="14">
        <v>230.62</v>
      </c>
      <c r="G944" s="16">
        <v>224.47</v>
      </c>
      <c r="H944" s="69">
        <f t="shared" si="30"/>
        <v>3.5317200784825697E-3</v>
      </c>
      <c r="M944" s="225"/>
      <c r="N944" s="1319"/>
      <c r="O944" s="1319"/>
      <c r="P944" s="1319"/>
      <c r="Q944" s="35">
        <v>43693</v>
      </c>
      <c r="R944" s="36">
        <v>1.55E-2</v>
      </c>
      <c r="S944" s="37">
        <v>1.4199999999999999E-2</v>
      </c>
    </row>
    <row r="945" spans="1:19" x14ac:dyDescent="0.2">
      <c r="A945" s="1"/>
      <c r="B945" s="13">
        <v>44343</v>
      </c>
      <c r="C945" s="14">
        <v>229.35</v>
      </c>
      <c r="D945" s="15">
        <v>136529</v>
      </c>
      <c r="E945" s="14">
        <v>227.42</v>
      </c>
      <c r="F945" s="14">
        <v>231.41499999999999</v>
      </c>
      <c r="G945" s="16">
        <v>226.81</v>
      </c>
      <c r="H945" s="69">
        <f t="shared" si="30"/>
        <v>1.2940552954685991E-2</v>
      </c>
      <c r="M945" s="225"/>
      <c r="N945" s="1319"/>
      <c r="O945" s="1319"/>
      <c r="P945" s="1319"/>
      <c r="Q945" s="35">
        <v>43696</v>
      </c>
      <c r="R945" s="36">
        <v>1.6E-2</v>
      </c>
      <c r="S945" s="37">
        <v>1.47E-2</v>
      </c>
    </row>
    <row r="946" spans="1:19" x14ac:dyDescent="0.2">
      <c r="A946" s="1"/>
      <c r="B946" s="13">
        <v>44342</v>
      </c>
      <c r="C946" s="14">
        <v>226.42</v>
      </c>
      <c r="D946" s="15">
        <v>118378</v>
      </c>
      <c r="E946" s="14">
        <v>224.08</v>
      </c>
      <c r="F946" s="14">
        <v>227.09</v>
      </c>
      <c r="G946" s="16">
        <v>221.39</v>
      </c>
      <c r="H946" s="69">
        <f t="shared" si="30"/>
        <v>1.4199328107502796E-2</v>
      </c>
      <c r="M946" s="225"/>
      <c r="N946" s="1319"/>
      <c r="O946" s="1319"/>
      <c r="P946" s="1319"/>
      <c r="Q946" s="35">
        <v>43697</v>
      </c>
      <c r="R946" s="36">
        <v>1.55E-2</v>
      </c>
      <c r="S946" s="37">
        <v>1.4199999999999999E-2</v>
      </c>
    </row>
    <row r="947" spans="1:19" x14ac:dyDescent="0.2">
      <c r="A947" s="1"/>
      <c r="B947" s="13">
        <v>44341</v>
      </c>
      <c r="C947" s="14">
        <v>223.25</v>
      </c>
      <c r="D947" s="15">
        <v>128740</v>
      </c>
      <c r="E947" s="14">
        <v>228.02</v>
      </c>
      <c r="F947" s="14">
        <v>230.38</v>
      </c>
      <c r="G947" s="16">
        <v>222.72</v>
      </c>
      <c r="H947" s="69">
        <f t="shared" si="30"/>
        <v>-1.8292951057561235E-2</v>
      </c>
      <c r="M947" s="225"/>
      <c r="N947" s="1319"/>
      <c r="O947" s="1319"/>
      <c r="P947" s="1319"/>
      <c r="Q947" s="35">
        <v>43698</v>
      </c>
      <c r="R947" s="36">
        <v>1.5900000000000001E-2</v>
      </c>
      <c r="S947" s="37">
        <v>1.47E-2</v>
      </c>
    </row>
    <row r="948" spans="1:19" x14ac:dyDescent="0.2">
      <c r="A948" s="1"/>
      <c r="B948" s="13">
        <v>44340</v>
      </c>
      <c r="C948" s="14">
        <v>227.41</v>
      </c>
      <c r="D948" s="15">
        <v>96621</v>
      </c>
      <c r="E948" s="14">
        <v>229.79</v>
      </c>
      <c r="F948" s="14">
        <v>230.29</v>
      </c>
      <c r="G948" s="16">
        <v>226.38</v>
      </c>
      <c r="H948" s="69">
        <f t="shared" si="30"/>
        <v>-3.3308498049698931E-3</v>
      </c>
      <c r="M948" s="225"/>
      <c r="N948" s="1319"/>
      <c r="O948" s="1319"/>
      <c r="P948" s="1319"/>
      <c r="Q948" s="35">
        <v>43699</v>
      </c>
      <c r="R948" s="36">
        <v>1.6200000000000003E-2</v>
      </c>
      <c r="S948" s="37">
        <v>1.4999999999999999E-2</v>
      </c>
    </row>
    <row r="949" spans="1:19" x14ac:dyDescent="0.2">
      <c r="A949" s="1"/>
      <c r="B949" s="13">
        <v>44337</v>
      </c>
      <c r="C949" s="14">
        <v>228.17</v>
      </c>
      <c r="D949" s="15">
        <v>117411</v>
      </c>
      <c r="E949" s="14">
        <v>230.29</v>
      </c>
      <c r="F949" s="14">
        <v>232.62</v>
      </c>
      <c r="G949" s="16">
        <v>227.715</v>
      </c>
      <c r="H949" s="69">
        <f t="shared" si="30"/>
        <v>3.2978629847859597E-3</v>
      </c>
      <c r="M949" s="225"/>
      <c r="N949" s="1319"/>
      <c r="O949" s="1319"/>
      <c r="P949" s="1319"/>
      <c r="Q949" s="35">
        <v>43700</v>
      </c>
      <c r="R949" s="36">
        <v>1.52E-2</v>
      </c>
      <c r="S949" s="37">
        <v>1.3999999999999999E-2</v>
      </c>
    </row>
    <row r="950" spans="1:19" x14ac:dyDescent="0.2">
      <c r="A950" s="1"/>
      <c r="B950" s="13">
        <v>44336</v>
      </c>
      <c r="C950" s="14">
        <v>227.42</v>
      </c>
      <c r="D950" s="15">
        <v>196233</v>
      </c>
      <c r="E950" s="14">
        <v>228.91</v>
      </c>
      <c r="F950" s="14">
        <v>233.47</v>
      </c>
      <c r="G950" s="16">
        <v>223.86</v>
      </c>
      <c r="H950" s="69">
        <f t="shared" si="30"/>
        <v>-8.7935279634243635E-5</v>
      </c>
      <c r="M950" s="225"/>
      <c r="N950" s="1319"/>
      <c r="O950" s="1319"/>
      <c r="P950" s="1319"/>
      <c r="Q950" s="35">
        <v>43703</v>
      </c>
      <c r="R950" s="36">
        <v>1.54E-2</v>
      </c>
      <c r="S950" s="37">
        <v>1.43E-2</v>
      </c>
    </row>
    <row r="951" spans="1:19" x14ac:dyDescent="0.2">
      <c r="A951" s="1"/>
      <c r="B951" s="13">
        <v>44335</v>
      </c>
      <c r="C951" s="14">
        <v>227.44</v>
      </c>
      <c r="D951" s="15">
        <v>256512</v>
      </c>
      <c r="E951" s="14">
        <v>230.37</v>
      </c>
      <c r="F951" s="14">
        <v>233.03</v>
      </c>
      <c r="G951" s="16">
        <v>225.94499999999999</v>
      </c>
      <c r="H951" s="69">
        <f t="shared" si="30"/>
        <v>-2.9071504802561376E-2</v>
      </c>
      <c r="M951" s="225"/>
      <c r="N951" s="1319"/>
      <c r="O951" s="1319"/>
      <c r="P951" s="1319"/>
      <c r="Q951" s="35">
        <v>43704</v>
      </c>
      <c r="R951" s="36">
        <v>1.49E-2</v>
      </c>
      <c r="S951" s="37">
        <v>1.3999999999999999E-2</v>
      </c>
    </row>
    <row r="952" spans="1:19" x14ac:dyDescent="0.2">
      <c r="A952" s="1"/>
      <c r="B952" s="13">
        <v>44334</v>
      </c>
      <c r="C952" s="14">
        <v>234.25</v>
      </c>
      <c r="D952" s="15">
        <v>277306</v>
      </c>
      <c r="E952" s="14">
        <v>241.61</v>
      </c>
      <c r="F952" s="14">
        <v>241.61</v>
      </c>
      <c r="G952" s="16">
        <v>234.24</v>
      </c>
      <c r="H952" s="69">
        <f t="shared" si="30"/>
        <v>-2.6351884949499138E-2</v>
      </c>
      <c r="M952" s="225"/>
      <c r="N952" s="1319"/>
      <c r="O952" s="1319"/>
      <c r="P952" s="1319"/>
      <c r="Q952" s="35">
        <v>43705</v>
      </c>
      <c r="R952" s="36">
        <v>1.47E-2</v>
      </c>
      <c r="S952" s="37">
        <v>1.37E-2</v>
      </c>
    </row>
    <row r="953" spans="1:19" x14ac:dyDescent="0.2">
      <c r="A953" s="1"/>
      <c r="B953" s="13">
        <v>44333</v>
      </c>
      <c r="C953" s="14">
        <v>240.59</v>
      </c>
      <c r="D953" s="15">
        <v>160723</v>
      </c>
      <c r="E953" s="14">
        <v>242.48</v>
      </c>
      <c r="F953" s="14">
        <v>244.44</v>
      </c>
      <c r="G953" s="16">
        <v>238.73</v>
      </c>
      <c r="H953" s="69">
        <f t="shared" si="30"/>
        <v>-1.4015819023810439E-2</v>
      </c>
      <c r="M953" s="225"/>
      <c r="N953" s="1319"/>
      <c r="O953" s="1319"/>
      <c r="P953" s="1319"/>
      <c r="Q953" s="35">
        <v>43706</v>
      </c>
      <c r="R953" s="36">
        <v>1.4999999999999999E-2</v>
      </c>
      <c r="S953" s="37">
        <v>1.3999999999999999E-2</v>
      </c>
    </row>
    <row r="954" spans="1:19" x14ac:dyDescent="0.2">
      <c r="A954" s="1"/>
      <c r="B954" s="13">
        <v>44330</v>
      </c>
      <c r="C954" s="14">
        <v>244.01</v>
      </c>
      <c r="D954" s="15">
        <v>153836</v>
      </c>
      <c r="E954" s="14">
        <v>237.85</v>
      </c>
      <c r="F954" s="14">
        <v>245.16</v>
      </c>
      <c r="G954" s="16">
        <v>236.32</v>
      </c>
      <c r="H954" s="69">
        <f t="shared" si="30"/>
        <v>3.5256682223165026E-2</v>
      </c>
      <c r="M954" s="225"/>
      <c r="N954" s="1319"/>
      <c r="O954" s="1319"/>
      <c r="P954" s="1319"/>
      <c r="Q954" s="35">
        <v>43707</v>
      </c>
      <c r="R954" s="36">
        <v>1.4999999999999999E-2</v>
      </c>
      <c r="S954" s="37">
        <v>1.3899999999999999E-2</v>
      </c>
    </row>
    <row r="955" spans="1:19" x14ac:dyDescent="0.2">
      <c r="A955" s="1"/>
      <c r="B955" s="13">
        <v>44329</v>
      </c>
      <c r="C955" s="14">
        <v>235.7</v>
      </c>
      <c r="D955" s="15">
        <v>136598</v>
      </c>
      <c r="E955" s="14">
        <v>228.8</v>
      </c>
      <c r="F955" s="14">
        <v>237.26</v>
      </c>
      <c r="G955" s="16">
        <v>228.8</v>
      </c>
      <c r="H955" s="69">
        <f t="shared" si="30"/>
        <v>3.2549174223507116E-2</v>
      </c>
      <c r="M955" s="225"/>
      <c r="N955" s="1319"/>
      <c r="O955" s="1319"/>
      <c r="P955" s="1319"/>
      <c r="Q955" s="35">
        <v>43711</v>
      </c>
      <c r="R955" s="36">
        <v>1.47E-2</v>
      </c>
      <c r="S955" s="37">
        <v>1.3500000000000002E-2</v>
      </c>
    </row>
    <row r="956" spans="1:19" x14ac:dyDescent="0.2">
      <c r="A956" s="1"/>
      <c r="B956" s="13">
        <v>44328</v>
      </c>
      <c r="C956" s="14">
        <v>228.27</v>
      </c>
      <c r="D956" s="15">
        <v>151739</v>
      </c>
      <c r="E956" s="14">
        <v>239.75</v>
      </c>
      <c r="F956" s="14">
        <v>241.53</v>
      </c>
      <c r="G956" s="16">
        <v>227.35</v>
      </c>
      <c r="H956" s="69">
        <f t="shared" si="30"/>
        <v>-6.0230547550432223E-2</v>
      </c>
      <c r="M956" s="225"/>
      <c r="N956" s="1319"/>
      <c r="O956" s="1319"/>
      <c r="P956" s="1319"/>
      <c r="Q956" s="35">
        <v>43712</v>
      </c>
      <c r="R956" s="36">
        <v>1.47E-2</v>
      </c>
      <c r="S956" s="37">
        <v>1.32E-2</v>
      </c>
    </row>
    <row r="957" spans="1:19" x14ac:dyDescent="0.2">
      <c r="A957" s="1"/>
      <c r="B957" s="13">
        <v>44327</v>
      </c>
      <c r="C957" s="14">
        <v>242.9</v>
      </c>
      <c r="D957" s="15">
        <v>171260</v>
      </c>
      <c r="E957" s="14">
        <v>234.02</v>
      </c>
      <c r="F957" s="14">
        <v>242.97</v>
      </c>
      <c r="G957" s="16">
        <v>232.49</v>
      </c>
      <c r="H957" s="69">
        <f t="shared" si="30"/>
        <v>1.7126585988861409E-2</v>
      </c>
      <c r="M957" s="225"/>
      <c r="N957" s="1319"/>
      <c r="O957" s="1319"/>
      <c r="P957" s="1319"/>
      <c r="Q957" s="35">
        <v>43713</v>
      </c>
      <c r="R957" s="36">
        <v>1.5700000000000002E-2</v>
      </c>
      <c r="S957" s="37">
        <v>1.43E-2</v>
      </c>
    </row>
    <row r="958" spans="1:19" x14ac:dyDescent="0.2">
      <c r="A958" s="1"/>
      <c r="B958" s="13">
        <v>44326</v>
      </c>
      <c r="C958" s="14">
        <v>238.81</v>
      </c>
      <c r="D958" s="15">
        <v>141092</v>
      </c>
      <c r="E958" s="14">
        <v>245.31</v>
      </c>
      <c r="F958" s="14">
        <v>249.3</v>
      </c>
      <c r="G958" s="16">
        <v>238.59</v>
      </c>
      <c r="H958" s="69">
        <f t="shared" si="30"/>
        <v>-2.4867292772560279E-2</v>
      </c>
      <c r="M958" s="225"/>
      <c r="N958" s="1319"/>
      <c r="O958" s="1319"/>
      <c r="P958" s="1319"/>
      <c r="Q958" s="35">
        <v>43714</v>
      </c>
      <c r="R958" s="36">
        <v>1.55E-2</v>
      </c>
      <c r="S958" s="37">
        <v>1.4199999999999999E-2</v>
      </c>
    </row>
    <row r="959" spans="1:19" x14ac:dyDescent="0.2">
      <c r="A959" s="1"/>
      <c r="B959" s="13">
        <v>44323</v>
      </c>
      <c r="C959" s="14">
        <v>244.9</v>
      </c>
      <c r="D959" s="15">
        <v>174385</v>
      </c>
      <c r="E959" s="14">
        <v>239.01</v>
      </c>
      <c r="F959" s="14">
        <v>245.78</v>
      </c>
      <c r="G959" s="16">
        <v>237.38</v>
      </c>
      <c r="H959" s="69">
        <f t="shared" si="30"/>
        <v>3.4905341446923588E-2</v>
      </c>
      <c r="M959" s="225"/>
      <c r="N959" s="1319"/>
      <c r="O959" s="1319"/>
      <c r="P959" s="1319"/>
      <c r="Q959" s="35">
        <v>43717</v>
      </c>
      <c r="R959" s="36">
        <v>1.6299999999999999E-2</v>
      </c>
      <c r="S959" s="37">
        <v>1.49E-2</v>
      </c>
    </row>
    <row r="960" spans="1:19" x14ac:dyDescent="0.2">
      <c r="A960" s="1"/>
      <c r="B960" s="13">
        <v>44322</v>
      </c>
      <c r="C960" s="14">
        <v>236.64</v>
      </c>
      <c r="D960" s="15">
        <v>135040</v>
      </c>
      <c r="E960" s="14">
        <v>237.64</v>
      </c>
      <c r="F960" s="14">
        <v>238.59</v>
      </c>
      <c r="G960" s="16">
        <v>233.3</v>
      </c>
      <c r="H960" s="69">
        <f t="shared" si="30"/>
        <v>-6.17361723573151E-3</v>
      </c>
      <c r="M960" s="225"/>
      <c r="N960" s="1319"/>
      <c r="O960" s="1319"/>
      <c r="P960" s="1319"/>
      <c r="Q960" s="35">
        <v>43718</v>
      </c>
      <c r="R960" s="36">
        <v>1.72E-2</v>
      </c>
      <c r="S960" s="37">
        <v>1.5800000000000002E-2</v>
      </c>
    </row>
    <row r="961" spans="1:19" x14ac:dyDescent="0.2">
      <c r="A961" s="1"/>
      <c r="B961" s="13">
        <v>44321</v>
      </c>
      <c r="C961" s="14">
        <v>238.11</v>
      </c>
      <c r="D961" s="15">
        <v>121120</v>
      </c>
      <c r="E961" s="14">
        <v>237.85</v>
      </c>
      <c r="F961" s="14">
        <v>240.93</v>
      </c>
      <c r="G961" s="16">
        <v>236.303</v>
      </c>
      <c r="H961" s="69">
        <f t="shared" si="30"/>
        <v>9.4111662215441427E-3</v>
      </c>
      <c r="M961" s="225"/>
      <c r="N961" s="1319"/>
      <c r="O961" s="1319"/>
      <c r="P961" s="1319"/>
      <c r="Q961" s="35">
        <v>43719</v>
      </c>
      <c r="R961" s="36">
        <v>1.7500000000000002E-2</v>
      </c>
      <c r="S961" s="37">
        <v>1.6E-2</v>
      </c>
    </row>
    <row r="962" spans="1:19" x14ac:dyDescent="0.2">
      <c r="A962" s="1"/>
      <c r="B962" s="13">
        <v>44320</v>
      </c>
      <c r="C962" s="14">
        <v>235.89</v>
      </c>
      <c r="D962" s="15">
        <v>342848</v>
      </c>
      <c r="E962" s="14">
        <v>232.87</v>
      </c>
      <c r="F962" s="14">
        <v>239.85499999999999</v>
      </c>
      <c r="G962" s="16">
        <v>230.14</v>
      </c>
      <c r="H962" s="69">
        <f t="shared" si="30"/>
        <v>2.1667091511596848E-3</v>
      </c>
      <c r="M962" s="225"/>
      <c r="N962" s="1319"/>
      <c r="O962" s="1319"/>
      <c r="P962" s="1319"/>
      <c r="Q962" s="35">
        <v>43720</v>
      </c>
      <c r="R962" s="36">
        <v>1.7899999999999999E-2</v>
      </c>
      <c r="S962" s="37">
        <v>1.6500000000000001E-2</v>
      </c>
    </row>
    <row r="963" spans="1:19" x14ac:dyDescent="0.2">
      <c r="A963" s="1"/>
      <c r="B963" s="13">
        <v>44319</v>
      </c>
      <c r="C963" s="14">
        <v>235.38</v>
      </c>
      <c r="D963" s="15">
        <v>213697</v>
      </c>
      <c r="E963" s="14">
        <v>237.49</v>
      </c>
      <c r="F963" s="14">
        <v>240.20500000000001</v>
      </c>
      <c r="G963" s="16">
        <v>235.15</v>
      </c>
      <c r="H963" s="69">
        <f t="shared" si="30"/>
        <v>3.7526652452024578E-3</v>
      </c>
      <c r="M963" s="225"/>
      <c r="N963" s="1319"/>
      <c r="O963" s="1319"/>
      <c r="P963" s="1319"/>
      <c r="Q963" s="35">
        <v>43721</v>
      </c>
      <c r="R963" s="36">
        <v>1.9E-2</v>
      </c>
      <c r="S963" s="37">
        <v>1.7500000000000002E-2</v>
      </c>
    </row>
    <row r="964" spans="1:19" x14ac:dyDescent="0.2">
      <c r="A964" s="1"/>
      <c r="B964" s="13">
        <v>44316</v>
      </c>
      <c r="C964" s="14">
        <v>234.5</v>
      </c>
      <c r="D964" s="15">
        <v>186387</v>
      </c>
      <c r="E964" s="14">
        <v>236.73</v>
      </c>
      <c r="F964" s="14">
        <v>238.5</v>
      </c>
      <c r="G964" s="16">
        <v>232.45</v>
      </c>
      <c r="H964" s="69">
        <f t="shared" si="30"/>
        <v>-2.128547579298834E-2</v>
      </c>
      <c r="M964" s="225"/>
      <c r="N964" s="1319"/>
      <c r="O964" s="1319"/>
      <c r="P964" s="1319"/>
      <c r="Q964" s="35">
        <v>43724</v>
      </c>
      <c r="R964" s="36">
        <v>1.84E-2</v>
      </c>
      <c r="S964" s="37">
        <v>1.6899999999999998E-2</v>
      </c>
    </row>
    <row r="965" spans="1:19" x14ac:dyDescent="0.2">
      <c r="A965" s="1"/>
      <c r="B965" s="13">
        <v>44315</v>
      </c>
      <c r="C965" s="14">
        <v>239.6</v>
      </c>
      <c r="D965" s="15">
        <v>183170</v>
      </c>
      <c r="E965" s="14">
        <v>237.08</v>
      </c>
      <c r="F965" s="14">
        <v>240.185</v>
      </c>
      <c r="G965" s="16">
        <v>233.13499999999999</v>
      </c>
      <c r="H965" s="69">
        <f t="shared" si="30"/>
        <v>2.4369388627618616E-2</v>
      </c>
      <c r="M965" s="225"/>
      <c r="N965" s="1319"/>
      <c r="O965" s="1319"/>
      <c r="P965" s="1319"/>
      <c r="Q965" s="35">
        <v>43725</v>
      </c>
      <c r="R965" s="36">
        <v>1.8100000000000002E-2</v>
      </c>
      <c r="S965" s="37">
        <v>1.66E-2</v>
      </c>
    </row>
    <row r="966" spans="1:19" x14ac:dyDescent="0.2">
      <c r="A966" s="1"/>
      <c r="B966" s="13">
        <v>44314</v>
      </c>
      <c r="C966" s="14">
        <v>233.9</v>
      </c>
      <c r="D966" s="15">
        <v>263813</v>
      </c>
      <c r="E966" s="14">
        <v>240.92</v>
      </c>
      <c r="F966" s="14">
        <v>241.63</v>
      </c>
      <c r="G966" s="16">
        <v>228.3</v>
      </c>
      <c r="H966" s="69">
        <f t="shared" si="30"/>
        <v>-2.9460580912863077E-2</v>
      </c>
      <c r="M966" s="225"/>
      <c r="N966" s="1319"/>
      <c r="O966" s="1319"/>
      <c r="P966" s="1319"/>
      <c r="Q966" s="35">
        <v>43726</v>
      </c>
      <c r="R966" s="36">
        <v>1.8000000000000002E-2</v>
      </c>
      <c r="S966" s="37">
        <v>1.6799999999999999E-2</v>
      </c>
    </row>
    <row r="967" spans="1:19" x14ac:dyDescent="0.2">
      <c r="A967" s="1"/>
      <c r="B967" s="13">
        <v>44313</v>
      </c>
      <c r="C967" s="14">
        <v>241</v>
      </c>
      <c r="D967" s="15">
        <v>185362</v>
      </c>
      <c r="E967" s="14">
        <v>238.09</v>
      </c>
      <c r="F967" s="14">
        <v>243.6</v>
      </c>
      <c r="G967" s="16">
        <v>236.99</v>
      </c>
      <c r="H967" s="69">
        <f t="shared" si="30"/>
        <v>1.3414070055927096E-2</v>
      </c>
      <c r="M967" s="225"/>
      <c r="N967" s="1319"/>
      <c r="O967" s="1319"/>
      <c r="P967" s="1319"/>
      <c r="Q967" s="35">
        <v>43727</v>
      </c>
      <c r="R967" s="36">
        <v>1.7899999999999999E-2</v>
      </c>
      <c r="S967" s="37">
        <v>1.66E-2</v>
      </c>
    </row>
    <row r="968" spans="1:19" x14ac:dyDescent="0.2">
      <c r="A968" s="1"/>
      <c r="B968" s="13">
        <v>44312</v>
      </c>
      <c r="C968" s="14">
        <v>237.81</v>
      </c>
      <c r="D968" s="15">
        <v>151514</v>
      </c>
      <c r="E968" s="14">
        <v>244.12</v>
      </c>
      <c r="F968" s="14">
        <v>244.69</v>
      </c>
      <c r="G968" s="16">
        <v>236.17</v>
      </c>
      <c r="H968" s="69">
        <f t="shared" si="30"/>
        <v>-1.6867171028153272E-2</v>
      </c>
      <c r="M968" s="225"/>
      <c r="N968" s="1319"/>
      <c r="O968" s="1319"/>
      <c r="P968" s="1319"/>
      <c r="Q968" s="35">
        <v>43728</v>
      </c>
      <c r="R968" s="36">
        <v>1.7399999999999999E-2</v>
      </c>
      <c r="S968" s="37">
        <v>1.61E-2</v>
      </c>
    </row>
    <row r="969" spans="1:19" x14ac:dyDescent="0.2">
      <c r="A969" s="1"/>
      <c r="B969" s="13">
        <v>44309</v>
      </c>
      <c r="C969" s="14">
        <v>241.89</v>
      </c>
      <c r="D969" s="15">
        <v>112596</v>
      </c>
      <c r="E969" s="14">
        <v>241.59</v>
      </c>
      <c r="F969" s="14">
        <v>244.76</v>
      </c>
      <c r="G969" s="16">
        <v>239.64099999999999</v>
      </c>
      <c r="H969" s="69">
        <f t="shared" si="30"/>
        <v>1.0780995361664658E-2</v>
      </c>
      <c r="M969" s="225"/>
      <c r="N969" s="1319"/>
      <c r="O969" s="1319"/>
      <c r="P969" s="1319"/>
      <c r="Q969" s="35">
        <v>43731</v>
      </c>
      <c r="R969" s="36">
        <v>1.72E-2</v>
      </c>
      <c r="S969" s="37">
        <v>1.5900000000000001E-2</v>
      </c>
    </row>
    <row r="970" spans="1:19" x14ac:dyDescent="0.2">
      <c r="A970" s="1"/>
      <c r="B970" s="13">
        <v>44308</v>
      </c>
      <c r="C970" s="14">
        <v>239.31</v>
      </c>
      <c r="D970" s="15">
        <v>147625</v>
      </c>
      <c r="E970" s="14">
        <v>240.39</v>
      </c>
      <c r="F970" s="14">
        <v>247.01</v>
      </c>
      <c r="G970" s="16">
        <v>238.88</v>
      </c>
      <c r="H970" s="69">
        <f t="shared" si="30"/>
        <v>1.8000669792364032E-3</v>
      </c>
      <c r="M970" s="225"/>
      <c r="N970" s="1319"/>
      <c r="O970" s="1319"/>
      <c r="P970" s="1319"/>
      <c r="Q970" s="35">
        <v>43732</v>
      </c>
      <c r="R970" s="36">
        <v>1.6399999999999998E-2</v>
      </c>
      <c r="S970" s="37">
        <v>1.52E-2</v>
      </c>
    </row>
    <row r="971" spans="1:19" x14ac:dyDescent="0.2">
      <c r="A971" s="1"/>
      <c r="B971" s="13">
        <v>44307</v>
      </c>
      <c r="C971" s="14">
        <v>238.88</v>
      </c>
      <c r="D971" s="15">
        <v>150542</v>
      </c>
      <c r="E971" s="14">
        <v>236.84</v>
      </c>
      <c r="F971" s="14">
        <v>240.35</v>
      </c>
      <c r="G971" s="16">
        <v>233.99</v>
      </c>
      <c r="H971" s="69">
        <f t="shared" si="30"/>
        <v>1.1175076193701283E-2</v>
      </c>
      <c r="M971" s="225"/>
      <c r="N971" s="1319"/>
      <c r="O971" s="1319"/>
      <c r="P971" s="1319"/>
      <c r="Q971" s="35">
        <v>43733</v>
      </c>
      <c r="R971" s="36">
        <v>1.7299999999999999E-2</v>
      </c>
      <c r="S971" s="37">
        <v>1.6E-2</v>
      </c>
    </row>
    <row r="972" spans="1:19" x14ac:dyDescent="0.2">
      <c r="A972" s="1"/>
      <c r="B972" s="13">
        <v>44306</v>
      </c>
      <c r="C972" s="14">
        <v>236.24</v>
      </c>
      <c r="D972" s="15">
        <v>202846</v>
      </c>
      <c r="E972" s="14">
        <v>240.4</v>
      </c>
      <c r="F972" s="14">
        <v>242.7</v>
      </c>
      <c r="G972" s="16">
        <v>231.72</v>
      </c>
      <c r="H972" s="69">
        <f t="shared" si="30"/>
        <v>-1.5953680176615137E-2</v>
      </c>
      <c r="M972" s="225"/>
      <c r="N972" s="1319"/>
      <c r="O972" s="1319"/>
      <c r="P972" s="1319"/>
      <c r="Q972" s="35">
        <v>43734</v>
      </c>
      <c r="R972" s="36">
        <v>1.7000000000000001E-2</v>
      </c>
      <c r="S972" s="37">
        <v>1.5900000000000001E-2</v>
      </c>
    </row>
    <row r="973" spans="1:19" x14ac:dyDescent="0.2">
      <c r="A973" s="1"/>
      <c r="B973" s="13">
        <v>44305</v>
      </c>
      <c r="C973" s="14">
        <v>240.07</v>
      </c>
      <c r="D973" s="15">
        <v>105506</v>
      </c>
      <c r="E973" s="14">
        <v>243.14</v>
      </c>
      <c r="F973" s="14">
        <v>243.14</v>
      </c>
      <c r="G973" s="16">
        <v>234.68</v>
      </c>
      <c r="H973" s="69">
        <f t="shared" si="30"/>
        <v>-1.1121637764138992E-2</v>
      </c>
      <c r="M973" s="225"/>
      <c r="N973" s="1319"/>
      <c r="O973" s="1319"/>
      <c r="P973" s="1319"/>
      <c r="Q973" s="35">
        <v>43735</v>
      </c>
      <c r="R973" s="36">
        <v>1.6899999999999998E-2</v>
      </c>
      <c r="S973" s="37">
        <v>1.5600000000000001E-2</v>
      </c>
    </row>
    <row r="974" spans="1:19" x14ac:dyDescent="0.2">
      <c r="A974" s="1"/>
      <c r="B974" s="13">
        <v>44302</v>
      </c>
      <c r="C974" s="14">
        <v>242.77</v>
      </c>
      <c r="D974" s="15">
        <v>123870</v>
      </c>
      <c r="E974" s="14">
        <v>241.3</v>
      </c>
      <c r="F974" s="14">
        <v>247.6</v>
      </c>
      <c r="G974" s="16">
        <v>240.93</v>
      </c>
      <c r="H974" s="69">
        <f t="shared" si="30"/>
        <v>5.1755548194767353E-3</v>
      </c>
      <c r="M974" s="225"/>
      <c r="N974" s="1319"/>
      <c r="O974" s="1319"/>
      <c r="P974" s="1319"/>
      <c r="Q974" s="35">
        <v>43738</v>
      </c>
      <c r="R974" s="36">
        <v>1.6799999999999999E-2</v>
      </c>
      <c r="S974" s="37">
        <v>1.55E-2</v>
      </c>
    </row>
    <row r="975" spans="1:19" x14ac:dyDescent="0.2">
      <c r="A975" s="1"/>
      <c r="B975" s="13">
        <v>44301</v>
      </c>
      <c r="C975" s="14">
        <v>241.52</v>
      </c>
      <c r="D975" s="15">
        <v>117885</v>
      </c>
      <c r="E975" s="14">
        <v>241.71</v>
      </c>
      <c r="F975" s="14">
        <v>243.36</v>
      </c>
      <c r="G975" s="16">
        <v>238.33</v>
      </c>
      <c r="H975" s="69">
        <f t="shared" si="30"/>
        <v>1.3129745375225488E-2</v>
      </c>
      <c r="M975" s="225"/>
      <c r="N975" s="1319"/>
      <c r="O975" s="1319"/>
      <c r="P975" s="1319"/>
      <c r="Q975" s="35">
        <v>43739</v>
      </c>
      <c r="R975" s="36">
        <v>1.6500000000000001E-2</v>
      </c>
      <c r="S975" s="37">
        <v>1.5100000000000001E-2</v>
      </c>
    </row>
    <row r="976" spans="1:19" x14ac:dyDescent="0.2">
      <c r="A976" s="1"/>
      <c r="B976" s="13">
        <v>44300</v>
      </c>
      <c r="C976" s="14">
        <v>238.39</v>
      </c>
      <c r="D976" s="15">
        <v>111054</v>
      </c>
      <c r="E976" s="14">
        <v>239.53</v>
      </c>
      <c r="F976" s="14">
        <v>242.95</v>
      </c>
      <c r="G976" s="16">
        <v>237.07</v>
      </c>
      <c r="H976" s="69">
        <f t="shared" si="30"/>
        <v>-3.4696095644177749E-3</v>
      </c>
      <c r="M976" s="225"/>
      <c r="N976" s="1319"/>
      <c r="O976" s="1319"/>
      <c r="P976" s="1319"/>
      <c r="Q976" s="35">
        <v>43740</v>
      </c>
      <c r="R976" s="36">
        <v>1.6E-2</v>
      </c>
      <c r="S976" s="37">
        <v>1.43E-2</v>
      </c>
    </row>
    <row r="977" spans="1:19" x14ac:dyDescent="0.2">
      <c r="A977" s="1"/>
      <c r="B977" s="13">
        <v>44299</v>
      </c>
      <c r="C977" s="14">
        <v>239.22</v>
      </c>
      <c r="D977" s="15">
        <v>162234</v>
      </c>
      <c r="E977" s="14">
        <v>238.89</v>
      </c>
      <c r="F977" s="14">
        <v>240.15</v>
      </c>
      <c r="G977" s="16">
        <v>235.75</v>
      </c>
      <c r="H977" s="69">
        <f t="shared" si="30"/>
        <v>3.7764350453173279E-3</v>
      </c>
      <c r="M977" s="225"/>
      <c r="N977" s="1319"/>
      <c r="O977" s="1319"/>
      <c r="P977" s="1319"/>
      <c r="Q977" s="35">
        <v>43741</v>
      </c>
      <c r="R977" s="36">
        <v>1.54E-2</v>
      </c>
      <c r="S977" s="37">
        <v>1.34E-2</v>
      </c>
    </row>
    <row r="978" spans="1:19" x14ac:dyDescent="0.2">
      <c r="A978" s="1"/>
      <c r="B978" s="13">
        <v>44298</v>
      </c>
      <c r="C978" s="14">
        <v>238.32</v>
      </c>
      <c r="D978" s="15">
        <v>122530</v>
      </c>
      <c r="E978" s="14">
        <v>235.32</v>
      </c>
      <c r="F978" s="14">
        <v>240.34</v>
      </c>
      <c r="G978" s="16">
        <v>233.8</v>
      </c>
      <c r="H978" s="69">
        <f t="shared" si="30"/>
        <v>1.1201629327902252E-2</v>
      </c>
      <c r="M978" s="225"/>
      <c r="N978" s="1319"/>
      <c r="O978" s="1319"/>
      <c r="P978" s="1319"/>
      <c r="Q978" s="35">
        <v>43742</v>
      </c>
      <c r="R978" s="36">
        <v>1.52E-2</v>
      </c>
      <c r="S978" s="37">
        <v>1.34E-2</v>
      </c>
    </row>
    <row r="979" spans="1:19" x14ac:dyDescent="0.2">
      <c r="A979" s="1"/>
      <c r="B979" s="13">
        <v>44295</v>
      </c>
      <c r="C979" s="14">
        <v>235.68</v>
      </c>
      <c r="D979" s="15">
        <v>215142</v>
      </c>
      <c r="E979" s="14">
        <v>236.15</v>
      </c>
      <c r="F979" s="14">
        <v>243.09</v>
      </c>
      <c r="G979" s="16">
        <v>232.8</v>
      </c>
      <c r="H979" s="69">
        <f t="shared" si="30"/>
        <v>4.8605781529804659E-3</v>
      </c>
      <c r="M979" s="225"/>
      <c r="N979" s="1319"/>
      <c r="O979" s="1319"/>
      <c r="P979" s="1319"/>
      <c r="Q979" s="35">
        <v>43745</v>
      </c>
      <c r="R979" s="36">
        <v>1.5600000000000001E-2</v>
      </c>
      <c r="S979" s="37">
        <v>1.38E-2</v>
      </c>
    </row>
    <row r="980" spans="1:19" x14ac:dyDescent="0.2">
      <c r="A980" s="1"/>
      <c r="B980" s="13">
        <v>44294</v>
      </c>
      <c r="C980" s="14">
        <v>234.54</v>
      </c>
      <c r="D980" s="15">
        <v>110691</v>
      </c>
      <c r="E980" s="14">
        <v>231.11</v>
      </c>
      <c r="F980" s="14">
        <v>234.78</v>
      </c>
      <c r="G980" s="16">
        <v>228.11</v>
      </c>
      <c r="H980" s="69">
        <f t="shared" si="30"/>
        <v>2.1960784313725501E-2</v>
      </c>
      <c r="M980" s="225"/>
      <c r="N980" s="1319"/>
      <c r="O980" s="1319"/>
      <c r="P980" s="1319"/>
      <c r="Q980" s="35">
        <v>43746</v>
      </c>
      <c r="R980" s="36">
        <v>1.54E-2</v>
      </c>
      <c r="S980" s="37">
        <v>1.3600000000000001E-2</v>
      </c>
    </row>
    <row r="981" spans="1:19" x14ac:dyDescent="0.2">
      <c r="A981" s="1"/>
      <c r="B981" s="13">
        <v>44293</v>
      </c>
      <c r="C981" s="14">
        <v>229.5</v>
      </c>
      <c r="D981" s="15">
        <v>183896</v>
      </c>
      <c r="E981" s="14">
        <v>232.49</v>
      </c>
      <c r="F981" s="14">
        <v>234.05</v>
      </c>
      <c r="G981" s="16">
        <v>228.85</v>
      </c>
      <c r="H981" s="69">
        <f t="shared" si="30"/>
        <v>3.6296846984738007E-3</v>
      </c>
      <c r="M981" s="225"/>
      <c r="N981" s="1319"/>
      <c r="O981" s="1319"/>
      <c r="P981" s="1319"/>
      <c r="Q981" s="35">
        <v>43747</v>
      </c>
      <c r="R981" s="36">
        <v>1.5900000000000001E-2</v>
      </c>
      <c r="S981" s="37">
        <v>1.3999999999999999E-2</v>
      </c>
    </row>
    <row r="982" spans="1:19" x14ac:dyDescent="0.2">
      <c r="A982" s="1"/>
      <c r="B982" s="13">
        <v>44292</v>
      </c>
      <c r="C982" s="14">
        <v>228.67</v>
      </c>
      <c r="D982" s="15">
        <v>230162</v>
      </c>
      <c r="E982" s="14">
        <v>237.1</v>
      </c>
      <c r="F982" s="14">
        <v>240.56</v>
      </c>
      <c r="G982" s="16">
        <v>226.91</v>
      </c>
      <c r="H982" s="69">
        <f t="shared" si="30"/>
        <v>-4.5737178149647395E-2</v>
      </c>
      <c r="M982" s="225"/>
      <c r="N982" s="1319"/>
      <c r="O982" s="1319"/>
      <c r="P982" s="1319"/>
      <c r="Q982" s="35">
        <v>43748</v>
      </c>
      <c r="R982" s="36">
        <v>1.67E-2</v>
      </c>
      <c r="S982" s="37">
        <v>1.4800000000000001E-2</v>
      </c>
    </row>
    <row r="983" spans="1:19" x14ac:dyDescent="0.2">
      <c r="A983" s="1"/>
      <c r="B983" s="13">
        <v>44291</v>
      </c>
      <c r="C983" s="14">
        <v>239.63</v>
      </c>
      <c r="D983" s="15">
        <v>158264</v>
      </c>
      <c r="E983" s="14">
        <v>237.54</v>
      </c>
      <c r="F983" s="14">
        <v>239.86</v>
      </c>
      <c r="G983" s="16">
        <v>234</v>
      </c>
      <c r="H983" s="69">
        <f t="shared" si="30"/>
        <v>2.4016067689414999E-2</v>
      </c>
      <c r="M983" s="225"/>
      <c r="N983" s="1319"/>
      <c r="O983" s="1319"/>
      <c r="P983" s="1319"/>
      <c r="Q983" s="35">
        <v>43749</v>
      </c>
      <c r="R983" s="36">
        <v>1.7600000000000001E-2</v>
      </c>
      <c r="S983" s="37">
        <v>1.5900000000000001E-2</v>
      </c>
    </row>
    <row r="984" spans="1:19" x14ac:dyDescent="0.2">
      <c r="A984" s="1"/>
      <c r="B984" s="13">
        <v>44287</v>
      </c>
      <c r="C984" s="14">
        <v>234.01</v>
      </c>
      <c r="D984" s="15">
        <v>228916</v>
      </c>
      <c r="E984" s="14">
        <v>233.26</v>
      </c>
      <c r="F984" s="14">
        <v>243.36</v>
      </c>
      <c r="G984" s="16">
        <v>229.68</v>
      </c>
      <c r="H984" s="69">
        <f t="shared" si="30"/>
        <v>1.4875531268973896E-2</v>
      </c>
      <c r="M984" s="225"/>
      <c r="N984" s="1319"/>
      <c r="O984" s="1319"/>
      <c r="P984" s="1319"/>
      <c r="Q984" s="35">
        <v>43753</v>
      </c>
      <c r="R984" s="36">
        <v>1.77E-2</v>
      </c>
      <c r="S984" s="37">
        <v>1.5900000000000001E-2</v>
      </c>
    </row>
    <row r="985" spans="1:19" x14ac:dyDescent="0.2">
      <c r="A985" s="1"/>
      <c r="B985" s="13">
        <v>44286</v>
      </c>
      <c r="C985" s="14">
        <v>230.58</v>
      </c>
      <c r="D985" s="15">
        <v>285109</v>
      </c>
      <c r="E985" s="14">
        <v>232.45</v>
      </c>
      <c r="F985" s="14">
        <v>234.56</v>
      </c>
      <c r="G985" s="16">
        <v>227.37</v>
      </c>
      <c r="H985" s="69">
        <f t="shared" si="30"/>
        <v>-6.8056512749826714E-3</v>
      </c>
      <c r="M985" s="225"/>
      <c r="N985" s="1319"/>
      <c r="O985" s="1319"/>
      <c r="P985" s="1319"/>
      <c r="Q985" s="35">
        <v>43754</v>
      </c>
      <c r="R985" s="36">
        <v>1.7500000000000002E-2</v>
      </c>
      <c r="S985" s="37">
        <v>1.5700000000000002E-2</v>
      </c>
    </row>
    <row r="986" spans="1:19" x14ac:dyDescent="0.2">
      <c r="A986" s="1"/>
      <c r="B986" s="13">
        <v>44285</v>
      </c>
      <c r="C986" s="14">
        <v>232.16</v>
      </c>
      <c r="D986" s="15">
        <v>149822</v>
      </c>
      <c r="E986" s="14">
        <v>224.39</v>
      </c>
      <c r="F986" s="14">
        <v>233.69</v>
      </c>
      <c r="G986" s="16">
        <v>223.64</v>
      </c>
      <c r="H986" s="69">
        <f t="shared" si="30"/>
        <v>3.5134653112181224E-2</v>
      </c>
      <c r="M986" s="225"/>
      <c r="N986" s="1319"/>
      <c r="O986" s="1319"/>
      <c r="P986" s="1319"/>
      <c r="Q986" s="35">
        <v>43755</v>
      </c>
      <c r="R986" s="36">
        <v>1.7600000000000001E-2</v>
      </c>
      <c r="S986" s="37">
        <v>1.5700000000000002E-2</v>
      </c>
    </row>
    <row r="987" spans="1:19" x14ac:dyDescent="0.2">
      <c r="A987" s="1"/>
      <c r="B987" s="13">
        <v>44284</v>
      </c>
      <c r="C987" s="14">
        <v>224.28</v>
      </c>
      <c r="D987" s="15">
        <v>204850</v>
      </c>
      <c r="E987" s="14">
        <v>227.07</v>
      </c>
      <c r="F987" s="14">
        <v>231.61</v>
      </c>
      <c r="G987" s="16">
        <v>220.52</v>
      </c>
      <c r="H987" s="69">
        <f t="shared" si="30"/>
        <v>-1.2373948654718414E-2</v>
      </c>
      <c r="M987" s="225"/>
      <c r="N987" s="1319"/>
      <c r="O987" s="1319"/>
      <c r="P987" s="1319"/>
      <c r="Q987" s="35">
        <v>43756</v>
      </c>
      <c r="R987" s="36">
        <v>1.7600000000000001E-2</v>
      </c>
      <c r="S987" s="37">
        <v>1.5600000000000001E-2</v>
      </c>
    </row>
    <row r="988" spans="1:19" x14ac:dyDescent="0.2">
      <c r="A988" s="1"/>
      <c r="B988" s="13">
        <v>44281</v>
      </c>
      <c r="C988" s="14">
        <v>227.09</v>
      </c>
      <c r="D988" s="15">
        <v>204699</v>
      </c>
      <c r="E988" s="14">
        <v>217.5</v>
      </c>
      <c r="F988" s="14">
        <v>227.8</v>
      </c>
      <c r="G988" s="16">
        <v>216.36</v>
      </c>
      <c r="H988" s="69">
        <f t="shared" si="30"/>
        <v>5.0953350610884796E-2</v>
      </c>
      <c r="M988" s="225"/>
      <c r="N988" s="1319"/>
      <c r="O988" s="1319"/>
      <c r="P988" s="1319"/>
      <c r="Q988" s="35">
        <v>43759</v>
      </c>
      <c r="R988" s="36">
        <v>1.8000000000000002E-2</v>
      </c>
      <c r="S988" s="37">
        <v>1.61E-2</v>
      </c>
    </row>
    <row r="989" spans="1:19" x14ac:dyDescent="0.2">
      <c r="A989" s="1"/>
      <c r="B989" s="13">
        <v>44280</v>
      </c>
      <c r="C989" s="14">
        <v>216.08</v>
      </c>
      <c r="D989" s="15">
        <v>191792</v>
      </c>
      <c r="E989" s="14">
        <v>209.26</v>
      </c>
      <c r="F989" s="14">
        <v>218.6</v>
      </c>
      <c r="G989" s="16">
        <v>207.07</v>
      </c>
      <c r="H989" s="69">
        <f t="shared" si="30"/>
        <v>2.6752197671656042E-2</v>
      </c>
      <c r="M989" s="225"/>
      <c r="N989" s="1319"/>
      <c r="O989" s="1319"/>
      <c r="P989" s="1319"/>
      <c r="Q989" s="35">
        <v>43760</v>
      </c>
      <c r="R989" s="36">
        <v>1.78E-2</v>
      </c>
      <c r="S989" s="37">
        <v>1.6E-2</v>
      </c>
    </row>
    <row r="990" spans="1:19" x14ac:dyDescent="0.2">
      <c r="A990" s="1"/>
      <c r="B990" s="13">
        <v>44279</v>
      </c>
      <c r="C990" s="14">
        <v>210.45</v>
      </c>
      <c r="D990" s="15">
        <v>139534</v>
      </c>
      <c r="E990" s="14">
        <v>212.64</v>
      </c>
      <c r="F990" s="14">
        <v>215.55</v>
      </c>
      <c r="G990" s="16">
        <v>210.18</v>
      </c>
      <c r="H990" s="69">
        <f t="shared" si="30"/>
        <v>2.376425855512565E-4</v>
      </c>
      <c r="M990" s="225"/>
      <c r="N990" s="1319"/>
      <c r="O990" s="1319"/>
      <c r="P990" s="1319"/>
      <c r="Q990" s="35">
        <v>43761</v>
      </c>
      <c r="R990" s="36">
        <v>1.77E-2</v>
      </c>
      <c r="S990" s="37">
        <v>1.5800000000000002E-2</v>
      </c>
    </row>
    <row r="991" spans="1:19" x14ac:dyDescent="0.2">
      <c r="A991" s="1"/>
      <c r="B991" s="13">
        <v>44278</v>
      </c>
      <c r="C991" s="14">
        <v>210.4</v>
      </c>
      <c r="D991" s="15">
        <v>119633</v>
      </c>
      <c r="E991" s="14">
        <v>213.23</v>
      </c>
      <c r="F991" s="14">
        <v>218.12</v>
      </c>
      <c r="G991" s="16">
        <v>209.02</v>
      </c>
      <c r="H991" s="69">
        <f t="shared" si="30"/>
        <v>-2.5565024082993659E-2</v>
      </c>
      <c r="M991" s="225"/>
      <c r="N991" s="1319"/>
      <c r="O991" s="1319"/>
      <c r="P991" s="1319"/>
      <c r="Q991" s="35">
        <v>43762</v>
      </c>
      <c r="R991" s="36">
        <v>1.77E-2</v>
      </c>
      <c r="S991" s="37">
        <v>1.5800000000000002E-2</v>
      </c>
    </row>
    <row r="992" spans="1:19" x14ac:dyDescent="0.2">
      <c r="A992" s="1"/>
      <c r="B992" s="13">
        <v>44277</v>
      </c>
      <c r="C992" s="14">
        <v>215.92</v>
      </c>
      <c r="D992" s="15">
        <v>108599</v>
      </c>
      <c r="E992" s="14">
        <v>221.2</v>
      </c>
      <c r="F992" s="14">
        <v>221.81</v>
      </c>
      <c r="G992" s="16">
        <v>213.75</v>
      </c>
      <c r="H992" s="69">
        <f t="shared" si="30"/>
        <v>-1.3703636031426991E-2</v>
      </c>
      <c r="M992" s="225"/>
      <c r="N992" s="1319"/>
      <c r="O992" s="1319"/>
      <c r="P992" s="1319"/>
      <c r="Q992" s="35">
        <v>43763</v>
      </c>
      <c r="R992" s="36">
        <v>1.8000000000000002E-2</v>
      </c>
      <c r="S992" s="37">
        <v>1.6200000000000003E-2</v>
      </c>
    </row>
    <row r="993" spans="1:19" x14ac:dyDescent="0.2">
      <c r="A993" s="1"/>
      <c r="B993" s="13">
        <v>44274</v>
      </c>
      <c r="C993" s="14">
        <v>218.92</v>
      </c>
      <c r="D993" s="15">
        <v>317432</v>
      </c>
      <c r="E993" s="14">
        <v>223.21</v>
      </c>
      <c r="F993" s="14">
        <v>223.21</v>
      </c>
      <c r="G993" s="16">
        <v>217.95</v>
      </c>
      <c r="H993" s="69">
        <f t="shared" si="30"/>
        <v>-1.9834340720841781E-2</v>
      </c>
      <c r="M993" s="225"/>
      <c r="N993" s="1319"/>
      <c r="O993" s="1319"/>
      <c r="P993" s="1319"/>
      <c r="Q993" s="35">
        <v>43766</v>
      </c>
      <c r="R993" s="36">
        <v>1.8500000000000003E-2</v>
      </c>
      <c r="S993" s="37">
        <v>1.66E-2</v>
      </c>
    </row>
    <row r="994" spans="1:19" x14ac:dyDescent="0.2">
      <c r="A994" s="1"/>
      <c r="B994" s="13">
        <v>44273</v>
      </c>
      <c r="C994" s="14">
        <v>223.35</v>
      </c>
      <c r="D994" s="15">
        <v>112082</v>
      </c>
      <c r="E994" s="14">
        <v>225.25</v>
      </c>
      <c r="F994" s="14">
        <v>229.87</v>
      </c>
      <c r="G994" s="16">
        <v>222.01</v>
      </c>
      <c r="H994" s="69">
        <f t="shared" si="30"/>
        <v>-1.408139842853362E-2</v>
      </c>
      <c r="M994" s="225"/>
      <c r="N994" s="1319"/>
      <c r="O994" s="1319"/>
      <c r="P994" s="1319"/>
      <c r="Q994" s="35">
        <v>43767</v>
      </c>
      <c r="R994" s="36">
        <v>1.84E-2</v>
      </c>
      <c r="S994" s="37">
        <v>1.66E-2</v>
      </c>
    </row>
    <row r="995" spans="1:19" x14ac:dyDescent="0.2">
      <c r="A995" s="1"/>
      <c r="B995" s="13">
        <v>44272</v>
      </c>
      <c r="C995" s="14">
        <v>226.54</v>
      </c>
      <c r="D995" s="15">
        <v>127580</v>
      </c>
      <c r="E995" s="14">
        <v>225.71</v>
      </c>
      <c r="F995" s="14">
        <v>226.9</v>
      </c>
      <c r="G995" s="16">
        <v>221.18</v>
      </c>
      <c r="H995" s="69">
        <f t="shared" si="30"/>
        <v>3.4549964564138946E-3</v>
      </c>
      <c r="M995" s="225"/>
      <c r="N995" s="1319"/>
      <c r="O995" s="1319"/>
      <c r="P995" s="1319"/>
      <c r="Q995" s="35">
        <v>43768</v>
      </c>
      <c r="R995" s="36">
        <v>1.78E-2</v>
      </c>
      <c r="S995" s="37">
        <v>1.61E-2</v>
      </c>
    </row>
    <row r="996" spans="1:19" x14ac:dyDescent="0.2">
      <c r="A996" s="1"/>
      <c r="B996" s="13">
        <v>44271</v>
      </c>
      <c r="C996" s="14">
        <v>225.76</v>
      </c>
      <c r="D996" s="15">
        <v>163584</v>
      </c>
      <c r="E996" s="14">
        <v>229.18</v>
      </c>
      <c r="F996" s="14">
        <v>229.35</v>
      </c>
      <c r="G996" s="16">
        <v>224.04499999999999</v>
      </c>
      <c r="H996" s="69">
        <f t="shared" si="30"/>
        <v>-1.1125711782742131E-2</v>
      </c>
      <c r="M996" s="225"/>
      <c r="N996" s="1319"/>
      <c r="O996" s="1319"/>
      <c r="P996" s="1319"/>
      <c r="Q996" s="35">
        <v>43769</v>
      </c>
      <c r="R996" s="36">
        <v>1.6899999999999998E-2</v>
      </c>
      <c r="S996" s="37">
        <v>1.5100000000000001E-2</v>
      </c>
    </row>
    <row r="997" spans="1:19" x14ac:dyDescent="0.2">
      <c r="A997" s="1"/>
      <c r="B997" s="13">
        <v>44270</v>
      </c>
      <c r="C997" s="14">
        <v>228.3</v>
      </c>
      <c r="D997" s="15">
        <v>212128</v>
      </c>
      <c r="E997" s="14">
        <v>219.49</v>
      </c>
      <c r="F997" s="14">
        <v>228.55</v>
      </c>
      <c r="G997" s="16">
        <v>218.26</v>
      </c>
      <c r="H997" s="69">
        <f t="shared" si="30"/>
        <v>4.3657142857142839E-2</v>
      </c>
      <c r="M997" s="225"/>
      <c r="N997" s="1319"/>
      <c r="O997" s="1319"/>
      <c r="P997" s="1319"/>
      <c r="Q997" s="35">
        <v>43770</v>
      </c>
      <c r="R997" s="36">
        <v>1.7299999999999999E-2</v>
      </c>
      <c r="S997" s="37">
        <v>1.55E-2</v>
      </c>
    </row>
    <row r="998" spans="1:19" x14ac:dyDescent="0.2">
      <c r="A998" s="1"/>
      <c r="B998" s="13">
        <v>44267</v>
      </c>
      <c r="C998" s="14">
        <v>218.75</v>
      </c>
      <c r="D998" s="15">
        <v>228439</v>
      </c>
      <c r="E998" s="14">
        <v>217.38</v>
      </c>
      <c r="F998" s="14">
        <v>219.2</v>
      </c>
      <c r="G998" s="16">
        <v>213.38</v>
      </c>
      <c r="H998" s="69">
        <f t="shared" si="30"/>
        <v>5.4235418486003883E-3</v>
      </c>
      <c r="M998" s="225"/>
      <c r="N998" s="1319"/>
      <c r="O998" s="1319"/>
      <c r="P998" s="1319"/>
      <c r="Q998" s="35">
        <v>43773</v>
      </c>
      <c r="R998" s="36">
        <v>1.7899999999999999E-2</v>
      </c>
      <c r="S998" s="37">
        <v>1.6E-2</v>
      </c>
    </row>
    <row r="999" spans="1:19" x14ac:dyDescent="0.2">
      <c r="A999" s="1"/>
      <c r="B999" s="13">
        <v>44266</v>
      </c>
      <c r="C999" s="14">
        <v>217.57</v>
      </c>
      <c r="D999" s="15">
        <v>239784</v>
      </c>
      <c r="E999" s="14">
        <v>222.25</v>
      </c>
      <c r="F999" s="14">
        <v>222.99</v>
      </c>
      <c r="G999" s="16">
        <v>215.29</v>
      </c>
      <c r="H999" s="69">
        <f t="shared" si="30"/>
        <v>-1.0505730398399082E-2</v>
      </c>
      <c r="M999" s="225"/>
      <c r="N999" s="1319"/>
      <c r="O999" s="1319"/>
      <c r="P999" s="1319"/>
      <c r="Q999" s="35">
        <v>43774</v>
      </c>
      <c r="R999" s="36">
        <v>1.8600000000000002E-2</v>
      </c>
      <c r="S999" s="37">
        <v>1.66E-2</v>
      </c>
    </row>
    <row r="1000" spans="1:19" x14ac:dyDescent="0.2">
      <c r="A1000" s="1"/>
      <c r="B1000" s="13">
        <v>44265</v>
      </c>
      <c r="C1000" s="14">
        <v>219.88</v>
      </c>
      <c r="D1000" s="15">
        <v>147506</v>
      </c>
      <c r="E1000" s="14">
        <v>221.1</v>
      </c>
      <c r="F1000" s="14">
        <v>221.80500000000001</v>
      </c>
      <c r="G1000" s="16">
        <v>217.6</v>
      </c>
      <c r="H1000" s="69">
        <f t="shared" ref="H1000:H1063" si="31">C1000/C1001-1</f>
        <v>5.8094323224004984E-3</v>
      </c>
      <c r="M1000" s="225"/>
      <c r="N1000" s="1319"/>
      <c r="O1000" s="1319"/>
      <c r="P1000" s="1319"/>
      <c r="Q1000" s="35">
        <v>43775</v>
      </c>
      <c r="R1000" s="36">
        <v>1.8100000000000002E-2</v>
      </c>
      <c r="S1000" s="37">
        <v>1.6299999999999999E-2</v>
      </c>
    </row>
    <row r="1001" spans="1:19" x14ac:dyDescent="0.2">
      <c r="A1001" s="1"/>
      <c r="B1001" s="13">
        <v>44264</v>
      </c>
      <c r="C1001" s="14">
        <v>218.61</v>
      </c>
      <c r="D1001" s="15">
        <v>188125</v>
      </c>
      <c r="E1001" s="14">
        <v>213.37</v>
      </c>
      <c r="F1001" s="14">
        <v>221.68</v>
      </c>
      <c r="G1001" s="16">
        <v>212.39</v>
      </c>
      <c r="H1001" s="69">
        <f t="shared" si="31"/>
        <v>4.0801752047229245E-2</v>
      </c>
      <c r="M1001" s="225"/>
      <c r="N1001" s="1319"/>
      <c r="O1001" s="1319"/>
      <c r="P1001" s="1319"/>
      <c r="Q1001" s="35">
        <v>43776</v>
      </c>
      <c r="R1001" s="36">
        <v>1.9199999999999998E-2</v>
      </c>
      <c r="S1001" s="37">
        <v>1.7399999999999999E-2</v>
      </c>
    </row>
    <row r="1002" spans="1:19" x14ac:dyDescent="0.2">
      <c r="A1002" s="1"/>
      <c r="B1002" s="13">
        <v>44263</v>
      </c>
      <c r="C1002" s="14">
        <v>210.04</v>
      </c>
      <c r="D1002" s="15">
        <v>227885</v>
      </c>
      <c r="E1002" s="14">
        <v>205.5</v>
      </c>
      <c r="F1002" s="14">
        <v>215.85</v>
      </c>
      <c r="G1002" s="16">
        <v>204.41</v>
      </c>
      <c r="H1002" s="69">
        <f t="shared" si="31"/>
        <v>2.3387253946599129E-2</v>
      </c>
      <c r="M1002" s="225"/>
      <c r="N1002" s="1319"/>
      <c r="O1002" s="1319"/>
      <c r="P1002" s="1319"/>
      <c r="Q1002" s="35">
        <v>43777</v>
      </c>
      <c r="R1002" s="36">
        <v>1.9400000000000001E-2</v>
      </c>
      <c r="S1002" s="37">
        <v>1.7399999999999999E-2</v>
      </c>
    </row>
    <row r="1003" spans="1:19" x14ac:dyDescent="0.2">
      <c r="A1003" s="1"/>
      <c r="B1003" s="13">
        <v>44260</v>
      </c>
      <c r="C1003" s="14">
        <v>205.24</v>
      </c>
      <c r="D1003" s="15">
        <v>366960</v>
      </c>
      <c r="E1003" s="14">
        <v>212.17</v>
      </c>
      <c r="F1003" s="14">
        <v>213.63</v>
      </c>
      <c r="G1003" s="16">
        <v>200.67500000000001</v>
      </c>
      <c r="H1003" s="69">
        <f t="shared" si="31"/>
        <v>-1.7802450229709055E-2</v>
      </c>
      <c r="M1003" s="225"/>
      <c r="N1003" s="1319"/>
      <c r="O1003" s="1319"/>
      <c r="P1003" s="1319"/>
      <c r="Q1003" s="35">
        <v>43781</v>
      </c>
      <c r="R1003" s="36">
        <v>1.9199999999999998E-2</v>
      </c>
      <c r="S1003" s="37">
        <v>1.7299999999999999E-2</v>
      </c>
    </row>
    <row r="1004" spans="1:19" x14ac:dyDescent="0.2">
      <c r="A1004" s="1"/>
      <c r="B1004" s="13">
        <v>44259</v>
      </c>
      <c r="C1004" s="14">
        <v>208.96</v>
      </c>
      <c r="D1004" s="15">
        <v>359084</v>
      </c>
      <c r="E1004" s="14">
        <v>218.63</v>
      </c>
      <c r="F1004" s="14">
        <v>223.29</v>
      </c>
      <c r="G1004" s="16">
        <v>204.77</v>
      </c>
      <c r="H1004" s="69">
        <f t="shared" si="31"/>
        <v>-6.4428027759122375E-2</v>
      </c>
      <c r="M1004" s="225"/>
      <c r="N1004" s="1319"/>
      <c r="O1004" s="1319"/>
      <c r="P1004" s="1319"/>
      <c r="Q1004" s="35">
        <v>43782</v>
      </c>
      <c r="R1004" s="36">
        <v>1.8799999999999997E-2</v>
      </c>
      <c r="S1004" s="37">
        <v>1.6899999999999998E-2</v>
      </c>
    </row>
    <row r="1005" spans="1:19" x14ac:dyDescent="0.2">
      <c r="A1005" s="1"/>
      <c r="B1005" s="13">
        <v>44258</v>
      </c>
      <c r="C1005" s="14">
        <v>223.35</v>
      </c>
      <c r="D1005" s="15">
        <v>391061</v>
      </c>
      <c r="E1005" s="14">
        <v>216.05</v>
      </c>
      <c r="F1005" s="14">
        <v>227.27</v>
      </c>
      <c r="G1005" s="16">
        <v>214.1943</v>
      </c>
      <c r="H1005" s="69">
        <f t="shared" si="31"/>
        <v>4.1550083939563498E-2</v>
      </c>
      <c r="M1005" s="225"/>
      <c r="N1005" s="1319"/>
      <c r="O1005" s="1319"/>
      <c r="P1005" s="1319"/>
      <c r="Q1005" s="35">
        <v>43783</v>
      </c>
      <c r="R1005" s="36">
        <v>1.8200000000000001E-2</v>
      </c>
      <c r="S1005" s="37">
        <v>1.6299999999999999E-2</v>
      </c>
    </row>
    <row r="1006" spans="1:19" x14ac:dyDescent="0.2">
      <c r="A1006" s="1"/>
      <c r="B1006" s="13">
        <v>44257</v>
      </c>
      <c r="C1006" s="14">
        <v>214.44</v>
      </c>
      <c r="D1006" s="15">
        <v>205657</v>
      </c>
      <c r="E1006" s="14">
        <v>207.87</v>
      </c>
      <c r="F1006" s="14">
        <v>217.16</v>
      </c>
      <c r="G1006" s="16">
        <v>207.815</v>
      </c>
      <c r="H1006" s="69">
        <f t="shared" si="31"/>
        <v>2.1580677433185702E-2</v>
      </c>
      <c r="M1006" s="225"/>
      <c r="N1006" s="1319"/>
      <c r="O1006" s="1319"/>
      <c r="P1006" s="1319"/>
      <c r="Q1006" s="35">
        <v>43784</v>
      </c>
      <c r="R1006" s="36">
        <v>1.84E-2</v>
      </c>
      <c r="S1006" s="37">
        <v>1.6500000000000001E-2</v>
      </c>
    </row>
    <row r="1007" spans="1:19" x14ac:dyDescent="0.2">
      <c r="A1007" s="1"/>
      <c r="B1007" s="13">
        <v>44256</v>
      </c>
      <c r="C1007" s="14">
        <v>209.91</v>
      </c>
      <c r="D1007" s="15">
        <v>175212</v>
      </c>
      <c r="E1007" s="14">
        <v>204.18</v>
      </c>
      <c r="F1007" s="14">
        <v>210.435</v>
      </c>
      <c r="G1007" s="16">
        <v>203.22</v>
      </c>
      <c r="H1007" s="69">
        <f t="shared" si="31"/>
        <v>4.6776043484765273E-2</v>
      </c>
      <c r="M1007" s="225"/>
      <c r="N1007" s="1319"/>
      <c r="O1007" s="1319"/>
      <c r="P1007" s="1319"/>
      <c r="Q1007" s="35">
        <v>43787</v>
      </c>
      <c r="R1007" s="36">
        <v>1.8100000000000002E-2</v>
      </c>
      <c r="S1007" s="37">
        <v>1.6299999999999999E-2</v>
      </c>
    </row>
    <row r="1008" spans="1:19" x14ac:dyDescent="0.2">
      <c r="A1008" s="1"/>
      <c r="B1008" s="13">
        <v>44253</v>
      </c>
      <c r="C1008" s="14">
        <v>200.53</v>
      </c>
      <c r="D1008" s="15">
        <v>262108</v>
      </c>
      <c r="E1008" s="14">
        <v>203.8</v>
      </c>
      <c r="F1008" s="14">
        <v>207.19</v>
      </c>
      <c r="G1008" s="16">
        <v>197.67</v>
      </c>
      <c r="H1008" s="69">
        <f t="shared" si="31"/>
        <v>-1.2653865091088123E-2</v>
      </c>
      <c r="M1008" s="225"/>
      <c r="N1008" s="1319"/>
      <c r="O1008" s="1319"/>
      <c r="P1008" s="1319"/>
      <c r="Q1008" s="35">
        <v>43788</v>
      </c>
      <c r="R1008" s="36">
        <v>1.7899999999999999E-2</v>
      </c>
      <c r="S1008" s="37">
        <v>1.6299999999999999E-2</v>
      </c>
    </row>
    <row r="1009" spans="1:19" x14ac:dyDescent="0.2">
      <c r="A1009" s="1"/>
      <c r="B1009" s="13">
        <v>44252</v>
      </c>
      <c r="C1009" s="14">
        <v>203.1</v>
      </c>
      <c r="D1009" s="15">
        <v>200336</v>
      </c>
      <c r="E1009" s="14">
        <v>208.12</v>
      </c>
      <c r="F1009" s="14">
        <v>211.99</v>
      </c>
      <c r="G1009" s="16">
        <v>202.19</v>
      </c>
      <c r="H1009" s="69">
        <f t="shared" si="31"/>
        <v>-2.5712366880936477E-2</v>
      </c>
      <c r="M1009" s="225"/>
      <c r="N1009" s="1319"/>
      <c r="O1009" s="1319"/>
      <c r="P1009" s="1319"/>
      <c r="Q1009" s="35">
        <v>43789</v>
      </c>
      <c r="R1009" s="36">
        <v>1.7299999999999999E-2</v>
      </c>
      <c r="S1009" s="37">
        <v>1.5800000000000002E-2</v>
      </c>
    </row>
    <row r="1010" spans="1:19" x14ac:dyDescent="0.2">
      <c r="A1010" s="1"/>
      <c r="B1010" s="13">
        <v>44251</v>
      </c>
      <c r="C1010" s="14">
        <v>208.46</v>
      </c>
      <c r="D1010" s="15">
        <v>131614</v>
      </c>
      <c r="E1010" s="14">
        <v>206.78</v>
      </c>
      <c r="F1010" s="14">
        <v>210.62</v>
      </c>
      <c r="G1010" s="16">
        <v>204.33</v>
      </c>
      <c r="H1010" s="69">
        <f t="shared" si="31"/>
        <v>1.7672329623120486E-2</v>
      </c>
      <c r="M1010" s="225"/>
      <c r="N1010" s="1319"/>
      <c r="O1010" s="1319"/>
      <c r="P1010" s="1319"/>
      <c r="Q1010" s="35">
        <v>43790</v>
      </c>
      <c r="R1010" s="36">
        <v>1.77E-2</v>
      </c>
      <c r="S1010" s="37">
        <v>1.6200000000000003E-2</v>
      </c>
    </row>
    <row r="1011" spans="1:19" x14ac:dyDescent="0.2">
      <c r="A1011" s="1"/>
      <c r="B1011" s="13">
        <v>44250</v>
      </c>
      <c r="C1011" s="14">
        <v>204.84</v>
      </c>
      <c r="D1011" s="15">
        <v>284450</v>
      </c>
      <c r="E1011" s="14">
        <v>205.84</v>
      </c>
      <c r="F1011" s="14">
        <v>206.55199999999999</v>
      </c>
      <c r="G1011" s="16">
        <v>200.87</v>
      </c>
      <c r="H1011" s="69">
        <f t="shared" si="31"/>
        <v>-2.5453161425377013E-2</v>
      </c>
      <c r="M1011" s="225"/>
      <c r="N1011" s="1319"/>
      <c r="O1011" s="1319"/>
      <c r="P1011" s="1319"/>
      <c r="Q1011" s="35">
        <v>43791</v>
      </c>
      <c r="R1011" s="36">
        <v>1.77E-2</v>
      </c>
      <c r="S1011" s="37">
        <v>1.6200000000000003E-2</v>
      </c>
    </row>
    <row r="1012" spans="1:19" x14ac:dyDescent="0.2">
      <c r="A1012" s="1"/>
      <c r="B1012" s="13">
        <v>44249</v>
      </c>
      <c r="C1012" s="14">
        <v>210.19</v>
      </c>
      <c r="D1012" s="15">
        <v>133542</v>
      </c>
      <c r="E1012" s="14">
        <v>211.58</v>
      </c>
      <c r="F1012" s="14">
        <v>213.33</v>
      </c>
      <c r="G1012" s="16">
        <v>207.85</v>
      </c>
      <c r="H1012" s="69">
        <f t="shared" si="31"/>
        <v>-1.0917133311373561E-2</v>
      </c>
      <c r="M1012" s="225"/>
      <c r="N1012" s="1319"/>
      <c r="O1012" s="1319"/>
      <c r="P1012" s="1319"/>
      <c r="Q1012" s="35">
        <v>43794</v>
      </c>
      <c r="R1012" s="36">
        <v>1.7600000000000001E-2</v>
      </c>
      <c r="S1012" s="37">
        <v>1.6200000000000003E-2</v>
      </c>
    </row>
    <row r="1013" spans="1:19" x14ac:dyDescent="0.2">
      <c r="A1013" s="1"/>
      <c r="B1013" s="13">
        <v>44246</v>
      </c>
      <c r="C1013" s="14">
        <v>212.51</v>
      </c>
      <c r="D1013" s="15">
        <v>285138</v>
      </c>
      <c r="E1013" s="14">
        <v>207.39</v>
      </c>
      <c r="F1013" s="14">
        <v>214.24</v>
      </c>
      <c r="G1013" s="16">
        <v>207.39</v>
      </c>
      <c r="H1013" s="69">
        <f t="shared" si="31"/>
        <v>3.0251611964900338E-2</v>
      </c>
      <c r="M1013" s="225"/>
      <c r="N1013" s="1319"/>
      <c r="O1013" s="1319"/>
      <c r="P1013" s="1319"/>
      <c r="Q1013" s="35">
        <v>43795</v>
      </c>
      <c r="R1013" s="36">
        <v>1.7399999999999999E-2</v>
      </c>
      <c r="S1013" s="37">
        <v>1.5800000000000002E-2</v>
      </c>
    </row>
    <row r="1014" spans="1:19" x14ac:dyDescent="0.2">
      <c r="A1014" s="1"/>
      <c r="B1014" s="13">
        <v>44245</v>
      </c>
      <c r="C1014" s="14">
        <v>206.27</v>
      </c>
      <c r="D1014" s="15">
        <v>144772</v>
      </c>
      <c r="E1014" s="14">
        <v>207.12</v>
      </c>
      <c r="F1014" s="14">
        <v>208.15</v>
      </c>
      <c r="G1014" s="16">
        <v>203.06</v>
      </c>
      <c r="H1014" s="69">
        <f t="shared" si="31"/>
        <v>-4.8726360478579256E-3</v>
      </c>
      <c r="M1014" s="225"/>
      <c r="N1014" s="1319"/>
      <c r="O1014" s="1319"/>
      <c r="P1014" s="1319"/>
      <c r="Q1014" s="35">
        <v>43796</v>
      </c>
      <c r="R1014" s="36">
        <v>1.77E-2</v>
      </c>
      <c r="S1014" s="37">
        <v>1.6299999999999999E-2</v>
      </c>
    </row>
    <row r="1015" spans="1:19" x14ac:dyDescent="0.2">
      <c r="A1015" s="1"/>
      <c r="B1015" s="13">
        <v>44244</v>
      </c>
      <c r="C1015" s="14">
        <v>207.28</v>
      </c>
      <c r="D1015" s="15">
        <v>228248</v>
      </c>
      <c r="E1015" s="14">
        <v>200.56</v>
      </c>
      <c r="F1015" s="14">
        <v>210</v>
      </c>
      <c r="G1015" s="16">
        <v>200.56</v>
      </c>
      <c r="H1015" s="69">
        <f t="shared" si="31"/>
        <v>-2.3875676948434177E-2</v>
      </c>
      <c r="M1015" s="225"/>
      <c r="N1015" s="1319"/>
      <c r="O1015" s="1319"/>
      <c r="P1015" s="1319"/>
      <c r="Q1015" s="35">
        <v>43798</v>
      </c>
      <c r="R1015" s="36">
        <v>1.78E-2</v>
      </c>
      <c r="S1015" s="37">
        <v>1.6200000000000003E-2</v>
      </c>
    </row>
    <row r="1016" spans="1:19" x14ac:dyDescent="0.2">
      <c r="A1016" s="1"/>
      <c r="B1016" s="13">
        <v>44243</v>
      </c>
      <c r="C1016" s="14">
        <v>212.35</v>
      </c>
      <c r="D1016" s="15">
        <v>265538</v>
      </c>
      <c r="E1016" s="14">
        <v>207.81</v>
      </c>
      <c r="F1016" s="14">
        <v>214.57</v>
      </c>
      <c r="G1016" s="16">
        <v>206.93</v>
      </c>
      <c r="H1016" s="69">
        <f t="shared" si="31"/>
        <v>3.1075503763049239E-2</v>
      </c>
      <c r="M1016" s="225"/>
      <c r="N1016" s="1319"/>
      <c r="O1016" s="1319"/>
      <c r="P1016" s="1319"/>
      <c r="Q1016" s="35">
        <v>43801</v>
      </c>
      <c r="R1016" s="36">
        <v>1.83E-2</v>
      </c>
      <c r="S1016" s="37">
        <v>1.6500000000000001E-2</v>
      </c>
    </row>
    <row r="1017" spans="1:19" x14ac:dyDescent="0.2">
      <c r="A1017" s="1"/>
      <c r="B1017" s="13">
        <v>44239</v>
      </c>
      <c r="C1017" s="14">
        <v>205.95</v>
      </c>
      <c r="D1017" s="15">
        <v>242555</v>
      </c>
      <c r="E1017" s="14">
        <v>200</v>
      </c>
      <c r="F1017" s="14">
        <v>207.21</v>
      </c>
      <c r="G1017" s="16">
        <v>195.56</v>
      </c>
      <c r="H1017" s="69">
        <f t="shared" si="31"/>
        <v>2.5596334843882129E-2</v>
      </c>
      <c r="M1017" s="225"/>
      <c r="N1017" s="1319"/>
      <c r="O1017" s="1319"/>
      <c r="P1017" s="1319"/>
      <c r="Q1017" s="35">
        <v>43802</v>
      </c>
      <c r="R1017" s="36">
        <v>1.72E-2</v>
      </c>
      <c r="S1017" s="37">
        <v>1.54E-2</v>
      </c>
    </row>
    <row r="1018" spans="1:19" x14ac:dyDescent="0.2">
      <c r="A1018" s="1"/>
      <c r="B1018" s="13">
        <v>44238</v>
      </c>
      <c r="C1018" s="14">
        <v>200.81</v>
      </c>
      <c r="D1018" s="15">
        <v>205416</v>
      </c>
      <c r="E1018" s="14">
        <v>203.55</v>
      </c>
      <c r="F1018" s="14">
        <v>206.55</v>
      </c>
      <c r="G1018" s="16">
        <v>197.62</v>
      </c>
      <c r="H1018" s="69">
        <f t="shared" si="31"/>
        <v>-6.6287410338857766E-3</v>
      </c>
      <c r="M1018" s="225"/>
      <c r="N1018" s="1319"/>
      <c r="O1018" s="1319"/>
      <c r="P1018" s="1319"/>
      <c r="Q1018" s="35">
        <v>43803</v>
      </c>
      <c r="R1018" s="36">
        <v>1.77E-2</v>
      </c>
      <c r="S1018" s="37">
        <v>1.6E-2</v>
      </c>
    </row>
    <row r="1019" spans="1:19" x14ac:dyDescent="0.2">
      <c r="A1019" s="1"/>
      <c r="B1019" s="13">
        <v>44237</v>
      </c>
      <c r="C1019" s="14">
        <v>202.15</v>
      </c>
      <c r="D1019" s="15">
        <v>170027</v>
      </c>
      <c r="E1019" s="14">
        <v>204.33</v>
      </c>
      <c r="F1019" s="14">
        <v>206.36</v>
      </c>
      <c r="G1019" s="16">
        <v>196.86500000000001</v>
      </c>
      <c r="H1019" s="69">
        <f t="shared" si="31"/>
        <v>-4.6284898320941847E-3</v>
      </c>
      <c r="M1019" s="225"/>
      <c r="N1019" s="1319"/>
      <c r="O1019" s="1319"/>
      <c r="P1019" s="1319"/>
      <c r="Q1019" s="35">
        <v>43804</v>
      </c>
      <c r="R1019" s="36">
        <v>1.8000000000000002E-2</v>
      </c>
      <c r="S1019" s="37">
        <v>1.6200000000000003E-2</v>
      </c>
    </row>
    <row r="1020" spans="1:19" x14ac:dyDescent="0.2">
      <c r="A1020" s="1"/>
      <c r="B1020" s="13">
        <v>44236</v>
      </c>
      <c r="C1020" s="14">
        <v>203.09</v>
      </c>
      <c r="D1020" s="15">
        <v>196669</v>
      </c>
      <c r="E1020" s="14">
        <v>199.91</v>
      </c>
      <c r="F1020" s="14">
        <v>204.5318</v>
      </c>
      <c r="G1020" s="16">
        <v>194.3</v>
      </c>
      <c r="H1020" s="69">
        <f t="shared" si="31"/>
        <v>2.5603474396525661E-2</v>
      </c>
      <c r="M1020" s="225"/>
      <c r="N1020" s="1319"/>
      <c r="O1020" s="1319"/>
      <c r="P1020" s="1319"/>
      <c r="Q1020" s="35">
        <v>43805</v>
      </c>
      <c r="R1020" s="36">
        <v>1.84E-2</v>
      </c>
      <c r="S1020" s="37">
        <v>1.67E-2</v>
      </c>
    </row>
    <row r="1021" spans="1:19" x14ac:dyDescent="0.2">
      <c r="A1021" s="1"/>
      <c r="B1021" s="13">
        <v>44235</v>
      </c>
      <c r="C1021" s="14">
        <v>198.02</v>
      </c>
      <c r="D1021" s="15">
        <v>301978</v>
      </c>
      <c r="E1021" s="14">
        <v>188.62</v>
      </c>
      <c r="F1021" s="14">
        <v>199.88499999999999</v>
      </c>
      <c r="G1021" s="16">
        <v>188.2285</v>
      </c>
      <c r="H1021" s="69">
        <f t="shared" si="31"/>
        <v>5.5262456701305585E-2</v>
      </c>
      <c r="M1021" s="225"/>
      <c r="N1021" s="1319"/>
      <c r="O1021" s="1319"/>
      <c r="P1021" s="1319"/>
      <c r="Q1021" s="35">
        <v>43808</v>
      </c>
      <c r="R1021" s="36">
        <v>1.83E-2</v>
      </c>
      <c r="S1021" s="37">
        <v>1.67E-2</v>
      </c>
    </row>
    <row r="1022" spans="1:19" x14ac:dyDescent="0.2">
      <c r="A1022" s="1"/>
      <c r="B1022" s="13">
        <v>44232</v>
      </c>
      <c r="C1022" s="14">
        <v>187.65</v>
      </c>
      <c r="D1022" s="15">
        <v>188961</v>
      </c>
      <c r="E1022" s="14">
        <v>188.94</v>
      </c>
      <c r="F1022" s="14">
        <v>189.26750000000001</v>
      </c>
      <c r="G1022" s="16">
        <v>185</v>
      </c>
      <c r="H1022" s="69">
        <f t="shared" si="31"/>
        <v>1.2271902678477886E-3</v>
      </c>
      <c r="M1022" s="225"/>
      <c r="N1022" s="1319"/>
      <c r="O1022" s="1319"/>
      <c r="P1022" s="1319"/>
      <c r="Q1022" s="35">
        <v>43809</v>
      </c>
      <c r="R1022" s="36">
        <v>1.8500000000000003E-2</v>
      </c>
      <c r="S1022" s="37">
        <v>1.6799999999999999E-2</v>
      </c>
    </row>
    <row r="1023" spans="1:19" x14ac:dyDescent="0.2">
      <c r="A1023" s="1"/>
      <c r="B1023" s="13">
        <v>44231</v>
      </c>
      <c r="C1023" s="14">
        <v>187.42</v>
      </c>
      <c r="D1023" s="15">
        <v>182584</v>
      </c>
      <c r="E1023" s="14">
        <v>180.32</v>
      </c>
      <c r="F1023" s="14">
        <v>187.44</v>
      </c>
      <c r="G1023" s="16">
        <v>179.5</v>
      </c>
      <c r="H1023" s="69">
        <f t="shared" si="31"/>
        <v>4.4297097007856445E-2</v>
      </c>
      <c r="M1023" s="225"/>
      <c r="N1023" s="1319"/>
      <c r="O1023" s="1319"/>
      <c r="P1023" s="1319"/>
      <c r="Q1023" s="35">
        <v>43810</v>
      </c>
      <c r="R1023" s="36">
        <v>1.7899999999999999E-2</v>
      </c>
      <c r="S1023" s="37">
        <v>1.6399999999999998E-2</v>
      </c>
    </row>
    <row r="1024" spans="1:19" x14ac:dyDescent="0.2">
      <c r="A1024" s="1"/>
      <c r="B1024" s="13">
        <v>44230</v>
      </c>
      <c r="C1024" s="14">
        <v>179.47</v>
      </c>
      <c r="D1024" s="15">
        <v>184887</v>
      </c>
      <c r="E1024" s="14">
        <v>187.9</v>
      </c>
      <c r="F1024" s="14">
        <v>190.1241</v>
      </c>
      <c r="G1024" s="16">
        <v>178.4</v>
      </c>
      <c r="H1024" s="69">
        <f t="shared" si="31"/>
        <v>-4.5270773486541072E-2</v>
      </c>
      <c r="M1024" s="225"/>
      <c r="N1024" s="1319"/>
      <c r="O1024" s="1319"/>
      <c r="P1024" s="1319"/>
      <c r="Q1024" s="35">
        <v>43811</v>
      </c>
      <c r="R1024" s="36">
        <v>1.9E-2</v>
      </c>
      <c r="S1024" s="37">
        <v>1.7299999999999999E-2</v>
      </c>
    </row>
    <row r="1025" spans="1:19" x14ac:dyDescent="0.2">
      <c r="A1025" s="1"/>
      <c r="B1025" s="13">
        <v>44229</v>
      </c>
      <c r="C1025" s="14">
        <v>187.98</v>
      </c>
      <c r="D1025" s="15">
        <v>155174</v>
      </c>
      <c r="E1025" s="14">
        <v>186.04</v>
      </c>
      <c r="F1025" s="14">
        <v>190.68</v>
      </c>
      <c r="G1025" s="16">
        <v>184.125</v>
      </c>
      <c r="H1025" s="69">
        <f t="shared" si="31"/>
        <v>2.5252249795473025E-2</v>
      </c>
      <c r="M1025" s="225"/>
      <c r="N1025" s="1319"/>
      <c r="O1025" s="1319"/>
      <c r="P1025" s="1319"/>
      <c r="Q1025" s="35">
        <v>43812</v>
      </c>
      <c r="R1025" s="36">
        <v>1.8200000000000001E-2</v>
      </c>
      <c r="S1025" s="37">
        <v>1.66E-2</v>
      </c>
    </row>
    <row r="1026" spans="1:19" x14ac:dyDescent="0.2">
      <c r="A1026" s="1"/>
      <c r="B1026" s="13">
        <v>44228</v>
      </c>
      <c r="C1026" s="14">
        <v>183.35</v>
      </c>
      <c r="D1026" s="15">
        <v>188557</v>
      </c>
      <c r="E1026" s="14">
        <v>177.79</v>
      </c>
      <c r="F1026" s="14">
        <v>184.39</v>
      </c>
      <c r="G1026" s="16">
        <v>175.24</v>
      </c>
      <c r="H1026" s="69">
        <f t="shared" si="31"/>
        <v>3.7340876944837342E-2</v>
      </c>
      <c r="M1026" s="225"/>
      <c r="N1026" s="1319"/>
      <c r="O1026" s="1319"/>
      <c r="P1026" s="1319"/>
      <c r="Q1026" s="35">
        <v>43815</v>
      </c>
      <c r="R1026" s="36">
        <v>1.89E-2</v>
      </c>
      <c r="S1026" s="37">
        <v>1.72E-2</v>
      </c>
    </row>
    <row r="1027" spans="1:19" x14ac:dyDescent="0.2">
      <c r="A1027" s="1"/>
      <c r="B1027" s="13">
        <v>44225</v>
      </c>
      <c r="C1027" s="14">
        <v>176.75</v>
      </c>
      <c r="D1027" s="15">
        <v>189343</v>
      </c>
      <c r="E1027" s="14">
        <v>179.51</v>
      </c>
      <c r="F1027" s="14">
        <v>179.62</v>
      </c>
      <c r="G1027" s="16">
        <v>175.72</v>
      </c>
      <c r="H1027" s="69">
        <f t="shared" si="31"/>
        <v>-2.1209436260937076E-2</v>
      </c>
      <c r="M1027" s="225"/>
      <c r="N1027" s="1319"/>
      <c r="O1027" s="1319"/>
      <c r="P1027" s="1319"/>
      <c r="Q1027" s="35">
        <v>43816</v>
      </c>
      <c r="R1027" s="36">
        <v>1.89E-2</v>
      </c>
      <c r="S1027" s="37">
        <v>1.7100000000000001E-2</v>
      </c>
    </row>
    <row r="1028" spans="1:19" x14ac:dyDescent="0.2">
      <c r="A1028" s="1"/>
      <c r="B1028" s="13">
        <v>44224</v>
      </c>
      <c r="C1028" s="14">
        <v>180.58</v>
      </c>
      <c r="D1028" s="15">
        <v>270108</v>
      </c>
      <c r="E1028" s="14">
        <v>177.29</v>
      </c>
      <c r="F1028" s="14">
        <v>183.51</v>
      </c>
      <c r="G1028" s="16">
        <v>174.67500000000001</v>
      </c>
      <c r="H1028" s="69">
        <f t="shared" si="31"/>
        <v>3.6267646046138191E-2</v>
      </c>
      <c r="M1028" s="225"/>
      <c r="N1028" s="1319"/>
      <c r="O1028" s="1319"/>
      <c r="P1028" s="1319"/>
      <c r="Q1028" s="35">
        <v>43817</v>
      </c>
      <c r="R1028" s="36">
        <v>1.9199999999999998E-2</v>
      </c>
      <c r="S1028" s="37">
        <v>1.7399999999999999E-2</v>
      </c>
    </row>
    <row r="1029" spans="1:19" x14ac:dyDescent="0.2">
      <c r="A1029" s="1"/>
      <c r="B1029" s="13">
        <v>44223</v>
      </c>
      <c r="C1029" s="14">
        <v>174.26</v>
      </c>
      <c r="D1029" s="15">
        <v>307777</v>
      </c>
      <c r="E1029" s="14">
        <v>179.11</v>
      </c>
      <c r="F1029" s="14">
        <v>180.25</v>
      </c>
      <c r="G1029" s="16">
        <v>171.16</v>
      </c>
      <c r="H1029" s="69">
        <f t="shared" si="31"/>
        <v>-4.6926274338219276E-2</v>
      </c>
      <c r="M1029" s="225"/>
      <c r="N1029" s="1319"/>
      <c r="O1029" s="1319"/>
      <c r="P1029" s="1319"/>
      <c r="Q1029" s="35">
        <v>43818</v>
      </c>
      <c r="R1029" s="36">
        <v>1.9199999999999998E-2</v>
      </c>
      <c r="S1029" s="37">
        <v>1.7299999999999999E-2</v>
      </c>
    </row>
    <row r="1030" spans="1:19" x14ac:dyDescent="0.2">
      <c r="A1030" s="1"/>
      <c r="B1030" s="13">
        <v>44222</v>
      </c>
      <c r="C1030" s="14">
        <v>182.84</v>
      </c>
      <c r="D1030" s="15">
        <v>187701</v>
      </c>
      <c r="E1030" s="14">
        <v>195.12</v>
      </c>
      <c r="F1030" s="14">
        <v>195.26</v>
      </c>
      <c r="G1030" s="16">
        <v>182.74</v>
      </c>
      <c r="H1030" s="69">
        <f t="shared" si="31"/>
        <v>-5.5383343666046692E-2</v>
      </c>
      <c r="M1030" s="225"/>
      <c r="N1030" s="1319"/>
      <c r="O1030" s="1319"/>
      <c r="P1030" s="1319"/>
      <c r="Q1030" s="35">
        <v>43819</v>
      </c>
      <c r="R1030" s="36">
        <v>1.9199999999999998E-2</v>
      </c>
      <c r="S1030" s="37">
        <v>1.7299999999999999E-2</v>
      </c>
    </row>
    <row r="1031" spans="1:19" x14ac:dyDescent="0.2">
      <c r="A1031" s="1"/>
      <c r="B1031" s="13">
        <v>44221</v>
      </c>
      <c r="C1031" s="14">
        <v>193.56</v>
      </c>
      <c r="D1031" s="15">
        <v>153102</v>
      </c>
      <c r="E1031" s="14">
        <v>193.52</v>
      </c>
      <c r="F1031" s="14">
        <v>196.2</v>
      </c>
      <c r="G1031" s="16">
        <v>191.285</v>
      </c>
      <c r="H1031" s="69">
        <f t="shared" si="31"/>
        <v>-6.7733990147782475E-3</v>
      </c>
      <c r="M1031" s="225"/>
      <c r="N1031" s="1319"/>
      <c r="O1031" s="1319"/>
      <c r="P1031" s="1319"/>
      <c r="Q1031" s="35">
        <v>43822</v>
      </c>
      <c r="R1031" s="36">
        <v>1.9299999999999998E-2</v>
      </c>
      <c r="S1031" s="37">
        <v>1.7500000000000002E-2</v>
      </c>
    </row>
    <row r="1032" spans="1:19" x14ac:dyDescent="0.2">
      <c r="A1032" s="1"/>
      <c r="B1032" s="13">
        <v>44218</v>
      </c>
      <c r="C1032" s="14">
        <v>194.88</v>
      </c>
      <c r="D1032" s="15">
        <v>192344</v>
      </c>
      <c r="E1032" s="14">
        <v>195.78</v>
      </c>
      <c r="F1032" s="14">
        <v>198.61500000000001</v>
      </c>
      <c r="G1032" s="16">
        <v>191.64</v>
      </c>
      <c r="H1032" s="69">
        <f t="shared" si="31"/>
        <v>-1.3765182186234792E-2</v>
      </c>
      <c r="M1032" s="225"/>
      <c r="N1032" s="1319"/>
      <c r="O1032" s="1319"/>
      <c r="P1032" s="1319"/>
      <c r="Q1032" s="35">
        <v>43823</v>
      </c>
      <c r="R1032" s="36">
        <v>1.9E-2</v>
      </c>
      <c r="S1032" s="37">
        <v>1.72E-2</v>
      </c>
    </row>
    <row r="1033" spans="1:19" x14ac:dyDescent="0.2">
      <c r="A1033" s="1"/>
      <c r="B1033" s="13">
        <v>44217</v>
      </c>
      <c r="C1033" s="14">
        <v>197.6</v>
      </c>
      <c r="D1033" s="15">
        <v>141558</v>
      </c>
      <c r="E1033" s="14">
        <v>201.43</v>
      </c>
      <c r="F1033" s="14">
        <v>203.57499999999999</v>
      </c>
      <c r="G1033" s="16">
        <v>196.66</v>
      </c>
      <c r="H1033" s="69">
        <f t="shared" si="31"/>
        <v>-1.2888400439604375E-2</v>
      </c>
      <c r="M1033" s="225"/>
      <c r="N1033" s="1319"/>
      <c r="O1033" s="1319"/>
      <c r="P1033" s="1319"/>
      <c r="Q1033" s="35">
        <v>43825</v>
      </c>
      <c r="R1033" s="36">
        <v>1.9E-2</v>
      </c>
      <c r="S1033" s="37">
        <v>1.72E-2</v>
      </c>
    </row>
    <row r="1034" spans="1:19" x14ac:dyDescent="0.2">
      <c r="A1034" s="1"/>
      <c r="B1034" s="13">
        <v>44216</v>
      </c>
      <c r="C1034" s="14">
        <v>200.18</v>
      </c>
      <c r="D1034" s="15">
        <v>147514</v>
      </c>
      <c r="E1034" s="14">
        <v>198.33</v>
      </c>
      <c r="F1034" s="14">
        <v>200.89420000000001</v>
      </c>
      <c r="G1034" s="16">
        <v>195.005</v>
      </c>
      <c r="H1034" s="69">
        <f t="shared" si="31"/>
        <v>1.8002441008950543E-2</v>
      </c>
      <c r="M1034" s="225"/>
      <c r="N1034" s="1319"/>
      <c r="O1034" s="1319"/>
      <c r="P1034" s="1319"/>
      <c r="Q1034" s="35">
        <v>43826</v>
      </c>
      <c r="R1034" s="36">
        <v>1.8799999999999997E-2</v>
      </c>
      <c r="S1034" s="37">
        <v>1.6799999999999999E-2</v>
      </c>
    </row>
    <row r="1035" spans="1:19" x14ac:dyDescent="0.2">
      <c r="A1035" s="1"/>
      <c r="B1035" s="13">
        <v>44215</v>
      </c>
      <c r="C1035" s="14">
        <v>196.64</v>
      </c>
      <c r="D1035" s="15">
        <v>179506</v>
      </c>
      <c r="E1035" s="14">
        <v>197.09</v>
      </c>
      <c r="F1035" s="14">
        <v>200.48</v>
      </c>
      <c r="G1035" s="16">
        <v>195.5</v>
      </c>
      <c r="H1035" s="69">
        <f t="shared" si="31"/>
        <v>1.2043232115285463E-2</v>
      </c>
      <c r="M1035" s="225"/>
      <c r="N1035" s="1319"/>
      <c r="O1035" s="1319"/>
      <c r="P1035" s="1319"/>
      <c r="Q1035" s="35">
        <v>43829</v>
      </c>
      <c r="R1035" s="36">
        <v>1.9E-2</v>
      </c>
      <c r="S1035" s="37">
        <v>1.6799999999999999E-2</v>
      </c>
    </row>
    <row r="1036" spans="1:19" x14ac:dyDescent="0.2">
      <c r="A1036" s="1"/>
      <c r="B1036" s="13">
        <v>44211</v>
      </c>
      <c r="C1036" s="14">
        <v>194.3</v>
      </c>
      <c r="D1036" s="15">
        <v>192544</v>
      </c>
      <c r="E1036" s="14">
        <v>190.86</v>
      </c>
      <c r="F1036" s="14">
        <v>195.24</v>
      </c>
      <c r="G1036" s="16">
        <v>186.17609999999999</v>
      </c>
      <c r="H1036" s="69">
        <f t="shared" si="31"/>
        <v>7.9369196451730684E-3</v>
      </c>
      <c r="M1036" s="225"/>
      <c r="N1036" s="1319"/>
      <c r="O1036" s="1319"/>
      <c r="P1036" s="1319"/>
      <c r="Q1036" s="35">
        <v>43830</v>
      </c>
      <c r="R1036" s="36">
        <v>1.9199999999999998E-2</v>
      </c>
      <c r="S1036" s="37">
        <v>1.6899999999999998E-2</v>
      </c>
    </row>
    <row r="1037" spans="1:19" x14ac:dyDescent="0.2">
      <c r="A1037" s="1"/>
      <c r="B1037" s="13">
        <v>44210</v>
      </c>
      <c r="C1037" s="14">
        <v>192.77</v>
      </c>
      <c r="D1037" s="15">
        <v>141879</v>
      </c>
      <c r="E1037" s="14">
        <v>188.94</v>
      </c>
      <c r="F1037" s="14">
        <v>194.33</v>
      </c>
      <c r="G1037" s="16">
        <v>187.95</v>
      </c>
      <c r="H1037" s="69">
        <f t="shared" si="31"/>
        <v>2.9974353494336414E-2</v>
      </c>
      <c r="M1037" s="225"/>
      <c r="N1037" s="1319"/>
      <c r="O1037" s="1319"/>
      <c r="P1037" s="1319"/>
      <c r="Q1037" s="35">
        <v>43832</v>
      </c>
      <c r="R1037" s="36">
        <v>1.8799999999999997E-2</v>
      </c>
      <c r="S1037" s="37">
        <v>1.67E-2</v>
      </c>
    </row>
    <row r="1038" spans="1:19" x14ac:dyDescent="0.2">
      <c r="A1038" s="1"/>
      <c r="B1038" s="13">
        <v>44209</v>
      </c>
      <c r="C1038" s="14">
        <v>187.16</v>
      </c>
      <c r="D1038" s="15">
        <v>188371</v>
      </c>
      <c r="E1038" s="14">
        <v>193.37</v>
      </c>
      <c r="F1038" s="14">
        <v>194.715</v>
      </c>
      <c r="G1038" s="16">
        <v>185.42</v>
      </c>
      <c r="H1038" s="69">
        <f t="shared" si="31"/>
        <v>-3.3014724877292734E-2</v>
      </c>
      <c r="M1038" s="225"/>
      <c r="N1038" s="1319"/>
      <c r="O1038" s="1319"/>
      <c r="P1038" s="1319"/>
      <c r="Q1038" s="35">
        <v>43833</v>
      </c>
      <c r="R1038" s="36">
        <v>1.8000000000000002E-2</v>
      </c>
      <c r="S1038" s="37">
        <v>1.5900000000000001E-2</v>
      </c>
    </row>
    <row r="1039" spans="1:19" x14ac:dyDescent="0.2">
      <c r="A1039" s="1"/>
      <c r="B1039" s="13">
        <v>44208</v>
      </c>
      <c r="C1039" s="14">
        <v>193.55</v>
      </c>
      <c r="D1039" s="15">
        <v>109078</v>
      </c>
      <c r="E1039" s="14">
        <v>191.9</v>
      </c>
      <c r="F1039" s="14">
        <v>194.99</v>
      </c>
      <c r="G1039" s="16">
        <v>189.87</v>
      </c>
      <c r="H1039" s="69">
        <f t="shared" si="31"/>
        <v>1.1391545174269879E-2</v>
      </c>
      <c r="M1039" s="225"/>
      <c r="N1039" s="1319"/>
      <c r="O1039" s="1319"/>
      <c r="P1039" s="1319"/>
      <c r="Q1039" s="35">
        <v>43836</v>
      </c>
      <c r="R1039" s="36">
        <v>1.8100000000000002E-2</v>
      </c>
      <c r="S1039" s="37">
        <v>1.61E-2</v>
      </c>
    </row>
    <row r="1040" spans="1:19" x14ac:dyDescent="0.2">
      <c r="A1040" s="1"/>
      <c r="B1040" s="13">
        <v>44207</v>
      </c>
      <c r="C1040" s="14">
        <v>191.37</v>
      </c>
      <c r="D1040" s="15">
        <v>217497</v>
      </c>
      <c r="E1040" s="14">
        <v>191.32</v>
      </c>
      <c r="F1040" s="14">
        <v>194.2</v>
      </c>
      <c r="G1040" s="16">
        <v>189.68</v>
      </c>
      <c r="H1040" s="69">
        <f t="shared" si="31"/>
        <v>-9.1643367505435114E-3</v>
      </c>
      <c r="M1040" s="225"/>
      <c r="N1040" s="1319"/>
      <c r="O1040" s="1319"/>
      <c r="P1040" s="1319"/>
      <c r="Q1040" s="35">
        <v>43837</v>
      </c>
      <c r="R1040" s="36">
        <v>1.83E-2</v>
      </c>
      <c r="S1040" s="37">
        <v>1.6200000000000003E-2</v>
      </c>
    </row>
    <row r="1041" spans="1:19" x14ac:dyDescent="0.2">
      <c r="A1041" s="1"/>
      <c r="B1041" s="13">
        <v>44204</v>
      </c>
      <c r="C1041" s="14">
        <v>193.14</v>
      </c>
      <c r="D1041" s="15">
        <v>156812</v>
      </c>
      <c r="E1041" s="14">
        <v>194.12</v>
      </c>
      <c r="F1041" s="14">
        <v>197.4</v>
      </c>
      <c r="G1041" s="16">
        <v>191.35</v>
      </c>
      <c r="H1041" s="69">
        <f t="shared" si="31"/>
        <v>-3.8681726752282097E-3</v>
      </c>
      <c r="M1041" s="225"/>
      <c r="N1041" s="1319"/>
      <c r="O1041" s="1319"/>
      <c r="P1041" s="1319"/>
      <c r="Q1041" s="35">
        <v>43838</v>
      </c>
      <c r="R1041" s="36">
        <v>1.8700000000000001E-2</v>
      </c>
      <c r="S1041" s="37">
        <v>1.67E-2</v>
      </c>
    </row>
    <row r="1042" spans="1:19" x14ac:dyDescent="0.2">
      <c r="A1042" s="1"/>
      <c r="B1042" s="13">
        <v>44203</v>
      </c>
      <c r="C1042" s="14">
        <v>193.89</v>
      </c>
      <c r="D1042" s="15">
        <v>161033</v>
      </c>
      <c r="E1042" s="14">
        <v>188</v>
      </c>
      <c r="F1042" s="14">
        <v>194.85</v>
      </c>
      <c r="G1042" s="16">
        <v>187.24</v>
      </c>
      <c r="H1042" s="69">
        <f t="shared" si="31"/>
        <v>3.6789476498582996E-2</v>
      </c>
      <c r="M1042" s="225"/>
      <c r="N1042" s="1319"/>
      <c r="O1042" s="1319"/>
      <c r="P1042" s="1319"/>
      <c r="Q1042" s="35">
        <v>43839</v>
      </c>
      <c r="R1042" s="36">
        <v>1.8500000000000003E-2</v>
      </c>
      <c r="S1042" s="37">
        <v>1.6500000000000001E-2</v>
      </c>
    </row>
    <row r="1043" spans="1:19" x14ac:dyDescent="0.2">
      <c r="A1043" s="1"/>
      <c r="B1043" s="13">
        <v>44202</v>
      </c>
      <c r="C1043" s="14">
        <v>187.01</v>
      </c>
      <c r="D1043" s="15">
        <v>337418</v>
      </c>
      <c r="E1043" s="14">
        <v>181.16</v>
      </c>
      <c r="F1043" s="14">
        <v>187.63</v>
      </c>
      <c r="G1043" s="16">
        <v>179.47499999999999</v>
      </c>
      <c r="H1043" s="69">
        <f t="shared" si="31"/>
        <v>3.4004202145305529E-2</v>
      </c>
      <c r="M1043" s="225"/>
      <c r="N1043" s="1319"/>
      <c r="O1043" s="1319"/>
      <c r="P1043" s="1319"/>
      <c r="Q1043" s="35">
        <v>43840</v>
      </c>
      <c r="R1043" s="36">
        <v>1.83E-2</v>
      </c>
      <c r="S1043" s="37">
        <v>1.6299999999999999E-2</v>
      </c>
    </row>
    <row r="1044" spans="1:19" x14ac:dyDescent="0.2">
      <c r="A1044" s="1"/>
      <c r="B1044" s="13">
        <v>44201</v>
      </c>
      <c r="C1044" s="14">
        <v>180.86</v>
      </c>
      <c r="D1044" s="15">
        <v>153972</v>
      </c>
      <c r="E1044" s="14">
        <v>179.42</v>
      </c>
      <c r="F1044" s="14">
        <v>183.3</v>
      </c>
      <c r="G1044" s="16">
        <v>178.45</v>
      </c>
      <c r="H1044" s="69">
        <f t="shared" si="31"/>
        <v>5.168676707608455E-3</v>
      </c>
      <c r="M1044" s="225"/>
      <c r="N1044" s="1319"/>
      <c r="O1044" s="1319"/>
      <c r="P1044" s="1319"/>
      <c r="Q1044" s="35">
        <v>43843</v>
      </c>
      <c r="R1044" s="36">
        <v>1.8500000000000003E-2</v>
      </c>
      <c r="S1044" s="37">
        <v>1.6500000000000001E-2</v>
      </c>
    </row>
    <row r="1045" spans="1:19" x14ac:dyDescent="0.2">
      <c r="A1045" s="1"/>
      <c r="B1045" s="13">
        <v>44200</v>
      </c>
      <c r="C1045" s="14">
        <v>179.93</v>
      </c>
      <c r="D1045" s="15">
        <v>268349</v>
      </c>
      <c r="E1045" s="14">
        <v>181.62</v>
      </c>
      <c r="F1045" s="14">
        <v>184.22</v>
      </c>
      <c r="G1045" s="16">
        <v>178.31</v>
      </c>
      <c r="H1045" s="69">
        <f t="shared" si="31"/>
        <v>-4.8119469026548511E-3</v>
      </c>
      <c r="M1045" s="225"/>
      <c r="N1045" s="1319"/>
      <c r="O1045" s="1319"/>
      <c r="P1045" s="1319"/>
      <c r="Q1045" s="35">
        <v>43844</v>
      </c>
      <c r="R1045" s="36">
        <v>1.8200000000000001E-2</v>
      </c>
      <c r="S1045" s="37">
        <v>1.6299999999999999E-2</v>
      </c>
    </row>
    <row r="1046" spans="1:19" x14ac:dyDescent="0.2">
      <c r="A1046" s="1"/>
      <c r="B1046" s="13">
        <v>44196</v>
      </c>
      <c r="C1046" s="14">
        <v>180.8</v>
      </c>
      <c r="D1046" s="15">
        <v>111654</v>
      </c>
      <c r="E1046" s="14">
        <v>182.64</v>
      </c>
      <c r="F1046" s="14">
        <v>183.77</v>
      </c>
      <c r="G1046" s="16">
        <v>180.14</v>
      </c>
      <c r="H1046" s="69">
        <f t="shared" si="31"/>
        <v>-8.3369899078542531E-3</v>
      </c>
      <c r="O1046" s="1319"/>
      <c r="P1046" s="1319"/>
      <c r="Q1046" s="35">
        <v>43845</v>
      </c>
      <c r="R1046" s="36">
        <v>1.7899999999999999E-2</v>
      </c>
      <c r="S1046" s="37">
        <v>1.6E-2</v>
      </c>
    </row>
    <row r="1047" spans="1:19" x14ac:dyDescent="0.2">
      <c r="A1047" s="1"/>
      <c r="B1047" s="13">
        <v>44195</v>
      </c>
      <c r="C1047" s="14">
        <v>182.32</v>
      </c>
      <c r="D1047" s="15">
        <v>84886</v>
      </c>
      <c r="E1047" s="14">
        <v>182.07</v>
      </c>
      <c r="F1047" s="14">
        <v>184.64500000000001</v>
      </c>
      <c r="G1047" s="16">
        <v>182.04</v>
      </c>
      <c r="H1047" s="69">
        <f t="shared" si="31"/>
        <v>-5.4845609609111001E-5</v>
      </c>
      <c r="O1047" s="1319"/>
      <c r="P1047" s="1319"/>
      <c r="Q1047" s="35">
        <v>43846</v>
      </c>
      <c r="R1047" s="36">
        <v>1.8100000000000002E-2</v>
      </c>
      <c r="S1047" s="37">
        <v>1.6299999999999999E-2</v>
      </c>
    </row>
    <row r="1048" spans="1:19" x14ac:dyDescent="0.2">
      <c r="A1048" s="1"/>
      <c r="B1048" s="13">
        <v>44194</v>
      </c>
      <c r="C1048" s="14">
        <v>182.33</v>
      </c>
      <c r="D1048" s="15">
        <v>152041</v>
      </c>
      <c r="E1048" s="14">
        <v>183.37</v>
      </c>
      <c r="F1048" s="14">
        <v>183.37</v>
      </c>
      <c r="G1048" s="16">
        <v>180.34</v>
      </c>
      <c r="H1048" s="69">
        <f t="shared" si="31"/>
        <v>-2.7347809440463333E-3</v>
      </c>
      <c r="O1048" s="1319"/>
      <c r="P1048" s="1319"/>
      <c r="Q1048" s="35">
        <v>43847</v>
      </c>
      <c r="R1048" s="36">
        <v>1.84E-2</v>
      </c>
      <c r="S1048" s="37">
        <v>1.6299999999999999E-2</v>
      </c>
    </row>
    <row r="1049" spans="1:19" x14ac:dyDescent="0.2">
      <c r="A1049" s="1"/>
      <c r="B1049" s="13">
        <v>44193</v>
      </c>
      <c r="C1049" s="14">
        <v>182.83</v>
      </c>
      <c r="D1049" s="15">
        <v>114850</v>
      </c>
      <c r="E1049" s="14">
        <v>186.83</v>
      </c>
      <c r="F1049" s="14">
        <v>186.83</v>
      </c>
      <c r="G1049" s="16">
        <v>182.82</v>
      </c>
      <c r="H1049" s="69">
        <f t="shared" si="31"/>
        <v>-1.4234107941985208E-2</v>
      </c>
      <c r="O1049" s="1319"/>
      <c r="P1049" s="1319"/>
      <c r="Q1049" s="35">
        <v>43851</v>
      </c>
      <c r="R1049" s="36">
        <v>1.78E-2</v>
      </c>
      <c r="S1049" s="37">
        <v>1.5700000000000002E-2</v>
      </c>
    </row>
    <row r="1050" spans="1:19" x14ac:dyDescent="0.2">
      <c r="A1050" s="1"/>
      <c r="B1050" s="13">
        <v>44189</v>
      </c>
      <c r="C1050" s="14">
        <v>185.47</v>
      </c>
      <c r="D1050" s="15">
        <v>29438</v>
      </c>
      <c r="E1050" s="14">
        <v>185.5</v>
      </c>
      <c r="F1050" s="14">
        <v>186.89</v>
      </c>
      <c r="G1050" s="16">
        <v>182.75</v>
      </c>
      <c r="H1050" s="69">
        <f t="shared" si="31"/>
        <v>6.5668077716269924E-3</v>
      </c>
      <c r="O1050" s="1319"/>
      <c r="P1050" s="1319"/>
      <c r="Q1050" s="35">
        <v>43852</v>
      </c>
      <c r="R1050" s="36">
        <v>1.77E-2</v>
      </c>
      <c r="S1050" s="37">
        <v>1.5700000000000002E-2</v>
      </c>
    </row>
    <row r="1051" spans="1:19" x14ac:dyDescent="0.2">
      <c r="A1051" s="1"/>
      <c r="B1051" s="13">
        <v>44188</v>
      </c>
      <c r="C1051" s="14">
        <v>184.26</v>
      </c>
      <c r="D1051" s="15">
        <v>100091</v>
      </c>
      <c r="E1051" s="14">
        <v>186.15</v>
      </c>
      <c r="F1051" s="14">
        <v>187.01</v>
      </c>
      <c r="G1051" s="16">
        <v>183.86</v>
      </c>
      <c r="H1051" s="69">
        <f t="shared" si="31"/>
        <v>-9.1950314566866531E-3</v>
      </c>
      <c r="O1051" s="1319"/>
      <c r="P1051" s="1319"/>
      <c r="Q1051" s="35">
        <v>43853</v>
      </c>
      <c r="R1051" s="36">
        <v>1.7399999999999999E-2</v>
      </c>
      <c r="S1051" s="37">
        <v>1.55E-2</v>
      </c>
    </row>
    <row r="1052" spans="1:19" x14ac:dyDescent="0.2">
      <c r="A1052" s="1"/>
      <c r="B1052" s="13">
        <v>44187</v>
      </c>
      <c r="C1052" s="14">
        <v>185.97</v>
      </c>
      <c r="D1052" s="15">
        <v>143762</v>
      </c>
      <c r="E1052" s="14">
        <v>184.02</v>
      </c>
      <c r="F1052" s="14">
        <v>187.83</v>
      </c>
      <c r="G1052" s="16">
        <v>183.4</v>
      </c>
      <c r="H1052" s="69">
        <f t="shared" si="31"/>
        <v>1.7619699042407566E-2</v>
      </c>
      <c r="O1052" s="1319"/>
      <c r="P1052" s="1319"/>
      <c r="Q1052" s="35">
        <v>43854</v>
      </c>
      <c r="R1052" s="36">
        <v>1.7000000000000001E-2</v>
      </c>
      <c r="S1052" s="37">
        <v>1.5100000000000001E-2</v>
      </c>
    </row>
    <row r="1053" spans="1:19" x14ac:dyDescent="0.2">
      <c r="A1053" s="1"/>
      <c r="B1053" s="13">
        <v>44186</v>
      </c>
      <c r="C1053" s="14">
        <v>182.75</v>
      </c>
      <c r="D1053" s="15">
        <v>134058</v>
      </c>
      <c r="E1053" s="14">
        <v>179.83</v>
      </c>
      <c r="F1053" s="14">
        <v>184.18</v>
      </c>
      <c r="G1053" s="16">
        <v>177.08199999999999</v>
      </c>
      <c r="H1053" s="69">
        <f t="shared" si="31"/>
        <v>-5.6586321345012403E-3</v>
      </c>
      <c r="O1053" s="1319"/>
      <c r="P1053" s="1319"/>
      <c r="Q1053" s="35">
        <v>43857</v>
      </c>
      <c r="R1053" s="36">
        <v>1.61E-2</v>
      </c>
      <c r="S1053" s="37">
        <v>1.44E-2</v>
      </c>
    </row>
    <row r="1054" spans="1:19" x14ac:dyDescent="0.2">
      <c r="A1054" s="1"/>
      <c r="B1054" s="13">
        <v>44183</v>
      </c>
      <c r="C1054" s="14">
        <v>183.79</v>
      </c>
      <c r="D1054" s="15">
        <v>317586</v>
      </c>
      <c r="E1054" s="14">
        <v>184.76</v>
      </c>
      <c r="F1054" s="14">
        <v>186.49</v>
      </c>
      <c r="G1054" s="16">
        <v>182.76</v>
      </c>
      <c r="H1054" s="69">
        <f t="shared" si="31"/>
        <v>-5.6805886171824582E-3</v>
      </c>
      <c r="O1054" s="1319"/>
      <c r="P1054" s="1319"/>
      <c r="Q1054" s="35">
        <v>43858</v>
      </c>
      <c r="R1054" s="36">
        <v>1.6500000000000001E-2</v>
      </c>
      <c r="S1054" s="37">
        <v>1.47E-2</v>
      </c>
    </row>
    <row r="1055" spans="1:19" x14ac:dyDescent="0.2">
      <c r="A1055" s="1"/>
      <c r="B1055" s="13">
        <v>44182</v>
      </c>
      <c r="C1055" s="14">
        <v>184.84</v>
      </c>
      <c r="D1055" s="15">
        <v>192817</v>
      </c>
      <c r="E1055" s="14">
        <v>185.86</v>
      </c>
      <c r="F1055" s="14">
        <v>194</v>
      </c>
      <c r="G1055" s="16">
        <v>183</v>
      </c>
      <c r="H1055" s="69">
        <f t="shared" si="31"/>
        <v>-6.1296913646627926E-3</v>
      </c>
      <c r="O1055" s="1319"/>
      <c r="P1055" s="1319"/>
      <c r="Q1055" s="35">
        <v>43859</v>
      </c>
      <c r="R1055" s="36">
        <v>1.6E-2</v>
      </c>
      <c r="S1055" s="37">
        <v>1.41E-2</v>
      </c>
    </row>
    <row r="1056" spans="1:19" x14ac:dyDescent="0.2">
      <c r="A1056" s="1"/>
      <c r="B1056" s="13">
        <v>44181</v>
      </c>
      <c r="C1056" s="14">
        <v>185.98</v>
      </c>
      <c r="D1056" s="15">
        <v>114674</v>
      </c>
      <c r="E1056" s="14">
        <v>184.88</v>
      </c>
      <c r="F1056" s="14">
        <v>186.82</v>
      </c>
      <c r="G1056" s="16">
        <v>182.84</v>
      </c>
      <c r="H1056" s="69">
        <f t="shared" si="31"/>
        <v>5.949805279099829E-3</v>
      </c>
      <c r="O1056" s="1319"/>
      <c r="P1056" s="1319"/>
      <c r="Q1056" s="35">
        <v>43860</v>
      </c>
      <c r="R1056" s="36">
        <v>1.5700000000000002E-2</v>
      </c>
      <c r="S1056" s="37">
        <v>1.3899999999999999E-2</v>
      </c>
    </row>
    <row r="1057" spans="1:19" x14ac:dyDescent="0.2">
      <c r="A1057" s="1"/>
      <c r="B1057" s="13">
        <v>44180</v>
      </c>
      <c r="C1057" s="14">
        <v>184.88</v>
      </c>
      <c r="D1057" s="15">
        <v>105709</v>
      </c>
      <c r="E1057" s="14">
        <v>183.13</v>
      </c>
      <c r="F1057" s="14">
        <v>185.75</v>
      </c>
      <c r="G1057" s="16">
        <v>180.69</v>
      </c>
      <c r="H1057" s="69">
        <f t="shared" si="31"/>
        <v>2.0985199911641272E-2</v>
      </c>
      <c r="O1057" s="1319"/>
      <c r="P1057" s="1319"/>
      <c r="Q1057" s="35">
        <v>43861</v>
      </c>
      <c r="R1057" s="36">
        <v>1.5100000000000001E-2</v>
      </c>
      <c r="S1057" s="37">
        <v>1.32E-2</v>
      </c>
    </row>
    <row r="1058" spans="1:19" x14ac:dyDescent="0.2">
      <c r="A1058" s="1"/>
      <c r="B1058" s="13">
        <v>44179</v>
      </c>
      <c r="C1058" s="14">
        <v>181.08</v>
      </c>
      <c r="D1058" s="15">
        <v>152154</v>
      </c>
      <c r="E1058" s="14">
        <v>187.7</v>
      </c>
      <c r="F1058" s="14">
        <v>187.7</v>
      </c>
      <c r="G1058" s="16">
        <v>180.15</v>
      </c>
      <c r="H1058" s="69">
        <f t="shared" si="31"/>
        <v>-1.8164073090061184E-2</v>
      </c>
      <c r="O1058" s="1319"/>
      <c r="P1058" s="1319"/>
      <c r="Q1058" s="35">
        <v>43864</v>
      </c>
      <c r="R1058" s="36">
        <v>1.54E-2</v>
      </c>
      <c r="S1058" s="37">
        <v>1.3500000000000002E-2</v>
      </c>
    </row>
    <row r="1059" spans="1:19" x14ac:dyDescent="0.2">
      <c r="A1059" s="1"/>
      <c r="B1059" s="13">
        <v>44176</v>
      </c>
      <c r="C1059" s="14">
        <v>184.43</v>
      </c>
      <c r="D1059" s="15">
        <v>163067</v>
      </c>
      <c r="E1059" s="14">
        <v>180.01</v>
      </c>
      <c r="F1059" s="14">
        <v>186.02</v>
      </c>
      <c r="G1059" s="16">
        <v>180.01</v>
      </c>
      <c r="H1059" s="69">
        <f t="shared" si="31"/>
        <v>1.4689700704225483E-2</v>
      </c>
      <c r="O1059" s="1319"/>
      <c r="P1059" s="1319"/>
      <c r="Q1059" s="35">
        <v>43865</v>
      </c>
      <c r="R1059" s="36">
        <v>1.61E-2</v>
      </c>
      <c r="S1059" s="37">
        <v>1.4199999999999999E-2</v>
      </c>
    </row>
    <row r="1060" spans="1:19" x14ac:dyDescent="0.2">
      <c r="A1060" s="1"/>
      <c r="B1060" s="13">
        <v>44175</v>
      </c>
      <c r="C1060" s="14">
        <v>181.76</v>
      </c>
      <c r="D1060" s="15">
        <v>225371</v>
      </c>
      <c r="E1060" s="14">
        <v>181.6</v>
      </c>
      <c r="F1060" s="14">
        <v>182.79</v>
      </c>
      <c r="G1060" s="16">
        <v>176.7</v>
      </c>
      <c r="H1060" s="69">
        <f t="shared" si="31"/>
        <v>-4.1639272408504624E-3</v>
      </c>
      <c r="O1060" s="1319"/>
      <c r="P1060" s="1319"/>
      <c r="Q1060" s="35">
        <v>43866</v>
      </c>
      <c r="R1060" s="36">
        <v>1.66E-2</v>
      </c>
      <c r="S1060" s="37">
        <v>1.46E-2</v>
      </c>
    </row>
    <row r="1061" spans="1:19" x14ac:dyDescent="0.2">
      <c r="A1061" s="1"/>
      <c r="B1061" s="13">
        <v>44174</v>
      </c>
      <c r="C1061" s="14">
        <v>182.52</v>
      </c>
      <c r="D1061" s="15">
        <v>247764</v>
      </c>
      <c r="E1061" s="14">
        <v>189.27</v>
      </c>
      <c r="F1061" s="14">
        <v>190.74</v>
      </c>
      <c r="G1061" s="16">
        <v>181.47</v>
      </c>
      <c r="H1061" s="69">
        <f t="shared" si="31"/>
        <v>-3.3211504846654916E-2</v>
      </c>
      <c r="O1061" s="1319"/>
      <c r="P1061" s="1319"/>
      <c r="Q1061" s="35">
        <v>43867</v>
      </c>
      <c r="R1061" s="36">
        <v>1.6500000000000001E-2</v>
      </c>
      <c r="S1061" s="37">
        <v>1.4499999999999999E-2</v>
      </c>
    </row>
    <row r="1062" spans="1:19" x14ac:dyDescent="0.2">
      <c r="A1062" s="1"/>
      <c r="B1062" s="13">
        <v>44173</v>
      </c>
      <c r="C1062" s="14">
        <v>188.79</v>
      </c>
      <c r="D1062" s="15">
        <v>157845</v>
      </c>
      <c r="E1062" s="14">
        <v>184.09</v>
      </c>
      <c r="F1062" s="14">
        <v>188.88</v>
      </c>
      <c r="G1062" s="16">
        <v>182.97</v>
      </c>
      <c r="H1062" s="69">
        <f t="shared" si="31"/>
        <v>1.7351942663145881E-2</v>
      </c>
      <c r="O1062" s="1319"/>
      <c r="P1062" s="1319"/>
      <c r="Q1062" s="35">
        <v>43868</v>
      </c>
      <c r="R1062" s="36">
        <v>1.5900000000000001E-2</v>
      </c>
      <c r="S1062" s="37">
        <v>1.41E-2</v>
      </c>
    </row>
    <row r="1063" spans="1:19" x14ac:dyDescent="0.2">
      <c r="A1063" s="1"/>
      <c r="B1063" s="13">
        <v>44172</v>
      </c>
      <c r="C1063" s="14">
        <v>185.57</v>
      </c>
      <c r="D1063" s="15">
        <v>197048</v>
      </c>
      <c r="E1063" s="14">
        <v>182.35</v>
      </c>
      <c r="F1063" s="14">
        <v>186.03</v>
      </c>
      <c r="G1063" s="16">
        <v>180.35</v>
      </c>
      <c r="H1063" s="69">
        <f t="shared" si="31"/>
        <v>1.4043715846994598E-2</v>
      </c>
      <c r="O1063" s="1319"/>
      <c r="P1063" s="1319"/>
      <c r="Q1063" s="35">
        <v>43871</v>
      </c>
      <c r="R1063" s="36">
        <v>1.5600000000000001E-2</v>
      </c>
      <c r="S1063" s="37">
        <v>1.38E-2</v>
      </c>
    </row>
    <row r="1064" spans="1:19" x14ac:dyDescent="0.2">
      <c r="A1064" s="1"/>
      <c r="B1064" s="13">
        <v>44169</v>
      </c>
      <c r="C1064" s="14">
        <v>183</v>
      </c>
      <c r="D1064" s="15">
        <v>277775</v>
      </c>
      <c r="E1064" s="14">
        <v>180.04</v>
      </c>
      <c r="F1064" s="14">
        <v>185.24</v>
      </c>
      <c r="G1064" s="16">
        <v>179.4401</v>
      </c>
      <c r="H1064" s="69">
        <f t="shared" ref="H1064:H1127" si="32">C1064/C1065-1</f>
        <v>3.0173384372889078E-2</v>
      </c>
      <c r="O1064" s="1319"/>
      <c r="P1064" s="1319"/>
      <c r="Q1064" s="35">
        <v>43872</v>
      </c>
      <c r="R1064" s="36">
        <v>1.5900000000000001E-2</v>
      </c>
      <c r="S1064" s="37">
        <v>1.3999999999999999E-2</v>
      </c>
    </row>
    <row r="1065" spans="1:19" x14ac:dyDescent="0.2">
      <c r="A1065" s="1"/>
      <c r="B1065" s="13">
        <v>44168</v>
      </c>
      <c r="C1065" s="14">
        <v>177.64</v>
      </c>
      <c r="D1065" s="15">
        <v>182981</v>
      </c>
      <c r="E1065" s="14">
        <v>174.46</v>
      </c>
      <c r="F1065" s="14">
        <v>178.87</v>
      </c>
      <c r="G1065" s="16">
        <v>173.25</v>
      </c>
      <c r="H1065" s="69">
        <f t="shared" si="32"/>
        <v>1.7819286082621844E-2</v>
      </c>
      <c r="O1065" s="1319"/>
      <c r="P1065" s="1319"/>
      <c r="Q1065" s="35">
        <v>43873</v>
      </c>
      <c r="R1065" s="36">
        <v>1.6200000000000003E-2</v>
      </c>
      <c r="S1065" s="37">
        <v>1.4499999999999999E-2</v>
      </c>
    </row>
    <row r="1066" spans="1:19" x14ac:dyDescent="0.2">
      <c r="A1066" s="1"/>
      <c r="B1066" s="13">
        <v>44167</v>
      </c>
      <c r="C1066" s="14">
        <v>174.53</v>
      </c>
      <c r="D1066" s="15">
        <v>155944</v>
      </c>
      <c r="E1066" s="14">
        <v>177.04</v>
      </c>
      <c r="F1066" s="14">
        <v>177.04</v>
      </c>
      <c r="G1066" s="16">
        <v>172.60499999999999</v>
      </c>
      <c r="H1066" s="69">
        <f t="shared" si="32"/>
        <v>-1.2224800498047417E-2</v>
      </c>
      <c r="O1066" s="1319"/>
      <c r="P1066" s="1319"/>
      <c r="Q1066" s="35">
        <v>43874</v>
      </c>
      <c r="R1066" s="36">
        <v>1.61E-2</v>
      </c>
      <c r="S1066" s="37">
        <v>1.43E-2</v>
      </c>
    </row>
    <row r="1067" spans="1:19" x14ac:dyDescent="0.2">
      <c r="A1067" s="1"/>
      <c r="B1067" s="13">
        <v>44166</v>
      </c>
      <c r="C1067" s="14">
        <v>176.69</v>
      </c>
      <c r="D1067" s="15">
        <v>228302</v>
      </c>
      <c r="E1067" s="14">
        <v>176.81</v>
      </c>
      <c r="F1067" s="14">
        <v>178.7</v>
      </c>
      <c r="G1067" s="16">
        <v>172.655</v>
      </c>
      <c r="H1067" s="69">
        <f t="shared" si="32"/>
        <v>1.231809327374811E-2</v>
      </c>
      <c r="O1067" s="1319"/>
      <c r="P1067" s="1319"/>
      <c r="Q1067" s="35">
        <v>43875</v>
      </c>
      <c r="R1067" s="36">
        <v>1.5900000000000001E-2</v>
      </c>
      <c r="S1067" s="37">
        <v>1.4199999999999999E-2</v>
      </c>
    </row>
    <row r="1068" spans="1:19" x14ac:dyDescent="0.2">
      <c r="A1068" s="1"/>
      <c r="B1068" s="13">
        <v>44165</v>
      </c>
      <c r="C1068" s="14">
        <v>174.54</v>
      </c>
      <c r="D1068" s="15">
        <v>212629</v>
      </c>
      <c r="E1068" s="14">
        <v>174.02</v>
      </c>
      <c r="F1068" s="14">
        <v>177.26</v>
      </c>
      <c r="G1068" s="16">
        <v>172.37</v>
      </c>
      <c r="H1068" s="69">
        <f t="shared" si="32"/>
        <v>7.1552221581072661E-3</v>
      </c>
      <c r="O1068" s="1319"/>
      <c r="P1068" s="1319"/>
      <c r="Q1068" s="35">
        <v>43879</v>
      </c>
      <c r="R1068" s="36">
        <v>1.55E-2</v>
      </c>
      <c r="S1068" s="37">
        <v>1.3899999999999999E-2</v>
      </c>
    </row>
    <row r="1069" spans="1:19" x14ac:dyDescent="0.2">
      <c r="A1069" s="1"/>
      <c r="B1069" s="13">
        <v>44162</v>
      </c>
      <c r="C1069" s="14">
        <v>173.3</v>
      </c>
      <c r="D1069" s="15">
        <v>50161</v>
      </c>
      <c r="E1069" s="14">
        <v>172.21</v>
      </c>
      <c r="F1069" s="14">
        <v>173.79</v>
      </c>
      <c r="G1069" s="16">
        <v>171</v>
      </c>
      <c r="H1069" s="69">
        <f t="shared" si="32"/>
        <v>6.1542034370645204E-3</v>
      </c>
      <c r="O1069" s="1319"/>
      <c r="P1069" s="1319"/>
      <c r="Q1069" s="35">
        <v>43880</v>
      </c>
      <c r="R1069" s="36">
        <v>1.5600000000000001E-2</v>
      </c>
      <c r="S1069" s="37">
        <v>1.41E-2</v>
      </c>
    </row>
    <row r="1070" spans="1:19" x14ac:dyDescent="0.2">
      <c r="A1070" s="1"/>
      <c r="B1070" s="13">
        <v>44160</v>
      </c>
      <c r="C1070" s="14">
        <v>172.24</v>
      </c>
      <c r="D1070" s="15">
        <v>134389</v>
      </c>
      <c r="E1070" s="14">
        <v>173.59</v>
      </c>
      <c r="F1070" s="14">
        <v>174.79640000000001</v>
      </c>
      <c r="G1070" s="16">
        <v>171.13499999999999</v>
      </c>
      <c r="H1070" s="69">
        <f t="shared" si="32"/>
        <v>-1.4814391122805026E-2</v>
      </c>
      <c r="O1070" s="1319"/>
      <c r="P1070" s="1319"/>
      <c r="Q1070" s="35">
        <v>43881</v>
      </c>
      <c r="R1070" s="36">
        <v>1.52E-2</v>
      </c>
      <c r="S1070" s="37">
        <v>1.37E-2</v>
      </c>
    </row>
    <row r="1071" spans="1:19" x14ac:dyDescent="0.2">
      <c r="A1071" s="1"/>
      <c r="B1071" s="13">
        <v>44159</v>
      </c>
      <c r="C1071" s="14">
        <v>174.83</v>
      </c>
      <c r="D1071" s="15">
        <v>166175</v>
      </c>
      <c r="E1071" s="14">
        <v>168.87</v>
      </c>
      <c r="F1071" s="14">
        <v>175.54339999999999</v>
      </c>
      <c r="G1071" s="16">
        <v>168.845</v>
      </c>
      <c r="H1071" s="69">
        <f t="shared" si="32"/>
        <v>3.2907952262791085E-2</v>
      </c>
      <c r="O1071" s="1319"/>
      <c r="P1071" s="1319"/>
      <c r="Q1071" s="35">
        <v>43882</v>
      </c>
      <c r="R1071" s="36">
        <v>1.46E-2</v>
      </c>
      <c r="S1071" s="37">
        <v>1.3000000000000001E-2</v>
      </c>
    </row>
    <row r="1072" spans="1:19" x14ac:dyDescent="0.2">
      <c r="A1072" s="1"/>
      <c r="B1072" s="13">
        <v>44158</v>
      </c>
      <c r="C1072" s="14">
        <v>169.26</v>
      </c>
      <c r="D1072" s="15">
        <v>240491</v>
      </c>
      <c r="E1072" s="14">
        <v>172.65</v>
      </c>
      <c r="F1072" s="14">
        <v>173.95</v>
      </c>
      <c r="G1072" s="16">
        <v>167.62</v>
      </c>
      <c r="H1072" s="69">
        <f t="shared" si="32"/>
        <v>-1.029119401239631E-2</v>
      </c>
      <c r="O1072" s="1319"/>
      <c r="P1072" s="1319"/>
      <c r="Q1072" s="35">
        <v>43885</v>
      </c>
      <c r="R1072" s="36">
        <v>1.38E-2</v>
      </c>
      <c r="S1072" s="37">
        <v>1.21E-2</v>
      </c>
    </row>
    <row r="1073" spans="1:19" x14ac:dyDescent="0.2">
      <c r="A1073" s="1"/>
      <c r="B1073" s="13">
        <v>44155</v>
      </c>
      <c r="C1073" s="14">
        <v>171.02</v>
      </c>
      <c r="D1073" s="15">
        <v>291940</v>
      </c>
      <c r="E1073" s="14">
        <v>169</v>
      </c>
      <c r="F1073" s="14">
        <v>174.71</v>
      </c>
      <c r="G1073" s="16">
        <v>167.79</v>
      </c>
      <c r="H1073" s="69">
        <f t="shared" si="32"/>
        <v>7.066305499941139E-3</v>
      </c>
      <c r="O1073" s="1319"/>
      <c r="P1073" s="1319"/>
      <c r="Q1073" s="35">
        <v>43886</v>
      </c>
      <c r="R1073" s="36">
        <v>1.3300000000000001E-2</v>
      </c>
      <c r="S1073" s="37">
        <v>1.1599999999999999E-2</v>
      </c>
    </row>
    <row r="1074" spans="1:19" x14ac:dyDescent="0.2">
      <c r="A1074" s="1"/>
      <c r="B1074" s="13">
        <v>44154</v>
      </c>
      <c r="C1074" s="14">
        <v>169.82</v>
      </c>
      <c r="D1074" s="15">
        <v>216943</v>
      </c>
      <c r="E1074" s="14">
        <v>168.52</v>
      </c>
      <c r="F1074" s="14">
        <v>170.25</v>
      </c>
      <c r="G1074" s="16">
        <v>165.14</v>
      </c>
      <c r="H1074" s="69">
        <f t="shared" si="32"/>
        <v>7.7740193460329454E-3</v>
      </c>
      <c r="O1074" s="1319"/>
      <c r="P1074" s="1319"/>
      <c r="Q1074" s="35">
        <v>43887</v>
      </c>
      <c r="R1074" s="36">
        <v>1.3300000000000001E-2</v>
      </c>
      <c r="S1074" s="37">
        <v>1.1399999999999999E-2</v>
      </c>
    </row>
    <row r="1075" spans="1:19" x14ac:dyDescent="0.2">
      <c r="A1075" s="1"/>
      <c r="B1075" s="13">
        <v>44153</v>
      </c>
      <c r="C1075" s="14">
        <v>168.51</v>
      </c>
      <c r="D1075" s="15">
        <v>262693</v>
      </c>
      <c r="E1075" s="14">
        <v>169.73</v>
      </c>
      <c r="F1075" s="14">
        <v>171.30500000000001</v>
      </c>
      <c r="G1075" s="16">
        <v>166.37</v>
      </c>
      <c r="H1075" s="69">
        <f t="shared" si="32"/>
        <v>-5.1363797378675136E-3</v>
      </c>
      <c r="O1075" s="1319"/>
      <c r="P1075" s="1319"/>
      <c r="Q1075" s="35">
        <v>43888</v>
      </c>
      <c r="R1075" s="36">
        <v>1.3000000000000001E-2</v>
      </c>
      <c r="S1075" s="37">
        <v>1.11E-2</v>
      </c>
    </row>
    <row r="1076" spans="1:19" x14ac:dyDescent="0.2">
      <c r="A1076" s="1"/>
      <c r="B1076" s="13">
        <v>44152</v>
      </c>
      <c r="C1076" s="14">
        <v>169.38</v>
      </c>
      <c r="D1076" s="15">
        <v>181369</v>
      </c>
      <c r="E1076" s="14">
        <v>167.97</v>
      </c>
      <c r="F1076" s="14">
        <v>169.59</v>
      </c>
      <c r="G1076" s="16">
        <v>165.21</v>
      </c>
      <c r="H1076" s="69">
        <f t="shared" si="32"/>
        <v>1.4781529001359761E-3</v>
      </c>
      <c r="O1076" s="1319"/>
      <c r="P1076" s="1319"/>
      <c r="Q1076" s="35">
        <v>43889</v>
      </c>
      <c r="R1076" s="36">
        <v>1.1299999999999999E-2</v>
      </c>
      <c r="S1076" s="37">
        <v>8.8999999999999999E-3</v>
      </c>
    </row>
    <row r="1077" spans="1:19" x14ac:dyDescent="0.2">
      <c r="A1077" s="1"/>
      <c r="B1077" s="13">
        <v>44151</v>
      </c>
      <c r="C1077" s="14">
        <v>169.13</v>
      </c>
      <c r="D1077" s="15">
        <v>343300</v>
      </c>
      <c r="E1077" s="14">
        <v>169.1</v>
      </c>
      <c r="F1077" s="14">
        <v>170.9</v>
      </c>
      <c r="G1077" s="16">
        <v>167.26</v>
      </c>
      <c r="H1077" s="69">
        <f t="shared" si="32"/>
        <v>1.2936455650715661E-2</v>
      </c>
      <c r="O1077" s="1319"/>
      <c r="P1077" s="1319"/>
      <c r="Q1077" s="35">
        <v>43892</v>
      </c>
      <c r="R1077" s="36">
        <v>1.1000000000000001E-2</v>
      </c>
      <c r="S1077" s="37">
        <v>8.8000000000000005E-3</v>
      </c>
    </row>
    <row r="1078" spans="1:19" x14ac:dyDescent="0.2">
      <c r="A1078" s="1"/>
      <c r="B1078" s="13">
        <v>44148</v>
      </c>
      <c r="C1078" s="14">
        <v>166.97</v>
      </c>
      <c r="D1078" s="15">
        <v>177023</v>
      </c>
      <c r="E1078" s="14">
        <v>165.38</v>
      </c>
      <c r="F1078" s="14">
        <v>168.86</v>
      </c>
      <c r="G1078" s="16">
        <v>165</v>
      </c>
      <c r="H1078" s="69">
        <f t="shared" si="32"/>
        <v>1.8917434551778856E-2</v>
      </c>
      <c r="O1078" s="1319"/>
      <c r="P1078" s="1319"/>
      <c r="Q1078" s="35">
        <v>43893</v>
      </c>
      <c r="R1078" s="36">
        <v>1.0200000000000001E-2</v>
      </c>
      <c r="S1078" s="37">
        <v>7.7000000000000002E-3</v>
      </c>
    </row>
    <row r="1079" spans="1:19" x14ac:dyDescent="0.2">
      <c r="A1079" s="1"/>
      <c r="B1079" s="13">
        <v>44147</v>
      </c>
      <c r="C1079" s="14">
        <v>163.87</v>
      </c>
      <c r="D1079" s="15">
        <v>206904</v>
      </c>
      <c r="E1079" s="14">
        <v>166.77</v>
      </c>
      <c r="F1079" s="14">
        <v>167.94</v>
      </c>
      <c r="G1079" s="16">
        <v>162.86000000000001</v>
      </c>
      <c r="H1079" s="69">
        <f t="shared" si="32"/>
        <v>-1.9094935951155301E-2</v>
      </c>
      <c r="O1079" s="1319"/>
      <c r="P1079" s="1319"/>
      <c r="Q1079" s="35">
        <v>43894</v>
      </c>
      <c r="R1079" s="36">
        <v>1.0200000000000001E-2</v>
      </c>
      <c r="S1079" s="37">
        <v>7.4999999999999997E-3</v>
      </c>
    </row>
    <row r="1080" spans="1:19" x14ac:dyDescent="0.2">
      <c r="A1080" s="1"/>
      <c r="B1080" s="13">
        <v>44146</v>
      </c>
      <c r="C1080" s="14">
        <v>167.06</v>
      </c>
      <c r="D1080" s="15">
        <v>260038</v>
      </c>
      <c r="E1080" s="14">
        <v>170.66</v>
      </c>
      <c r="F1080" s="14">
        <v>171.62</v>
      </c>
      <c r="G1080" s="16">
        <v>163.33000000000001</v>
      </c>
      <c r="H1080" s="69">
        <f t="shared" si="32"/>
        <v>-1.4627816444496844E-2</v>
      </c>
      <c r="O1080" s="1319"/>
      <c r="P1080" s="1319"/>
      <c r="Q1080" s="35">
        <v>43895</v>
      </c>
      <c r="R1080" s="36">
        <v>9.1999999999999998E-3</v>
      </c>
      <c r="S1080" s="37">
        <v>6.7000000000000002E-3</v>
      </c>
    </row>
    <row r="1081" spans="1:19" x14ac:dyDescent="0.2">
      <c r="A1081" s="1"/>
      <c r="B1081" s="13">
        <v>44145</v>
      </c>
      <c r="C1081" s="14">
        <v>169.54</v>
      </c>
      <c r="D1081" s="15">
        <v>309033</v>
      </c>
      <c r="E1081" s="14">
        <v>170.57</v>
      </c>
      <c r="F1081" s="14">
        <v>175.15</v>
      </c>
      <c r="G1081" s="16">
        <v>163.59</v>
      </c>
      <c r="H1081" s="69">
        <f t="shared" si="32"/>
        <v>-2.2363465160074592E-3</v>
      </c>
      <c r="O1081" s="1319"/>
      <c r="P1081" s="1319"/>
      <c r="Q1081" s="35">
        <v>43896</v>
      </c>
      <c r="R1081" s="36">
        <v>7.4000000000000003E-3</v>
      </c>
      <c r="S1081" s="37">
        <v>5.7999999999999996E-3</v>
      </c>
    </row>
    <row r="1082" spans="1:19" x14ac:dyDescent="0.2">
      <c r="A1082" s="1"/>
      <c r="B1082" s="13">
        <v>44144</v>
      </c>
      <c r="C1082" s="14">
        <v>169.92</v>
      </c>
      <c r="D1082" s="15">
        <v>430547</v>
      </c>
      <c r="E1082" s="14">
        <v>176.07</v>
      </c>
      <c r="F1082" s="14">
        <v>176.07</v>
      </c>
      <c r="G1082" s="16">
        <v>168.26</v>
      </c>
      <c r="H1082" s="69">
        <f t="shared" si="32"/>
        <v>2.7887000181477051E-2</v>
      </c>
      <c r="O1082" s="1319"/>
      <c r="P1082" s="1319"/>
      <c r="Q1082" s="35">
        <v>43899</v>
      </c>
      <c r="R1082" s="36">
        <v>5.4000000000000003E-3</v>
      </c>
      <c r="S1082" s="37">
        <v>4.5999999999999999E-3</v>
      </c>
    </row>
    <row r="1083" spans="1:19" x14ac:dyDescent="0.2">
      <c r="A1083" s="1"/>
      <c r="B1083" s="13">
        <v>44141</v>
      </c>
      <c r="C1083" s="14">
        <v>165.31</v>
      </c>
      <c r="D1083" s="15">
        <v>201704</v>
      </c>
      <c r="E1083" s="14">
        <v>166.91</v>
      </c>
      <c r="F1083" s="14">
        <v>167.51</v>
      </c>
      <c r="G1083" s="16">
        <v>164.74</v>
      </c>
      <c r="H1083" s="69">
        <f t="shared" si="32"/>
        <v>-7.0875127635293689E-3</v>
      </c>
      <c r="O1083" s="1319"/>
      <c r="P1083" s="1319"/>
      <c r="Q1083" s="35">
        <v>43900</v>
      </c>
      <c r="R1083" s="36">
        <v>7.6E-3</v>
      </c>
      <c r="S1083" s="37">
        <v>6.3E-3</v>
      </c>
    </row>
    <row r="1084" spans="1:19" x14ac:dyDescent="0.2">
      <c r="A1084" s="1"/>
      <c r="B1084" s="13">
        <v>44140</v>
      </c>
      <c r="C1084" s="14">
        <v>166.49</v>
      </c>
      <c r="D1084" s="15">
        <v>191255</v>
      </c>
      <c r="E1084" s="14">
        <v>162.59</v>
      </c>
      <c r="F1084" s="14">
        <v>167.07499999999999</v>
      </c>
      <c r="G1084" s="16">
        <v>162.59</v>
      </c>
      <c r="H1084" s="69">
        <f t="shared" si="32"/>
        <v>3.6094343145186558E-2</v>
      </c>
      <c r="O1084" s="1319"/>
      <c r="P1084" s="1319"/>
      <c r="Q1084" s="35">
        <v>43901</v>
      </c>
      <c r="R1084" s="36">
        <v>8.199999999999999E-3</v>
      </c>
      <c r="S1084" s="37">
        <v>6.6E-3</v>
      </c>
    </row>
    <row r="1085" spans="1:19" x14ac:dyDescent="0.2">
      <c r="A1085" s="1"/>
      <c r="B1085" s="13">
        <v>44139</v>
      </c>
      <c r="C1085" s="14">
        <v>160.69</v>
      </c>
      <c r="D1085" s="15">
        <v>311801</v>
      </c>
      <c r="E1085" s="14">
        <v>158.88</v>
      </c>
      <c r="F1085" s="14">
        <v>162.69</v>
      </c>
      <c r="G1085" s="16">
        <v>157.49379999999999</v>
      </c>
      <c r="H1085" s="69">
        <f t="shared" si="32"/>
        <v>8.9790280045209947E-3</v>
      </c>
      <c r="O1085" s="1319"/>
      <c r="P1085" s="1319"/>
      <c r="Q1085" s="35">
        <v>43902</v>
      </c>
      <c r="R1085" s="36">
        <v>8.8000000000000005E-3</v>
      </c>
      <c r="S1085" s="37">
        <v>6.6E-3</v>
      </c>
    </row>
    <row r="1086" spans="1:19" x14ac:dyDescent="0.2">
      <c r="A1086" s="1"/>
      <c r="B1086" s="13">
        <v>44138</v>
      </c>
      <c r="C1086" s="14">
        <v>159.26</v>
      </c>
      <c r="D1086" s="15">
        <v>267842</v>
      </c>
      <c r="E1086" s="14">
        <v>153.75</v>
      </c>
      <c r="F1086" s="14">
        <v>159.62</v>
      </c>
      <c r="G1086" s="16">
        <v>153.63999999999999</v>
      </c>
      <c r="H1086" s="69">
        <f t="shared" si="32"/>
        <v>5.2262966633630725E-2</v>
      </c>
      <c r="O1086" s="1319"/>
      <c r="P1086" s="1319"/>
      <c r="Q1086" s="35">
        <v>43903</v>
      </c>
      <c r="R1086" s="36">
        <v>9.3999999999999986E-3</v>
      </c>
      <c r="S1086" s="37">
        <v>6.9999999999999993E-3</v>
      </c>
    </row>
    <row r="1087" spans="1:19" x14ac:dyDescent="0.2">
      <c r="A1087" s="1"/>
      <c r="B1087" s="13">
        <v>44137</v>
      </c>
      <c r="C1087" s="14">
        <v>151.35</v>
      </c>
      <c r="D1087" s="15">
        <v>235177</v>
      </c>
      <c r="E1087" s="14">
        <v>149.44999999999999</v>
      </c>
      <c r="F1087" s="14">
        <v>153.25</v>
      </c>
      <c r="G1087" s="16">
        <v>147.91999999999999</v>
      </c>
      <c r="H1087" s="69">
        <f t="shared" si="32"/>
        <v>2.4989841527834233E-2</v>
      </c>
      <c r="O1087" s="1319"/>
      <c r="P1087" s="1319"/>
      <c r="Q1087" s="35">
        <v>43906</v>
      </c>
      <c r="R1087" s="36">
        <v>7.3000000000000001E-3</v>
      </c>
      <c r="S1087" s="37">
        <v>4.8999999999999998E-3</v>
      </c>
    </row>
    <row r="1088" spans="1:19" x14ac:dyDescent="0.2">
      <c r="A1088" s="1"/>
      <c r="B1088" s="13">
        <v>44134</v>
      </c>
      <c r="C1088" s="14">
        <v>147.66</v>
      </c>
      <c r="D1088" s="15">
        <v>245497</v>
      </c>
      <c r="E1088" s="14">
        <v>147.94</v>
      </c>
      <c r="F1088" s="14">
        <v>151.13999999999999</v>
      </c>
      <c r="G1088" s="16">
        <v>144.27000000000001</v>
      </c>
      <c r="H1088" s="69">
        <f t="shared" si="32"/>
        <v>4.7632008709852514E-3</v>
      </c>
      <c r="O1088" s="1319"/>
      <c r="P1088" s="1319"/>
      <c r="Q1088" s="35">
        <v>43907</v>
      </c>
      <c r="R1088" s="36">
        <v>1.0200000000000001E-2</v>
      </c>
      <c r="S1088" s="37">
        <v>6.6E-3</v>
      </c>
    </row>
    <row r="1089" spans="1:19" x14ac:dyDescent="0.2">
      <c r="A1089" s="1"/>
      <c r="B1089" s="13">
        <v>44133</v>
      </c>
      <c r="C1089" s="14">
        <v>146.96</v>
      </c>
      <c r="D1089" s="15">
        <v>494802</v>
      </c>
      <c r="E1089" s="14">
        <v>139.61000000000001</v>
      </c>
      <c r="F1089" s="14">
        <v>149.77000000000001</v>
      </c>
      <c r="G1089" s="16">
        <v>135.24</v>
      </c>
      <c r="H1089" s="69">
        <f t="shared" si="32"/>
        <v>3.6389280677009861E-2</v>
      </c>
      <c r="O1089" s="1319"/>
      <c r="P1089" s="1319"/>
      <c r="Q1089" s="35">
        <v>43908</v>
      </c>
      <c r="R1089" s="36">
        <v>1.18E-2</v>
      </c>
      <c r="S1089" s="37">
        <v>7.9000000000000008E-3</v>
      </c>
    </row>
    <row r="1090" spans="1:19" x14ac:dyDescent="0.2">
      <c r="A1090" s="1"/>
      <c r="B1090" s="13">
        <v>44132</v>
      </c>
      <c r="C1090" s="14">
        <v>141.80000000000001</v>
      </c>
      <c r="D1090" s="15">
        <v>312609</v>
      </c>
      <c r="E1090" s="14">
        <v>141.19</v>
      </c>
      <c r="F1090" s="14">
        <v>143.55000000000001</v>
      </c>
      <c r="G1090" s="16">
        <v>139.6</v>
      </c>
      <c r="H1090" s="69">
        <f t="shared" si="32"/>
        <v>-1.3839627234160767E-2</v>
      </c>
      <c r="O1090" s="1319"/>
      <c r="P1090" s="1319"/>
      <c r="Q1090" s="35">
        <v>43909</v>
      </c>
      <c r="R1090" s="36">
        <v>1.1200000000000002E-2</v>
      </c>
      <c r="S1090" s="37">
        <v>6.6E-3</v>
      </c>
    </row>
    <row r="1091" spans="1:19" x14ac:dyDescent="0.2">
      <c r="A1091" s="1"/>
      <c r="B1091" s="13">
        <v>44131</v>
      </c>
      <c r="C1091" s="14">
        <v>143.79</v>
      </c>
      <c r="D1091" s="15">
        <v>200613</v>
      </c>
      <c r="E1091" s="14">
        <v>147.28</v>
      </c>
      <c r="F1091" s="14">
        <v>147.9</v>
      </c>
      <c r="G1091" s="16">
        <v>142.49</v>
      </c>
      <c r="H1091" s="69">
        <f t="shared" si="32"/>
        <v>-2.1437321355655459E-2</v>
      </c>
      <c r="O1091" s="1319"/>
      <c r="P1091" s="1319"/>
      <c r="Q1091" s="35">
        <v>43910</v>
      </c>
      <c r="R1091" s="36">
        <v>9.1999999999999998E-3</v>
      </c>
      <c r="S1091" s="37">
        <v>5.1999999999999998E-3</v>
      </c>
    </row>
    <row r="1092" spans="1:19" x14ac:dyDescent="0.2">
      <c r="A1092" s="1"/>
      <c r="B1092" s="13">
        <v>44130</v>
      </c>
      <c r="C1092" s="14">
        <v>146.94</v>
      </c>
      <c r="D1092" s="15">
        <v>168908</v>
      </c>
      <c r="E1092" s="14">
        <v>146.16</v>
      </c>
      <c r="F1092" s="14">
        <v>147.02000000000001</v>
      </c>
      <c r="G1092" s="16">
        <v>144.78</v>
      </c>
      <c r="H1092" s="69">
        <f t="shared" si="32"/>
        <v>-3.1883861339122577E-3</v>
      </c>
      <c r="O1092" s="1319"/>
      <c r="P1092" s="1319"/>
      <c r="Q1092" s="35">
        <v>43913</v>
      </c>
      <c r="R1092" s="36">
        <v>7.6E-3</v>
      </c>
      <c r="S1092" s="37">
        <v>3.8E-3</v>
      </c>
    </row>
    <row r="1093" spans="1:19" x14ac:dyDescent="0.2">
      <c r="A1093" s="1"/>
      <c r="B1093" s="13">
        <v>44127</v>
      </c>
      <c r="C1093" s="14">
        <v>147.41</v>
      </c>
      <c r="D1093" s="15">
        <v>164922</v>
      </c>
      <c r="E1093" s="14">
        <v>148.30000000000001</v>
      </c>
      <c r="F1093" s="14">
        <v>149</v>
      </c>
      <c r="G1093" s="16">
        <v>145.94</v>
      </c>
      <c r="H1093" s="69">
        <f t="shared" si="32"/>
        <v>2.4481468888131186E-3</v>
      </c>
      <c r="O1093" s="1319"/>
      <c r="P1093" s="1319"/>
      <c r="Q1093" s="35">
        <v>43914</v>
      </c>
      <c r="R1093" s="36">
        <v>8.3999999999999995E-3</v>
      </c>
      <c r="S1093" s="37">
        <v>5.1999999999999998E-3</v>
      </c>
    </row>
    <row r="1094" spans="1:19" x14ac:dyDescent="0.2">
      <c r="A1094" s="1"/>
      <c r="B1094" s="13">
        <v>44126</v>
      </c>
      <c r="C1094" s="14">
        <v>147.05000000000001</v>
      </c>
      <c r="D1094" s="15">
        <v>229023</v>
      </c>
      <c r="E1094" s="14">
        <v>145.44</v>
      </c>
      <c r="F1094" s="14">
        <v>148.19999999999999</v>
      </c>
      <c r="G1094" s="16">
        <v>142.76</v>
      </c>
      <c r="H1094" s="69">
        <f t="shared" si="32"/>
        <v>2.1677204196484334E-2</v>
      </c>
      <c r="O1094" s="1319"/>
      <c r="P1094" s="1319"/>
      <c r="Q1094" s="35">
        <v>43915</v>
      </c>
      <c r="R1094" s="36">
        <v>8.8000000000000005E-3</v>
      </c>
      <c r="S1094" s="37">
        <v>5.6000000000000008E-3</v>
      </c>
    </row>
    <row r="1095" spans="1:19" x14ac:dyDescent="0.2">
      <c r="A1095" s="1"/>
      <c r="B1095" s="13">
        <v>44125</v>
      </c>
      <c r="C1095" s="14">
        <v>143.93</v>
      </c>
      <c r="D1095" s="15">
        <v>130549</v>
      </c>
      <c r="E1095" s="14">
        <v>143.13</v>
      </c>
      <c r="F1095" s="14">
        <v>145</v>
      </c>
      <c r="G1095" s="16">
        <v>140.93</v>
      </c>
      <c r="H1095" s="69">
        <f t="shared" si="32"/>
        <v>1.1596851279167986E-2</v>
      </c>
      <c r="O1095" s="1319"/>
      <c r="P1095" s="1319"/>
      <c r="Q1095" s="35">
        <v>43916</v>
      </c>
      <c r="R1095" s="36">
        <v>8.3000000000000001E-3</v>
      </c>
      <c r="S1095" s="37">
        <v>5.1000000000000004E-3</v>
      </c>
    </row>
    <row r="1096" spans="1:19" x14ac:dyDescent="0.2">
      <c r="A1096" s="1"/>
      <c r="B1096" s="13">
        <v>44124</v>
      </c>
      <c r="C1096" s="14">
        <v>142.28</v>
      </c>
      <c r="D1096" s="15">
        <v>89648</v>
      </c>
      <c r="E1096" s="14">
        <v>142.76</v>
      </c>
      <c r="F1096" s="14">
        <v>144.30000000000001</v>
      </c>
      <c r="G1096" s="16">
        <v>142.13999999999999</v>
      </c>
      <c r="H1096" s="69">
        <f t="shared" si="32"/>
        <v>6.9355980184004906E-3</v>
      </c>
      <c r="O1096" s="1319"/>
      <c r="P1096" s="1319"/>
      <c r="Q1096" s="35">
        <v>43917</v>
      </c>
      <c r="R1096" s="36">
        <v>7.1999999999999998E-3</v>
      </c>
      <c r="S1096" s="37">
        <v>4.0999999999999995E-3</v>
      </c>
    </row>
    <row r="1097" spans="1:19" x14ac:dyDescent="0.2">
      <c r="A1097" s="1"/>
      <c r="B1097" s="13">
        <v>44123</v>
      </c>
      <c r="C1097" s="14">
        <v>141.30000000000001</v>
      </c>
      <c r="D1097" s="15">
        <v>161887</v>
      </c>
      <c r="E1097" s="14">
        <v>144.21</v>
      </c>
      <c r="F1097" s="14">
        <v>145.31</v>
      </c>
      <c r="G1097" s="16">
        <v>140.82499999999999</v>
      </c>
      <c r="H1097" s="69">
        <f t="shared" si="32"/>
        <v>-2.315935015554782E-2</v>
      </c>
      <c r="O1097" s="1319"/>
      <c r="P1097" s="1319"/>
      <c r="Q1097" s="35">
        <v>43920</v>
      </c>
      <c r="R1097" s="36">
        <v>6.9999999999999993E-3</v>
      </c>
      <c r="S1097" s="37">
        <v>3.9000000000000003E-3</v>
      </c>
    </row>
    <row r="1098" spans="1:19" x14ac:dyDescent="0.2">
      <c r="A1098" s="1"/>
      <c r="B1098" s="13">
        <v>44120</v>
      </c>
      <c r="C1098" s="14">
        <v>144.65</v>
      </c>
      <c r="D1098" s="15">
        <v>226194</v>
      </c>
      <c r="E1098" s="14">
        <v>147.49</v>
      </c>
      <c r="F1098" s="14">
        <v>148.65</v>
      </c>
      <c r="G1098" s="16">
        <v>144.6</v>
      </c>
      <c r="H1098" s="69">
        <f t="shared" si="32"/>
        <v>-2.5794719827586077E-2</v>
      </c>
      <c r="O1098" s="1319"/>
      <c r="P1098" s="1319"/>
      <c r="Q1098" s="35">
        <v>43921</v>
      </c>
      <c r="R1098" s="36">
        <v>6.9999999999999993E-3</v>
      </c>
      <c r="S1098" s="37">
        <v>3.7000000000000002E-3</v>
      </c>
    </row>
    <row r="1099" spans="1:19" x14ac:dyDescent="0.2">
      <c r="A1099" s="1"/>
      <c r="B1099" s="13">
        <v>44119</v>
      </c>
      <c r="C1099" s="14">
        <v>148.47999999999999</v>
      </c>
      <c r="D1099" s="15">
        <v>184310</v>
      </c>
      <c r="E1099" s="14">
        <v>144.19999999999999</v>
      </c>
      <c r="F1099" s="14">
        <v>149.93</v>
      </c>
      <c r="G1099" s="16">
        <v>144.19999999999999</v>
      </c>
      <c r="H1099" s="69">
        <f t="shared" si="32"/>
        <v>1.6707751301013429E-2</v>
      </c>
      <c r="O1099" s="1319"/>
      <c r="P1099" s="1319"/>
      <c r="Q1099" s="35">
        <v>43922</v>
      </c>
      <c r="R1099" s="36">
        <v>6.1999999999999998E-3</v>
      </c>
      <c r="S1099" s="37">
        <v>3.7000000000000002E-3</v>
      </c>
    </row>
    <row r="1100" spans="1:19" x14ac:dyDescent="0.2">
      <c r="A1100" s="1"/>
      <c r="B1100" s="13">
        <v>44118</v>
      </c>
      <c r="C1100" s="14">
        <v>146.04</v>
      </c>
      <c r="D1100" s="15">
        <v>207547</v>
      </c>
      <c r="E1100" s="14">
        <v>144.15</v>
      </c>
      <c r="F1100" s="14">
        <v>146.36000000000001</v>
      </c>
      <c r="G1100" s="16">
        <v>143.91999999999999</v>
      </c>
      <c r="H1100" s="69">
        <f t="shared" si="32"/>
        <v>1.6213207153294773E-2</v>
      </c>
      <c r="O1100" s="1319"/>
      <c r="P1100" s="1319"/>
      <c r="Q1100" s="35">
        <v>43923</v>
      </c>
      <c r="R1100" s="36">
        <v>6.3E-3</v>
      </c>
      <c r="S1100" s="37">
        <v>3.9000000000000003E-3</v>
      </c>
    </row>
    <row r="1101" spans="1:19" x14ac:dyDescent="0.2">
      <c r="A1101" s="1"/>
      <c r="B1101" s="13">
        <v>44117</v>
      </c>
      <c r="C1101" s="14">
        <v>143.71</v>
      </c>
      <c r="D1101" s="15">
        <v>264251</v>
      </c>
      <c r="E1101" s="14">
        <v>145.1</v>
      </c>
      <c r="F1101" s="14">
        <v>148.63999999999999</v>
      </c>
      <c r="G1101" s="16">
        <v>143.42500000000001</v>
      </c>
      <c r="H1101" s="69">
        <f t="shared" si="32"/>
        <v>-1.1419137373598343E-2</v>
      </c>
      <c r="O1101" s="1319"/>
      <c r="P1101" s="1319"/>
      <c r="Q1101" s="35">
        <v>43924</v>
      </c>
      <c r="R1101" s="36">
        <v>6.1999999999999998E-3</v>
      </c>
      <c r="S1101" s="37">
        <v>3.9000000000000003E-3</v>
      </c>
    </row>
    <row r="1102" spans="1:19" x14ac:dyDescent="0.2">
      <c r="A1102" s="1"/>
      <c r="B1102" s="13">
        <v>44116</v>
      </c>
      <c r="C1102" s="14">
        <v>145.37</v>
      </c>
      <c r="D1102" s="15">
        <v>182357</v>
      </c>
      <c r="E1102" s="14">
        <v>144.13999999999999</v>
      </c>
      <c r="F1102" s="14">
        <v>151.36000000000001</v>
      </c>
      <c r="G1102" s="16">
        <v>143.85</v>
      </c>
      <c r="H1102" s="69">
        <f t="shared" si="32"/>
        <v>1.1058561691473123E-2</v>
      </c>
      <c r="O1102" s="1319"/>
      <c r="P1102" s="1319"/>
      <c r="Q1102" s="35">
        <v>43927</v>
      </c>
      <c r="R1102" s="36">
        <v>6.7000000000000002E-3</v>
      </c>
      <c r="S1102" s="37">
        <v>4.4000000000000003E-3</v>
      </c>
    </row>
    <row r="1103" spans="1:19" x14ac:dyDescent="0.2">
      <c r="A1103" s="1"/>
      <c r="B1103" s="13">
        <v>44113</v>
      </c>
      <c r="C1103" s="14">
        <v>143.78</v>
      </c>
      <c r="D1103" s="15">
        <v>166301</v>
      </c>
      <c r="E1103" s="14">
        <v>143.41999999999999</v>
      </c>
      <c r="F1103" s="14">
        <v>144.63999999999999</v>
      </c>
      <c r="G1103" s="16">
        <v>140.96</v>
      </c>
      <c r="H1103" s="69">
        <f t="shared" si="32"/>
        <v>1.0613621986363952E-2</v>
      </c>
      <c r="O1103" s="1319"/>
      <c r="P1103" s="1319"/>
      <c r="Q1103" s="35">
        <v>43928</v>
      </c>
      <c r="R1103" s="36">
        <v>7.4999999999999997E-3</v>
      </c>
      <c r="S1103" s="37">
        <v>4.7999999999999996E-3</v>
      </c>
    </row>
    <row r="1104" spans="1:19" x14ac:dyDescent="0.2">
      <c r="A1104" s="1"/>
      <c r="B1104" s="13">
        <v>44112</v>
      </c>
      <c r="C1104" s="14">
        <v>142.27000000000001</v>
      </c>
      <c r="D1104" s="15">
        <v>167623</v>
      </c>
      <c r="E1104" s="14">
        <v>139</v>
      </c>
      <c r="F1104" s="14">
        <v>143.24</v>
      </c>
      <c r="G1104" s="16">
        <v>137.66999999999999</v>
      </c>
      <c r="H1104" s="69">
        <f t="shared" si="32"/>
        <v>3.1166195549757303E-2</v>
      </c>
      <c r="O1104" s="1319"/>
      <c r="P1104" s="1319"/>
      <c r="Q1104" s="35">
        <v>43929</v>
      </c>
      <c r="R1104" s="36">
        <v>7.7000000000000002E-3</v>
      </c>
      <c r="S1104" s="37">
        <v>4.6999999999999993E-3</v>
      </c>
    </row>
    <row r="1105" spans="1:19" x14ac:dyDescent="0.2">
      <c r="A1105" s="1"/>
      <c r="B1105" s="13">
        <v>44111</v>
      </c>
      <c r="C1105" s="14">
        <v>137.97</v>
      </c>
      <c r="D1105" s="15">
        <v>263947</v>
      </c>
      <c r="E1105" s="14">
        <v>137.63999999999999</v>
      </c>
      <c r="F1105" s="14">
        <v>142.46</v>
      </c>
      <c r="G1105" s="16">
        <v>137.41999999999999</v>
      </c>
      <c r="H1105" s="69">
        <f t="shared" si="32"/>
        <v>1.2846865364851023E-2</v>
      </c>
      <c r="O1105" s="1319"/>
      <c r="P1105" s="1319"/>
      <c r="Q1105" s="35">
        <v>43930</v>
      </c>
      <c r="R1105" s="36">
        <v>7.3000000000000001E-3</v>
      </c>
      <c r="S1105" s="37">
        <v>4.0999999999999995E-3</v>
      </c>
    </row>
    <row r="1106" spans="1:19" x14ac:dyDescent="0.2">
      <c r="A1106" s="1"/>
      <c r="B1106" s="13">
        <v>44110</v>
      </c>
      <c r="C1106" s="14">
        <v>136.22</v>
      </c>
      <c r="D1106" s="15">
        <v>234700</v>
      </c>
      <c r="E1106" s="14">
        <v>134.30000000000001</v>
      </c>
      <c r="F1106" s="14">
        <v>138.63999999999999</v>
      </c>
      <c r="G1106" s="16">
        <v>134.30000000000001</v>
      </c>
      <c r="H1106" s="69">
        <f t="shared" si="32"/>
        <v>1.5581898158502971E-2</v>
      </c>
      <c r="O1106" s="1319"/>
      <c r="P1106" s="1319"/>
      <c r="Q1106" s="35">
        <v>43934</v>
      </c>
      <c r="R1106" s="36">
        <v>7.6E-3</v>
      </c>
      <c r="S1106" s="37">
        <v>4.4000000000000003E-3</v>
      </c>
    </row>
    <row r="1107" spans="1:19" x14ac:dyDescent="0.2">
      <c r="A1107" s="1"/>
      <c r="B1107" s="13">
        <v>44109</v>
      </c>
      <c r="C1107" s="14">
        <v>134.13</v>
      </c>
      <c r="D1107" s="15">
        <v>192378</v>
      </c>
      <c r="E1107" s="14">
        <v>129.79</v>
      </c>
      <c r="F1107" s="14">
        <v>135.46</v>
      </c>
      <c r="G1107" s="16">
        <v>129.79</v>
      </c>
      <c r="H1107" s="69">
        <f t="shared" si="32"/>
        <v>3.8157894736842168E-2</v>
      </c>
      <c r="O1107" s="1319"/>
      <c r="P1107" s="1319"/>
      <c r="Q1107" s="35">
        <v>43935</v>
      </c>
      <c r="R1107" s="36">
        <v>7.6E-3</v>
      </c>
      <c r="S1107" s="37">
        <v>4.1999999999999997E-3</v>
      </c>
    </row>
    <row r="1108" spans="1:19" x14ac:dyDescent="0.2">
      <c r="A1108" s="1"/>
      <c r="B1108" s="13">
        <v>44106</v>
      </c>
      <c r="C1108" s="14">
        <v>129.19999999999999</v>
      </c>
      <c r="D1108" s="15">
        <v>141269</v>
      </c>
      <c r="E1108" s="14">
        <v>125.51</v>
      </c>
      <c r="F1108" s="14">
        <v>132.47499999999999</v>
      </c>
      <c r="G1108" s="16">
        <v>125.51</v>
      </c>
      <c r="H1108" s="69">
        <f t="shared" si="32"/>
        <v>1.0717358992411663E-2</v>
      </c>
      <c r="O1108" s="1319"/>
      <c r="P1108" s="1319"/>
      <c r="Q1108" s="35">
        <v>43936</v>
      </c>
      <c r="R1108" s="36">
        <v>6.3E-3</v>
      </c>
      <c r="S1108" s="37">
        <v>3.4000000000000002E-3</v>
      </c>
    </row>
    <row r="1109" spans="1:19" x14ac:dyDescent="0.2">
      <c r="A1109" s="1"/>
      <c r="B1109" s="13">
        <v>44105</v>
      </c>
      <c r="C1109" s="14">
        <v>127.83</v>
      </c>
      <c r="D1109" s="15">
        <v>249379</v>
      </c>
      <c r="E1109" s="14">
        <v>125.145</v>
      </c>
      <c r="F1109" s="14">
        <v>128.80000000000001</v>
      </c>
      <c r="G1109" s="16">
        <v>124.23</v>
      </c>
      <c r="H1109" s="69">
        <f t="shared" si="32"/>
        <v>1.3397811954970695E-2</v>
      </c>
      <c r="O1109" s="1319"/>
      <c r="P1109" s="1319"/>
      <c r="Q1109" s="35">
        <v>43937</v>
      </c>
      <c r="R1109" s="36">
        <v>6.0999999999999995E-3</v>
      </c>
      <c r="S1109" s="37">
        <v>3.4999999999999996E-3</v>
      </c>
    </row>
    <row r="1110" spans="1:19" x14ac:dyDescent="0.2">
      <c r="A1110" s="1"/>
      <c r="B1110" s="13">
        <v>44104</v>
      </c>
      <c r="C1110" s="14">
        <v>126.14</v>
      </c>
      <c r="D1110" s="15">
        <v>271102</v>
      </c>
      <c r="E1110" s="14">
        <v>126.43</v>
      </c>
      <c r="F1110" s="14">
        <v>129.16999999999999</v>
      </c>
      <c r="G1110" s="16">
        <v>124.22</v>
      </c>
      <c r="H1110" s="69">
        <f t="shared" si="32"/>
        <v>-2.2937593925492772E-3</v>
      </c>
      <c r="O1110" s="1319"/>
      <c r="P1110" s="1319"/>
      <c r="Q1110" s="35">
        <v>43938</v>
      </c>
      <c r="R1110" s="36">
        <v>6.5000000000000006E-3</v>
      </c>
      <c r="S1110" s="37">
        <v>3.5999999999999999E-3</v>
      </c>
    </row>
    <row r="1111" spans="1:19" x14ac:dyDescent="0.2">
      <c r="A1111" s="1"/>
      <c r="B1111" s="13">
        <v>44103</v>
      </c>
      <c r="C1111" s="14">
        <v>126.43</v>
      </c>
      <c r="D1111" s="15">
        <v>106547</v>
      </c>
      <c r="E1111" s="14">
        <v>127.27</v>
      </c>
      <c r="F1111" s="14">
        <v>129.84</v>
      </c>
      <c r="G1111" s="16">
        <v>124.92</v>
      </c>
      <c r="H1111" s="69">
        <f t="shared" si="32"/>
        <v>-5.1931701943503938E-3</v>
      </c>
      <c r="O1111" s="1319"/>
      <c r="P1111" s="1319"/>
      <c r="Q1111" s="35">
        <v>43941</v>
      </c>
      <c r="R1111" s="36">
        <v>6.3E-3</v>
      </c>
      <c r="S1111" s="37">
        <v>3.4999999999999996E-3</v>
      </c>
    </row>
    <row r="1112" spans="1:19" x14ac:dyDescent="0.2">
      <c r="A1112" s="1"/>
      <c r="B1112" s="13">
        <v>44102</v>
      </c>
      <c r="C1112" s="14">
        <v>127.09</v>
      </c>
      <c r="D1112" s="15">
        <v>168135</v>
      </c>
      <c r="E1112" s="14">
        <v>124.48</v>
      </c>
      <c r="F1112" s="14">
        <v>127.845</v>
      </c>
      <c r="G1112" s="16">
        <v>124.48</v>
      </c>
      <c r="H1112" s="69">
        <f t="shared" si="32"/>
        <v>3.2328811631874066E-2</v>
      </c>
      <c r="O1112" s="1319"/>
      <c r="P1112" s="1319"/>
      <c r="Q1112" s="35">
        <v>43942</v>
      </c>
      <c r="R1112" s="36">
        <v>5.7999999999999996E-3</v>
      </c>
      <c r="S1112" s="37">
        <v>3.4000000000000002E-3</v>
      </c>
    </row>
    <row r="1113" spans="1:19" x14ac:dyDescent="0.2">
      <c r="A1113" s="1"/>
      <c r="B1113" s="13">
        <v>44099</v>
      </c>
      <c r="C1113" s="14">
        <v>123.11</v>
      </c>
      <c r="D1113" s="15">
        <v>149141</v>
      </c>
      <c r="E1113" s="14">
        <v>121.47</v>
      </c>
      <c r="F1113" s="14">
        <v>125.145</v>
      </c>
      <c r="G1113" s="16">
        <v>121.14</v>
      </c>
      <c r="H1113" s="69">
        <f t="shared" si="32"/>
        <v>8.4370904325032914E-3</v>
      </c>
      <c r="O1113" s="1319"/>
      <c r="P1113" s="1319"/>
      <c r="Q1113" s="35">
        <v>43943</v>
      </c>
      <c r="R1113" s="36">
        <v>6.3E-3</v>
      </c>
      <c r="S1113" s="37">
        <v>3.7000000000000002E-3</v>
      </c>
    </row>
    <row r="1114" spans="1:19" x14ac:dyDescent="0.2">
      <c r="A1114" s="1"/>
      <c r="B1114" s="13">
        <v>44098</v>
      </c>
      <c r="C1114" s="14">
        <v>122.08</v>
      </c>
      <c r="D1114" s="15">
        <v>125654</v>
      </c>
      <c r="E1114" s="14">
        <v>120.67</v>
      </c>
      <c r="F1114" s="14">
        <v>124.75</v>
      </c>
      <c r="G1114" s="16">
        <v>120.12</v>
      </c>
      <c r="H1114" s="69">
        <f t="shared" si="32"/>
        <v>1.0094324011252764E-2</v>
      </c>
      <c r="O1114" s="1319"/>
      <c r="P1114" s="1319"/>
      <c r="Q1114" s="35">
        <v>43944</v>
      </c>
      <c r="R1114" s="36">
        <v>6.0999999999999995E-3</v>
      </c>
      <c r="S1114" s="37">
        <v>3.7000000000000002E-3</v>
      </c>
    </row>
    <row r="1115" spans="1:19" x14ac:dyDescent="0.2">
      <c r="A1115" s="1"/>
      <c r="B1115" s="13">
        <v>44097</v>
      </c>
      <c r="C1115" s="14">
        <v>120.86</v>
      </c>
      <c r="D1115" s="15">
        <v>135137</v>
      </c>
      <c r="E1115" s="14">
        <v>120.23</v>
      </c>
      <c r="F1115" s="14">
        <v>123.41</v>
      </c>
      <c r="G1115" s="16">
        <v>120.23</v>
      </c>
      <c r="H1115" s="69">
        <f t="shared" si="32"/>
        <v>0</v>
      </c>
      <c r="O1115" s="1319"/>
      <c r="P1115" s="1319"/>
      <c r="Q1115" s="35">
        <v>43945</v>
      </c>
      <c r="R1115" s="36">
        <v>6.0000000000000001E-3</v>
      </c>
      <c r="S1115" s="37">
        <v>3.5999999999999999E-3</v>
      </c>
    </row>
    <row r="1116" spans="1:19" x14ac:dyDescent="0.2">
      <c r="A1116" s="1"/>
      <c r="B1116" s="13">
        <v>44096</v>
      </c>
      <c r="C1116" s="14">
        <v>120.86</v>
      </c>
      <c r="D1116" s="15">
        <v>210776</v>
      </c>
      <c r="E1116" s="14">
        <v>120.65</v>
      </c>
      <c r="F1116" s="14">
        <v>121.87</v>
      </c>
      <c r="G1116" s="16">
        <v>117.07</v>
      </c>
      <c r="H1116" s="69">
        <f t="shared" si="32"/>
        <v>3.2373204947289125E-3</v>
      </c>
      <c r="O1116" s="1319"/>
      <c r="P1116" s="1319"/>
      <c r="Q1116" s="35">
        <v>43948</v>
      </c>
      <c r="R1116" s="36">
        <v>6.7000000000000002E-3</v>
      </c>
      <c r="S1116" s="37">
        <v>4.0999999999999995E-3</v>
      </c>
    </row>
    <row r="1117" spans="1:19" x14ac:dyDescent="0.2">
      <c r="A1117" s="1"/>
      <c r="B1117" s="13">
        <v>44095</v>
      </c>
      <c r="C1117" s="14">
        <v>120.47</v>
      </c>
      <c r="D1117" s="15">
        <v>212848</v>
      </c>
      <c r="E1117" s="14">
        <v>122.39</v>
      </c>
      <c r="F1117" s="14">
        <v>123.04</v>
      </c>
      <c r="G1117" s="16">
        <v>117.69</v>
      </c>
      <c r="H1117" s="69">
        <f t="shared" si="32"/>
        <v>-3.5545592826835337E-2</v>
      </c>
      <c r="O1117" s="1319"/>
      <c r="P1117" s="1319"/>
      <c r="Q1117" s="35">
        <v>43949</v>
      </c>
      <c r="R1117" s="36">
        <v>6.1999999999999998E-3</v>
      </c>
      <c r="S1117" s="37">
        <v>3.7000000000000002E-3</v>
      </c>
    </row>
    <row r="1118" spans="1:19" x14ac:dyDescent="0.2">
      <c r="A1118" s="1"/>
      <c r="B1118" s="13">
        <v>44092</v>
      </c>
      <c r="C1118" s="14">
        <v>124.91</v>
      </c>
      <c r="D1118" s="15">
        <v>507910</v>
      </c>
      <c r="E1118" s="14">
        <v>131.49</v>
      </c>
      <c r="F1118" s="14">
        <v>131.69999999999999</v>
      </c>
      <c r="G1118" s="16">
        <v>123.94</v>
      </c>
      <c r="H1118" s="69">
        <f t="shared" si="32"/>
        <v>-4.1586741348883738E-2</v>
      </c>
      <c r="O1118" s="1319"/>
      <c r="P1118" s="1319"/>
      <c r="Q1118" s="35">
        <v>43950</v>
      </c>
      <c r="R1118" s="36">
        <v>6.3E-3</v>
      </c>
      <c r="S1118" s="37">
        <v>3.5999999999999999E-3</v>
      </c>
    </row>
    <row r="1119" spans="1:19" x14ac:dyDescent="0.2">
      <c r="A1119" s="1"/>
      <c r="B1119" s="13">
        <v>44091</v>
      </c>
      <c r="C1119" s="14">
        <v>130.33000000000001</v>
      </c>
      <c r="D1119" s="15">
        <v>188067</v>
      </c>
      <c r="E1119" s="14">
        <v>129.44</v>
      </c>
      <c r="F1119" s="14">
        <v>132.18</v>
      </c>
      <c r="G1119" s="16">
        <v>128.91</v>
      </c>
      <c r="H1119" s="69">
        <f t="shared" si="32"/>
        <v>-7.6899649763970679E-3</v>
      </c>
      <c r="O1119" s="1319"/>
      <c r="P1119" s="1319"/>
      <c r="Q1119" s="35">
        <v>43951</v>
      </c>
      <c r="R1119" s="36">
        <v>6.4000000000000003E-3</v>
      </c>
      <c r="S1119" s="37">
        <v>3.5999999999999999E-3</v>
      </c>
    </row>
    <row r="1120" spans="1:19" x14ac:dyDescent="0.2">
      <c r="A1120" s="1"/>
      <c r="B1120" s="13">
        <v>44090</v>
      </c>
      <c r="C1120" s="14">
        <v>131.34</v>
      </c>
      <c r="D1120" s="15">
        <v>159482</v>
      </c>
      <c r="E1120" s="14">
        <v>134.80000000000001</v>
      </c>
      <c r="F1120" s="14">
        <v>134.80000000000001</v>
      </c>
      <c r="G1120" s="16">
        <v>130.001</v>
      </c>
      <c r="H1120" s="69">
        <f t="shared" si="32"/>
        <v>-1.7136870463219323E-2</v>
      </c>
      <c r="O1120" s="1319"/>
      <c r="P1120" s="1319"/>
      <c r="Q1120" s="35">
        <v>43952</v>
      </c>
      <c r="R1120" s="36">
        <v>6.4000000000000003E-3</v>
      </c>
      <c r="S1120" s="37">
        <v>3.5999999999999999E-3</v>
      </c>
    </row>
    <row r="1121" spans="1:19" x14ac:dyDescent="0.2">
      <c r="A1121" s="1"/>
      <c r="B1121" s="13">
        <v>44089</v>
      </c>
      <c r="C1121" s="14">
        <v>133.63</v>
      </c>
      <c r="D1121" s="15">
        <v>87729</v>
      </c>
      <c r="E1121" s="14">
        <v>131.71</v>
      </c>
      <c r="F1121" s="14">
        <v>134.05000000000001</v>
      </c>
      <c r="G1121" s="16">
        <v>131.22999999999999</v>
      </c>
      <c r="H1121" s="69">
        <f t="shared" si="32"/>
        <v>1.8133333333333335E-2</v>
      </c>
      <c r="O1121" s="1319"/>
      <c r="P1121" s="1319"/>
      <c r="Q1121" s="35">
        <v>43955</v>
      </c>
      <c r="R1121" s="36">
        <v>6.4000000000000003E-3</v>
      </c>
      <c r="S1121" s="37">
        <v>3.5999999999999999E-3</v>
      </c>
    </row>
    <row r="1122" spans="1:19" x14ac:dyDescent="0.2">
      <c r="A1122" s="1"/>
      <c r="B1122" s="13">
        <v>44088</v>
      </c>
      <c r="C1122" s="14">
        <v>131.25</v>
      </c>
      <c r="D1122" s="15">
        <v>155392</v>
      </c>
      <c r="E1122" s="14">
        <v>132.74</v>
      </c>
      <c r="F1122" s="14">
        <v>133.6739</v>
      </c>
      <c r="G1122" s="16">
        <v>130.22999999999999</v>
      </c>
      <c r="H1122" s="69">
        <f t="shared" si="32"/>
        <v>-5.5311410819820495E-3</v>
      </c>
      <c r="O1122" s="1319"/>
      <c r="P1122" s="1319"/>
      <c r="Q1122" s="35">
        <v>43956</v>
      </c>
      <c r="R1122" s="36">
        <v>6.6E-3</v>
      </c>
      <c r="S1122" s="37">
        <v>3.5999999999999999E-3</v>
      </c>
    </row>
    <row r="1123" spans="1:19" x14ac:dyDescent="0.2">
      <c r="A1123" s="1"/>
      <c r="B1123" s="13">
        <v>44085</v>
      </c>
      <c r="C1123" s="14">
        <v>131.97999999999999</v>
      </c>
      <c r="D1123" s="15">
        <v>103903</v>
      </c>
      <c r="E1123" s="14">
        <v>132.88</v>
      </c>
      <c r="F1123" s="14">
        <v>134.80000000000001</v>
      </c>
      <c r="G1123" s="16">
        <v>131.01</v>
      </c>
      <c r="H1123" s="69">
        <f t="shared" si="32"/>
        <v>8.3415484947280127E-4</v>
      </c>
      <c r="O1123" s="1319"/>
      <c r="P1123" s="1319"/>
      <c r="Q1123" s="35">
        <v>43957</v>
      </c>
      <c r="R1123" s="36">
        <v>7.1999999999999998E-3</v>
      </c>
      <c r="S1123" s="37">
        <v>3.7000000000000002E-3</v>
      </c>
    </row>
    <row r="1124" spans="1:19" x14ac:dyDescent="0.2">
      <c r="A1124" s="1"/>
      <c r="B1124" s="13">
        <v>44084</v>
      </c>
      <c r="C1124" s="14">
        <v>131.87</v>
      </c>
      <c r="D1124" s="15">
        <v>127472</v>
      </c>
      <c r="E1124" s="14">
        <v>134.94999999999999</v>
      </c>
      <c r="F1124" s="14">
        <v>135.97999999999999</v>
      </c>
      <c r="G1124" s="16">
        <v>131.72</v>
      </c>
      <c r="H1124" s="69">
        <f t="shared" si="32"/>
        <v>-2.4774441650643353E-2</v>
      </c>
      <c r="O1124" s="1319"/>
      <c r="P1124" s="1319"/>
      <c r="Q1124" s="35">
        <v>43958</v>
      </c>
      <c r="R1124" s="36">
        <v>6.3E-3</v>
      </c>
      <c r="S1124" s="37">
        <v>2.8999999999999998E-3</v>
      </c>
    </row>
    <row r="1125" spans="1:19" x14ac:dyDescent="0.2">
      <c r="A1125" s="1"/>
      <c r="B1125" s="13">
        <v>44083</v>
      </c>
      <c r="C1125" s="14">
        <v>135.22</v>
      </c>
      <c r="D1125" s="15">
        <v>159203</v>
      </c>
      <c r="E1125" s="14">
        <v>131.66999999999999</v>
      </c>
      <c r="F1125" s="14">
        <v>137.36000000000001</v>
      </c>
      <c r="G1125" s="16">
        <v>131.66999999999999</v>
      </c>
      <c r="H1125" s="69">
        <f t="shared" si="32"/>
        <v>2.3231176693151667E-2</v>
      </c>
      <c r="O1125" s="1319"/>
      <c r="P1125" s="1319"/>
      <c r="Q1125" s="35">
        <v>43959</v>
      </c>
      <c r="R1125" s="36">
        <v>6.8999999999999999E-3</v>
      </c>
      <c r="S1125" s="37">
        <v>3.3E-3</v>
      </c>
    </row>
    <row r="1126" spans="1:19" x14ac:dyDescent="0.2">
      <c r="A1126" s="1"/>
      <c r="B1126" s="13">
        <v>44082</v>
      </c>
      <c r="C1126" s="14">
        <v>132.15</v>
      </c>
      <c r="D1126" s="15">
        <v>137357</v>
      </c>
      <c r="E1126" s="14">
        <v>130.76</v>
      </c>
      <c r="F1126" s="14">
        <v>135.88999999999999</v>
      </c>
      <c r="G1126" s="16">
        <v>129.08000000000001</v>
      </c>
      <c r="H1126" s="69">
        <f t="shared" si="32"/>
        <v>6.2438132947535419E-3</v>
      </c>
      <c r="O1126" s="1319"/>
      <c r="P1126" s="1319"/>
      <c r="Q1126" s="35">
        <v>43962</v>
      </c>
      <c r="R1126" s="36">
        <v>7.3000000000000001E-3</v>
      </c>
      <c r="S1126" s="37">
        <v>3.5999999999999999E-3</v>
      </c>
    </row>
    <row r="1127" spans="1:19" x14ac:dyDescent="0.2">
      <c r="A1127" s="1"/>
      <c r="B1127" s="13">
        <v>44078</v>
      </c>
      <c r="C1127" s="14">
        <v>131.33000000000001</v>
      </c>
      <c r="D1127" s="15">
        <v>212977</v>
      </c>
      <c r="E1127" s="14">
        <v>134.96</v>
      </c>
      <c r="F1127" s="14">
        <v>135.5</v>
      </c>
      <c r="G1127" s="16">
        <v>127.881</v>
      </c>
      <c r="H1127" s="69">
        <f t="shared" si="32"/>
        <v>-1.1218190031621611E-2</v>
      </c>
      <c r="O1127" s="1319"/>
      <c r="P1127" s="1319"/>
      <c r="Q1127" s="35">
        <v>43963</v>
      </c>
      <c r="R1127" s="36">
        <v>6.8999999999999999E-3</v>
      </c>
      <c r="S1127" s="37">
        <v>3.4000000000000002E-3</v>
      </c>
    </row>
    <row r="1128" spans="1:19" x14ac:dyDescent="0.2">
      <c r="A1128" s="1"/>
      <c r="B1128" s="13">
        <v>44077</v>
      </c>
      <c r="C1128" s="14">
        <v>132.82</v>
      </c>
      <c r="D1128" s="15">
        <v>171357</v>
      </c>
      <c r="E1128" s="14">
        <v>139.38999999999999</v>
      </c>
      <c r="F1128" s="14">
        <v>142.24</v>
      </c>
      <c r="G1128" s="16">
        <v>130.465</v>
      </c>
      <c r="H1128" s="69">
        <f t="shared" ref="H1128:H1191" si="33">C1128/C1129-1</f>
        <v>-4.6928817451205695E-2</v>
      </c>
      <c r="O1128" s="1319"/>
      <c r="P1128" s="1319"/>
      <c r="Q1128" s="35">
        <v>43964</v>
      </c>
      <c r="R1128" s="36">
        <v>6.4000000000000003E-3</v>
      </c>
      <c r="S1128" s="37">
        <v>3.0999999999999999E-3</v>
      </c>
    </row>
    <row r="1129" spans="1:19" x14ac:dyDescent="0.2">
      <c r="A1129" s="1"/>
      <c r="B1129" s="13">
        <v>44076</v>
      </c>
      <c r="C1129" s="14">
        <v>139.36000000000001</v>
      </c>
      <c r="D1129" s="15">
        <v>261235</v>
      </c>
      <c r="E1129" s="14">
        <v>140</v>
      </c>
      <c r="F1129" s="14">
        <v>140</v>
      </c>
      <c r="G1129" s="16">
        <v>133.97</v>
      </c>
      <c r="H1129" s="69">
        <f t="shared" si="33"/>
        <v>-6.4874884151991941E-3</v>
      </c>
      <c r="O1129" s="1319"/>
      <c r="P1129" s="1319"/>
      <c r="Q1129" s="35">
        <v>43965</v>
      </c>
      <c r="R1129" s="36">
        <v>6.3E-3</v>
      </c>
      <c r="S1129" s="37">
        <v>3.0999999999999999E-3</v>
      </c>
    </row>
    <row r="1130" spans="1:19" x14ac:dyDescent="0.2">
      <c r="A1130" s="1"/>
      <c r="B1130" s="13">
        <v>44075</v>
      </c>
      <c r="C1130" s="14">
        <v>140.27000000000001</v>
      </c>
      <c r="D1130" s="15">
        <v>234795</v>
      </c>
      <c r="E1130" s="14">
        <v>134.36000000000001</v>
      </c>
      <c r="F1130" s="14">
        <v>141.09</v>
      </c>
      <c r="G1130" s="16">
        <v>132.94999999999999</v>
      </c>
      <c r="H1130" s="69">
        <f t="shared" si="33"/>
        <v>4.5230998509687259E-2</v>
      </c>
      <c r="O1130" s="1319"/>
      <c r="P1130" s="1319"/>
      <c r="Q1130" s="35">
        <v>43966</v>
      </c>
      <c r="R1130" s="36">
        <v>6.4000000000000003E-3</v>
      </c>
      <c r="S1130" s="37">
        <v>3.0999999999999999E-3</v>
      </c>
    </row>
    <row r="1131" spans="1:19" x14ac:dyDescent="0.2">
      <c r="A1131" s="1"/>
      <c r="B1131" s="13">
        <v>44074</v>
      </c>
      <c r="C1131" s="14">
        <v>134.19999999999999</v>
      </c>
      <c r="D1131" s="15">
        <v>199827</v>
      </c>
      <c r="E1131" s="14">
        <v>134.32</v>
      </c>
      <c r="F1131" s="14">
        <v>135.54</v>
      </c>
      <c r="G1131" s="16">
        <v>132.31</v>
      </c>
      <c r="H1131" s="69">
        <f t="shared" si="33"/>
        <v>-7.4510096118141078E-5</v>
      </c>
      <c r="O1131" s="1319"/>
      <c r="P1131" s="1319"/>
      <c r="Q1131" s="35">
        <v>43969</v>
      </c>
      <c r="R1131" s="36">
        <v>7.3000000000000001E-3</v>
      </c>
      <c r="S1131" s="37">
        <v>3.8E-3</v>
      </c>
    </row>
    <row r="1132" spans="1:19" x14ac:dyDescent="0.2">
      <c r="A1132" s="1"/>
      <c r="B1132" s="13">
        <v>44071</v>
      </c>
      <c r="C1132" s="14">
        <v>134.21</v>
      </c>
      <c r="D1132" s="15">
        <v>141345</v>
      </c>
      <c r="E1132" s="14">
        <v>135.93</v>
      </c>
      <c r="F1132" s="14">
        <v>135.93</v>
      </c>
      <c r="G1132" s="16">
        <v>133.875</v>
      </c>
      <c r="H1132" s="69">
        <f t="shared" si="33"/>
        <v>-8.5691068922213454E-3</v>
      </c>
      <c r="O1132" s="1319"/>
      <c r="P1132" s="1319"/>
      <c r="Q1132" s="35">
        <v>43970</v>
      </c>
      <c r="R1132" s="36">
        <v>6.9999999999999993E-3</v>
      </c>
      <c r="S1132" s="37">
        <v>3.4999999999999996E-3</v>
      </c>
    </row>
    <row r="1133" spans="1:19" x14ac:dyDescent="0.2">
      <c r="A1133" s="1"/>
      <c r="B1133" s="13">
        <v>44070</v>
      </c>
      <c r="C1133" s="14">
        <v>135.37</v>
      </c>
      <c r="D1133" s="15">
        <v>94687</v>
      </c>
      <c r="E1133" s="14">
        <v>135.38</v>
      </c>
      <c r="F1133" s="14">
        <v>136</v>
      </c>
      <c r="G1133" s="16">
        <v>133.25</v>
      </c>
      <c r="H1133" s="69">
        <f t="shared" si="33"/>
        <v>6.4684014869889062E-3</v>
      </c>
      <c r="O1133" s="1319"/>
      <c r="P1133" s="1319"/>
      <c r="Q1133" s="35">
        <v>43971</v>
      </c>
      <c r="R1133" s="36">
        <v>6.8000000000000005E-3</v>
      </c>
      <c r="S1133" s="37">
        <v>3.4000000000000002E-3</v>
      </c>
    </row>
    <row r="1134" spans="1:19" x14ac:dyDescent="0.2">
      <c r="A1134" s="1"/>
      <c r="B1134" s="13">
        <v>44069</v>
      </c>
      <c r="C1134" s="14">
        <v>134.5</v>
      </c>
      <c r="D1134" s="15">
        <v>133628</v>
      </c>
      <c r="E1134" s="14">
        <v>133.44999999999999</v>
      </c>
      <c r="F1134" s="14">
        <v>135.1</v>
      </c>
      <c r="G1134" s="16">
        <v>131.88999999999999</v>
      </c>
      <c r="H1134" s="69">
        <f t="shared" si="33"/>
        <v>1.1050139066375975E-2</v>
      </c>
      <c r="O1134" s="1319"/>
      <c r="P1134" s="1319"/>
      <c r="Q1134" s="35">
        <v>43972</v>
      </c>
      <c r="R1134" s="36">
        <v>6.8000000000000005E-3</v>
      </c>
      <c r="S1134" s="37">
        <v>3.4999999999999996E-3</v>
      </c>
    </row>
    <row r="1135" spans="1:19" x14ac:dyDescent="0.2">
      <c r="A1135" s="1"/>
      <c r="B1135" s="13">
        <v>44068</v>
      </c>
      <c r="C1135" s="14">
        <v>133.03</v>
      </c>
      <c r="D1135" s="15">
        <v>97559</v>
      </c>
      <c r="E1135" s="14">
        <v>133.15</v>
      </c>
      <c r="F1135" s="14">
        <v>134.16999999999999</v>
      </c>
      <c r="G1135" s="16">
        <v>132.55000000000001</v>
      </c>
      <c r="H1135" s="69">
        <f t="shared" si="33"/>
        <v>-2.923099985009614E-3</v>
      </c>
      <c r="O1135" s="1319"/>
      <c r="P1135" s="1319"/>
      <c r="Q1135" s="35">
        <v>43973</v>
      </c>
      <c r="R1135" s="36">
        <v>6.6E-3</v>
      </c>
      <c r="S1135" s="37">
        <v>3.4000000000000002E-3</v>
      </c>
    </row>
    <row r="1136" spans="1:19" x14ac:dyDescent="0.2">
      <c r="A1136" s="1"/>
      <c r="B1136" s="13">
        <v>44067</v>
      </c>
      <c r="C1136" s="14">
        <v>133.41999999999999</v>
      </c>
      <c r="D1136" s="15">
        <v>172308</v>
      </c>
      <c r="E1136" s="14">
        <v>135.55000000000001</v>
      </c>
      <c r="F1136" s="14">
        <v>135.55000000000001</v>
      </c>
      <c r="G1136" s="16">
        <v>131.30000000000001</v>
      </c>
      <c r="H1136" s="69">
        <f t="shared" si="33"/>
        <v>-1.0090517880991356E-2</v>
      </c>
      <c r="O1136" s="1319"/>
      <c r="P1136" s="1319"/>
      <c r="Q1136" s="35">
        <v>43977</v>
      </c>
      <c r="R1136" s="36">
        <v>6.8999999999999999E-3</v>
      </c>
      <c r="S1136" s="37">
        <v>3.4999999999999996E-3</v>
      </c>
    </row>
    <row r="1137" spans="1:19" x14ac:dyDescent="0.2">
      <c r="A1137" s="1"/>
      <c r="B1137" s="13">
        <v>44064</v>
      </c>
      <c r="C1137" s="14">
        <v>134.78</v>
      </c>
      <c r="D1137" s="15">
        <v>144416</v>
      </c>
      <c r="E1137" s="14">
        <v>131.21</v>
      </c>
      <c r="F1137" s="14">
        <v>135.1</v>
      </c>
      <c r="G1137" s="16">
        <v>131.15</v>
      </c>
      <c r="H1137" s="69">
        <f t="shared" si="33"/>
        <v>2.6347852573865405E-2</v>
      </c>
      <c r="O1137" s="1319"/>
      <c r="P1137" s="1319"/>
      <c r="Q1137" s="35">
        <v>43978</v>
      </c>
      <c r="R1137" s="36">
        <v>6.8000000000000005E-3</v>
      </c>
      <c r="S1137" s="37">
        <v>3.4000000000000002E-3</v>
      </c>
    </row>
    <row r="1138" spans="1:19" x14ac:dyDescent="0.2">
      <c r="A1138" s="1"/>
      <c r="B1138" s="13">
        <v>44063</v>
      </c>
      <c r="C1138" s="14">
        <v>131.32</v>
      </c>
      <c r="D1138" s="15">
        <v>115949</v>
      </c>
      <c r="E1138" s="14">
        <v>130.66</v>
      </c>
      <c r="F1138" s="14">
        <v>132.19999999999999</v>
      </c>
      <c r="G1138" s="16">
        <v>130</v>
      </c>
      <c r="H1138" s="69">
        <f t="shared" si="33"/>
        <v>-2.2034799787251647E-3</v>
      </c>
      <c r="O1138" s="1319"/>
      <c r="P1138" s="1319"/>
      <c r="Q1138" s="35">
        <v>43979</v>
      </c>
      <c r="R1138" s="36">
        <v>6.9999999999999993E-3</v>
      </c>
      <c r="S1138" s="37">
        <v>3.4000000000000002E-3</v>
      </c>
    </row>
    <row r="1139" spans="1:19" x14ac:dyDescent="0.2">
      <c r="A1139" s="1"/>
      <c r="B1139" s="13">
        <v>44062</v>
      </c>
      <c r="C1139" s="14">
        <v>131.61000000000001</v>
      </c>
      <c r="D1139" s="15">
        <v>134198</v>
      </c>
      <c r="E1139" s="14">
        <v>131.78</v>
      </c>
      <c r="F1139" s="14">
        <v>133.32</v>
      </c>
      <c r="G1139" s="16">
        <v>131.04</v>
      </c>
      <c r="H1139" s="69">
        <f t="shared" si="33"/>
        <v>4.2731781762685994E-3</v>
      </c>
      <c r="O1139" s="1319"/>
      <c r="P1139" s="1319"/>
      <c r="Q1139" s="35">
        <v>43980</v>
      </c>
      <c r="R1139" s="36">
        <v>6.5000000000000006E-3</v>
      </c>
      <c r="S1139" s="37">
        <v>3.0000000000000001E-3</v>
      </c>
    </row>
    <row r="1140" spans="1:19" x14ac:dyDescent="0.2">
      <c r="A1140" s="1"/>
      <c r="B1140" s="13">
        <v>44061</v>
      </c>
      <c r="C1140" s="14">
        <v>131.05000000000001</v>
      </c>
      <c r="D1140" s="15">
        <v>198628</v>
      </c>
      <c r="E1140" s="14">
        <v>131</v>
      </c>
      <c r="F1140" s="14">
        <v>131.935</v>
      </c>
      <c r="G1140" s="16">
        <v>129.61000000000001</v>
      </c>
      <c r="H1140" s="69">
        <f t="shared" si="33"/>
        <v>-1.5259021896685265E-4</v>
      </c>
      <c r="O1140" s="1319"/>
      <c r="P1140" s="1319"/>
      <c r="Q1140" s="35">
        <v>43983</v>
      </c>
      <c r="R1140" s="36">
        <v>6.6E-3</v>
      </c>
      <c r="S1140" s="37">
        <v>3.0999999999999999E-3</v>
      </c>
    </row>
    <row r="1141" spans="1:19" x14ac:dyDescent="0.2">
      <c r="A1141" s="1"/>
      <c r="B1141" s="13">
        <v>44060</v>
      </c>
      <c r="C1141" s="14">
        <v>131.07</v>
      </c>
      <c r="D1141" s="15">
        <v>120694</v>
      </c>
      <c r="E1141" s="14">
        <v>130.30000000000001</v>
      </c>
      <c r="F1141" s="14">
        <v>131.16</v>
      </c>
      <c r="G1141" s="16">
        <v>129.245</v>
      </c>
      <c r="H1141" s="69">
        <f t="shared" si="33"/>
        <v>5.7550644567219145E-3</v>
      </c>
      <c r="O1141" s="1319"/>
      <c r="P1141" s="1319"/>
      <c r="Q1141" s="35">
        <v>43984</v>
      </c>
      <c r="R1141" s="36">
        <v>6.8000000000000005E-3</v>
      </c>
      <c r="S1141" s="37">
        <v>3.2000000000000002E-3</v>
      </c>
    </row>
    <row r="1142" spans="1:19" x14ac:dyDescent="0.2">
      <c r="A1142" s="1"/>
      <c r="B1142" s="13">
        <v>44057</v>
      </c>
      <c r="C1142" s="14">
        <v>130.32</v>
      </c>
      <c r="D1142" s="15">
        <v>108298</v>
      </c>
      <c r="E1142" s="14">
        <v>131.01</v>
      </c>
      <c r="F1142" s="14">
        <v>131.37</v>
      </c>
      <c r="G1142" s="16">
        <v>129.13999999999999</v>
      </c>
      <c r="H1142" s="69">
        <f t="shared" si="33"/>
        <v>-3.2124827902708653E-3</v>
      </c>
      <c r="O1142" s="1319"/>
      <c r="P1142" s="1319"/>
      <c r="Q1142" s="35">
        <v>43985</v>
      </c>
      <c r="R1142" s="36">
        <v>7.7000000000000002E-3</v>
      </c>
      <c r="S1142" s="37">
        <v>3.8E-3</v>
      </c>
    </row>
    <row r="1143" spans="1:19" x14ac:dyDescent="0.2">
      <c r="A1143" s="1"/>
      <c r="B1143" s="13">
        <v>44056</v>
      </c>
      <c r="C1143" s="14">
        <v>130.74</v>
      </c>
      <c r="D1143" s="15">
        <v>215632</v>
      </c>
      <c r="E1143" s="14">
        <v>130.38</v>
      </c>
      <c r="F1143" s="14">
        <v>132.74</v>
      </c>
      <c r="G1143" s="16">
        <v>129.4</v>
      </c>
      <c r="H1143" s="69">
        <f t="shared" si="33"/>
        <v>-5.2499429354028182E-3</v>
      </c>
      <c r="O1143" s="1319"/>
      <c r="P1143" s="1319"/>
      <c r="Q1143" s="35">
        <v>43986</v>
      </c>
      <c r="R1143" s="36">
        <v>8.199999999999999E-3</v>
      </c>
      <c r="S1143" s="37">
        <v>4.0000000000000001E-3</v>
      </c>
    </row>
    <row r="1144" spans="1:19" x14ac:dyDescent="0.2">
      <c r="A1144" s="1"/>
      <c r="B1144" s="13">
        <v>44055</v>
      </c>
      <c r="C1144" s="14">
        <v>131.43</v>
      </c>
      <c r="D1144" s="15">
        <v>238672</v>
      </c>
      <c r="E1144" s="14">
        <v>129.87</v>
      </c>
      <c r="F1144" s="14">
        <v>136.11000000000001</v>
      </c>
      <c r="G1144" s="16">
        <v>127.95</v>
      </c>
      <c r="H1144" s="69">
        <f t="shared" si="33"/>
        <v>2.6235652377606167E-2</v>
      </c>
      <c r="O1144" s="1319"/>
      <c r="P1144" s="1319"/>
      <c r="Q1144" s="35">
        <v>43987</v>
      </c>
      <c r="R1144" s="36">
        <v>9.1000000000000004E-3</v>
      </c>
      <c r="S1144" s="37">
        <v>4.6999999999999993E-3</v>
      </c>
    </row>
    <row r="1145" spans="1:19" x14ac:dyDescent="0.2">
      <c r="A1145" s="1"/>
      <c r="B1145" s="13">
        <v>44054</v>
      </c>
      <c r="C1145" s="14">
        <v>128.07</v>
      </c>
      <c r="D1145" s="15">
        <v>240401</v>
      </c>
      <c r="E1145" s="14">
        <v>129.58000000000001</v>
      </c>
      <c r="F1145" s="14">
        <v>130.76</v>
      </c>
      <c r="G1145" s="16">
        <v>127.36</v>
      </c>
      <c r="H1145" s="69">
        <f t="shared" si="33"/>
        <v>-3.5789309888742959E-3</v>
      </c>
      <c r="O1145" s="1319"/>
      <c r="P1145" s="1319"/>
      <c r="Q1145" s="35">
        <v>43990</v>
      </c>
      <c r="R1145" s="36">
        <v>8.8000000000000005E-3</v>
      </c>
      <c r="S1145" s="37">
        <v>4.5000000000000005E-3</v>
      </c>
    </row>
    <row r="1146" spans="1:19" x14ac:dyDescent="0.2">
      <c r="A1146" s="1"/>
      <c r="B1146" s="13">
        <v>44053</v>
      </c>
      <c r="C1146" s="14">
        <v>128.53</v>
      </c>
      <c r="D1146" s="15">
        <v>334452</v>
      </c>
      <c r="E1146" s="14">
        <v>124.68</v>
      </c>
      <c r="F1146" s="14">
        <v>130.08000000000001</v>
      </c>
      <c r="G1146" s="16">
        <v>124.68</v>
      </c>
      <c r="H1146" s="69">
        <f t="shared" si="33"/>
        <v>3.4030571198712778E-2</v>
      </c>
      <c r="O1146" s="1319"/>
      <c r="P1146" s="1319"/>
      <c r="Q1146" s="35">
        <v>43991</v>
      </c>
      <c r="R1146" s="36">
        <v>8.3999999999999995E-3</v>
      </c>
      <c r="S1146" s="37">
        <v>4.0000000000000001E-3</v>
      </c>
    </row>
    <row r="1147" spans="1:19" x14ac:dyDescent="0.2">
      <c r="A1147" s="1"/>
      <c r="B1147" s="13">
        <v>44050</v>
      </c>
      <c r="C1147" s="14">
        <v>124.3</v>
      </c>
      <c r="D1147" s="15">
        <v>104961</v>
      </c>
      <c r="E1147" s="14">
        <v>122.15</v>
      </c>
      <c r="F1147" s="14">
        <v>124.78</v>
      </c>
      <c r="G1147" s="16">
        <v>122.15</v>
      </c>
      <c r="H1147" s="69">
        <f t="shared" si="33"/>
        <v>1.1144553811111901E-2</v>
      </c>
      <c r="O1147" s="1319"/>
      <c r="P1147" s="1319"/>
      <c r="Q1147" s="35">
        <v>43992</v>
      </c>
      <c r="R1147" s="36">
        <v>7.4999999999999997E-3</v>
      </c>
      <c r="S1147" s="37">
        <v>3.3E-3</v>
      </c>
    </row>
    <row r="1148" spans="1:19" x14ac:dyDescent="0.2">
      <c r="A1148" s="1"/>
      <c r="B1148" s="13">
        <v>44049</v>
      </c>
      <c r="C1148" s="14">
        <v>122.93</v>
      </c>
      <c r="D1148" s="15">
        <v>125528</v>
      </c>
      <c r="E1148" s="14">
        <v>124.29</v>
      </c>
      <c r="F1148" s="14">
        <v>125.255</v>
      </c>
      <c r="G1148" s="16">
        <v>122.44</v>
      </c>
      <c r="H1148" s="69">
        <f t="shared" si="33"/>
        <v>-1.6402624419907141E-2</v>
      </c>
      <c r="O1148" s="1319"/>
      <c r="P1148" s="1319"/>
      <c r="Q1148" s="35">
        <v>43993</v>
      </c>
      <c r="R1148" s="36">
        <v>6.6E-3</v>
      </c>
      <c r="S1148" s="37">
        <v>3.2000000000000002E-3</v>
      </c>
    </row>
    <row r="1149" spans="1:19" x14ac:dyDescent="0.2">
      <c r="A1149" s="1"/>
      <c r="B1149" s="13">
        <v>44048</v>
      </c>
      <c r="C1149" s="14">
        <v>124.98</v>
      </c>
      <c r="D1149" s="15">
        <v>246133</v>
      </c>
      <c r="E1149" s="14">
        <v>123.12</v>
      </c>
      <c r="F1149" s="14">
        <v>125.82</v>
      </c>
      <c r="G1149" s="16">
        <v>122.81</v>
      </c>
      <c r="H1149" s="69">
        <f t="shared" si="33"/>
        <v>1.7503867133436435E-2</v>
      </c>
      <c r="O1149" s="1319"/>
      <c r="P1149" s="1319"/>
      <c r="Q1149" s="35">
        <v>43994</v>
      </c>
      <c r="R1149" s="36">
        <v>7.0999999999999995E-3</v>
      </c>
      <c r="S1149" s="37">
        <v>3.3E-3</v>
      </c>
    </row>
    <row r="1150" spans="1:19" x14ac:dyDescent="0.2">
      <c r="A1150" s="1"/>
      <c r="B1150" s="13">
        <v>44047</v>
      </c>
      <c r="C1150" s="14">
        <v>122.83</v>
      </c>
      <c r="D1150" s="15">
        <v>199145</v>
      </c>
      <c r="E1150" s="14">
        <v>121.55</v>
      </c>
      <c r="F1150" s="14">
        <v>123.31</v>
      </c>
      <c r="G1150" s="16">
        <v>120.47</v>
      </c>
      <c r="H1150" s="69">
        <f t="shared" si="33"/>
        <v>1.0447515630141568E-2</v>
      </c>
      <c r="O1150" s="1319"/>
      <c r="P1150" s="1319"/>
      <c r="Q1150" s="35">
        <v>43997</v>
      </c>
      <c r="R1150" s="36">
        <v>7.0999999999999995E-3</v>
      </c>
      <c r="S1150" s="37">
        <v>3.3E-3</v>
      </c>
    </row>
    <row r="1151" spans="1:19" x14ac:dyDescent="0.2">
      <c r="A1151" s="1"/>
      <c r="B1151" s="13">
        <v>44046</v>
      </c>
      <c r="C1151" s="14">
        <v>121.56</v>
      </c>
      <c r="D1151" s="15">
        <v>257101</v>
      </c>
      <c r="E1151" s="14">
        <v>120.69</v>
      </c>
      <c r="F1151" s="14">
        <v>122</v>
      </c>
      <c r="G1151" s="16">
        <v>118.66</v>
      </c>
      <c r="H1151" s="69">
        <f t="shared" si="33"/>
        <v>1.766429468396824E-2</v>
      </c>
      <c r="O1151" s="1319"/>
      <c r="P1151" s="1319"/>
      <c r="Q1151" s="35">
        <v>43998</v>
      </c>
      <c r="R1151" s="36">
        <v>7.4999999999999997E-3</v>
      </c>
      <c r="S1151" s="37">
        <v>3.4000000000000002E-3</v>
      </c>
    </row>
    <row r="1152" spans="1:19" x14ac:dyDescent="0.2">
      <c r="A1152" s="1"/>
      <c r="B1152" s="13">
        <v>44043</v>
      </c>
      <c r="C1152" s="14">
        <v>119.45</v>
      </c>
      <c r="D1152" s="15">
        <v>268020</v>
      </c>
      <c r="E1152" s="14">
        <v>121.11</v>
      </c>
      <c r="F1152" s="14">
        <v>122.24</v>
      </c>
      <c r="G1152" s="16">
        <v>116.14</v>
      </c>
      <c r="H1152" s="69">
        <f t="shared" si="33"/>
        <v>-1.0028178352395112E-2</v>
      </c>
      <c r="O1152" s="1319"/>
      <c r="P1152" s="1319"/>
      <c r="Q1152" s="35">
        <v>43999</v>
      </c>
      <c r="R1152" s="36">
        <v>7.4000000000000003E-3</v>
      </c>
      <c r="S1152" s="37">
        <v>3.4000000000000002E-3</v>
      </c>
    </row>
    <row r="1153" spans="1:19" x14ac:dyDescent="0.2">
      <c r="A1153" s="1"/>
      <c r="B1153" s="13">
        <v>44042</v>
      </c>
      <c r="C1153" s="14">
        <v>120.66</v>
      </c>
      <c r="D1153" s="15">
        <v>350009</v>
      </c>
      <c r="E1153" s="14">
        <v>121.97</v>
      </c>
      <c r="F1153" s="14">
        <v>124.36</v>
      </c>
      <c r="G1153" s="16">
        <v>118.52</v>
      </c>
      <c r="H1153" s="69">
        <f t="shared" si="33"/>
        <v>-1.4457240872335242E-2</v>
      </c>
      <c r="O1153" s="1319"/>
      <c r="P1153" s="1319"/>
      <c r="Q1153" s="35">
        <v>44000</v>
      </c>
      <c r="R1153" s="36">
        <v>7.0999999999999995E-3</v>
      </c>
      <c r="S1153" s="37">
        <v>3.4000000000000002E-3</v>
      </c>
    </row>
    <row r="1154" spans="1:19" x14ac:dyDescent="0.2">
      <c r="A1154" s="1"/>
      <c r="B1154" s="13">
        <v>44041</v>
      </c>
      <c r="C1154" s="14">
        <v>122.43</v>
      </c>
      <c r="D1154" s="15">
        <v>492340</v>
      </c>
      <c r="E1154" s="14">
        <v>126.31</v>
      </c>
      <c r="F1154" s="14">
        <v>129.09</v>
      </c>
      <c r="G1154" s="16">
        <v>120.65</v>
      </c>
      <c r="H1154" s="69">
        <f t="shared" si="33"/>
        <v>-2.430666241632129E-2</v>
      </c>
      <c r="O1154" s="1319"/>
      <c r="P1154" s="1319"/>
      <c r="Q1154" s="35">
        <v>44001</v>
      </c>
      <c r="R1154" s="36">
        <v>6.9999999999999993E-3</v>
      </c>
      <c r="S1154" s="37">
        <v>3.3E-3</v>
      </c>
    </row>
    <row r="1155" spans="1:19" x14ac:dyDescent="0.2">
      <c r="A1155" s="1"/>
      <c r="B1155" s="13">
        <v>44040</v>
      </c>
      <c r="C1155" s="14">
        <v>125.48</v>
      </c>
      <c r="D1155" s="15">
        <v>269401</v>
      </c>
      <c r="E1155" s="14">
        <v>128.05000000000001</v>
      </c>
      <c r="F1155" s="14">
        <v>129.28</v>
      </c>
      <c r="G1155" s="16">
        <v>125.26</v>
      </c>
      <c r="H1155" s="69">
        <f t="shared" si="33"/>
        <v>-2.8717392987073209E-2</v>
      </c>
      <c r="O1155" s="1319"/>
      <c r="P1155" s="1319"/>
      <c r="Q1155" s="35">
        <v>44004</v>
      </c>
      <c r="R1155" s="36">
        <v>7.0999999999999995E-3</v>
      </c>
      <c r="S1155" s="37">
        <v>3.4000000000000002E-3</v>
      </c>
    </row>
    <row r="1156" spans="1:19" x14ac:dyDescent="0.2">
      <c r="A1156" s="1"/>
      <c r="B1156" s="13">
        <v>44039</v>
      </c>
      <c r="C1156" s="14">
        <v>129.19</v>
      </c>
      <c r="D1156" s="15">
        <v>183563</v>
      </c>
      <c r="E1156" s="14">
        <v>126.6</v>
      </c>
      <c r="F1156" s="14">
        <v>129.52000000000001</v>
      </c>
      <c r="G1156" s="16">
        <v>125.88</v>
      </c>
      <c r="H1156" s="69">
        <f t="shared" si="33"/>
        <v>2.2558176349533055E-2</v>
      </c>
      <c r="O1156" s="1319"/>
      <c r="P1156" s="1319"/>
      <c r="Q1156" s="35">
        <v>44005</v>
      </c>
      <c r="R1156" s="36">
        <v>7.1999999999999998E-3</v>
      </c>
      <c r="S1156" s="37">
        <v>3.3E-3</v>
      </c>
    </row>
    <row r="1157" spans="1:19" x14ac:dyDescent="0.2">
      <c r="A1157" s="1"/>
      <c r="B1157" s="13">
        <v>44036</v>
      </c>
      <c r="C1157" s="14">
        <v>126.34</v>
      </c>
      <c r="D1157" s="15">
        <v>146673</v>
      </c>
      <c r="E1157" s="14">
        <v>126.33</v>
      </c>
      <c r="F1157" s="14">
        <v>126.87</v>
      </c>
      <c r="G1157" s="16">
        <v>125.1</v>
      </c>
      <c r="H1157" s="69">
        <f t="shared" si="33"/>
        <v>-7.7750726458807318E-3</v>
      </c>
      <c r="O1157" s="1319"/>
      <c r="P1157" s="1319"/>
      <c r="Q1157" s="35">
        <v>44006</v>
      </c>
      <c r="R1157" s="36">
        <v>6.8999999999999999E-3</v>
      </c>
      <c r="S1157" s="37">
        <v>3.3E-3</v>
      </c>
    </row>
    <row r="1158" spans="1:19" x14ac:dyDescent="0.2">
      <c r="A1158" s="1"/>
      <c r="B1158" s="13">
        <v>44035</v>
      </c>
      <c r="C1158" s="14">
        <v>127.33</v>
      </c>
      <c r="D1158" s="15">
        <v>193171</v>
      </c>
      <c r="E1158" s="14">
        <v>126.05</v>
      </c>
      <c r="F1158" s="14">
        <v>129.66</v>
      </c>
      <c r="G1158" s="16">
        <v>126.04</v>
      </c>
      <c r="H1158" s="69">
        <f t="shared" si="33"/>
        <v>6.8796457377826581E-3</v>
      </c>
      <c r="O1158" s="1319"/>
      <c r="P1158" s="1319"/>
      <c r="Q1158" s="35">
        <v>44007</v>
      </c>
      <c r="R1158" s="36">
        <v>6.8000000000000005E-3</v>
      </c>
      <c r="S1158" s="37">
        <v>3.2000000000000002E-3</v>
      </c>
    </row>
    <row r="1159" spans="1:19" x14ac:dyDescent="0.2">
      <c r="A1159" s="1"/>
      <c r="B1159" s="13">
        <v>44034</v>
      </c>
      <c r="C1159" s="14">
        <v>126.46</v>
      </c>
      <c r="D1159" s="15">
        <v>311976</v>
      </c>
      <c r="E1159" s="14">
        <v>130.19</v>
      </c>
      <c r="F1159" s="14">
        <v>132.13</v>
      </c>
      <c r="G1159" s="16">
        <v>126.39</v>
      </c>
      <c r="H1159" s="69">
        <f t="shared" si="33"/>
        <v>-2.8575818098018235E-2</v>
      </c>
      <c r="O1159" s="1319"/>
      <c r="P1159" s="1319"/>
      <c r="Q1159" s="35">
        <v>44008</v>
      </c>
      <c r="R1159" s="36">
        <v>6.4000000000000003E-3</v>
      </c>
      <c r="S1159" s="37">
        <v>3.0000000000000001E-3</v>
      </c>
    </row>
    <row r="1160" spans="1:19" x14ac:dyDescent="0.2">
      <c r="A1160" s="1"/>
      <c r="B1160" s="13">
        <v>44033</v>
      </c>
      <c r="C1160" s="14">
        <v>130.18</v>
      </c>
      <c r="D1160" s="15">
        <v>218302</v>
      </c>
      <c r="E1160" s="14">
        <v>131.37</v>
      </c>
      <c r="F1160" s="14">
        <v>131.7671</v>
      </c>
      <c r="G1160" s="16">
        <v>129.13</v>
      </c>
      <c r="H1160" s="69">
        <f t="shared" si="33"/>
        <v>-2.303970509177633E-4</v>
      </c>
      <c r="O1160" s="1319"/>
      <c r="P1160" s="1319"/>
      <c r="Q1160" s="35">
        <v>44011</v>
      </c>
      <c r="R1160" s="36">
        <v>6.4000000000000003E-3</v>
      </c>
      <c r="S1160" s="37">
        <v>2.8000000000000004E-3</v>
      </c>
    </row>
    <row r="1161" spans="1:19" x14ac:dyDescent="0.2">
      <c r="A1161" s="1"/>
      <c r="B1161" s="13">
        <v>44032</v>
      </c>
      <c r="C1161" s="14">
        <v>130.21</v>
      </c>
      <c r="D1161" s="15">
        <v>157869</v>
      </c>
      <c r="E1161" s="14">
        <v>129.58000000000001</v>
      </c>
      <c r="F1161" s="14">
        <v>130.63</v>
      </c>
      <c r="G1161" s="16">
        <v>128.19999999999999</v>
      </c>
      <c r="H1161" s="69">
        <f t="shared" si="33"/>
        <v>2.3092910476485429E-3</v>
      </c>
      <c r="O1161" s="1319"/>
      <c r="P1161" s="1319"/>
      <c r="Q1161" s="35">
        <v>44012</v>
      </c>
      <c r="R1161" s="36">
        <v>6.6E-3</v>
      </c>
      <c r="S1161" s="37">
        <v>2.8999999999999998E-3</v>
      </c>
    </row>
    <row r="1162" spans="1:19" x14ac:dyDescent="0.2">
      <c r="A1162" s="1"/>
      <c r="B1162" s="13">
        <v>44029</v>
      </c>
      <c r="C1162" s="14">
        <v>129.91</v>
      </c>
      <c r="D1162" s="15">
        <v>361443</v>
      </c>
      <c r="E1162" s="14">
        <v>127.88</v>
      </c>
      <c r="F1162" s="14">
        <v>132.62</v>
      </c>
      <c r="G1162" s="16">
        <v>126.95</v>
      </c>
      <c r="H1162" s="69">
        <f t="shared" si="33"/>
        <v>1.3575719747210835E-2</v>
      </c>
      <c r="O1162" s="1319"/>
      <c r="P1162" s="1319"/>
      <c r="Q1162" s="35">
        <v>44013</v>
      </c>
      <c r="R1162" s="36">
        <v>6.8999999999999999E-3</v>
      </c>
      <c r="S1162" s="37">
        <v>3.0999999999999999E-3</v>
      </c>
    </row>
    <row r="1163" spans="1:19" x14ac:dyDescent="0.2">
      <c r="A1163" s="1"/>
      <c r="B1163" s="13">
        <v>44028</v>
      </c>
      <c r="C1163" s="14">
        <v>128.16999999999999</v>
      </c>
      <c r="D1163" s="15">
        <v>303117</v>
      </c>
      <c r="E1163" s="14">
        <v>127.47</v>
      </c>
      <c r="F1163" s="14">
        <v>130.095</v>
      </c>
      <c r="G1163" s="16">
        <v>126.15</v>
      </c>
      <c r="H1163" s="69">
        <f t="shared" si="33"/>
        <v>4.3096693308257716E-3</v>
      </c>
      <c r="O1163" s="1319"/>
      <c r="P1163" s="1319"/>
      <c r="Q1163" s="35">
        <v>44014</v>
      </c>
      <c r="R1163" s="36">
        <v>6.8000000000000005E-3</v>
      </c>
      <c r="S1163" s="37">
        <v>2.8999999999999998E-3</v>
      </c>
    </row>
    <row r="1164" spans="1:19" x14ac:dyDescent="0.2">
      <c r="A1164" s="1"/>
      <c r="B1164" s="13">
        <v>44027</v>
      </c>
      <c r="C1164" s="14">
        <v>127.62</v>
      </c>
      <c r="D1164" s="15">
        <v>271287</v>
      </c>
      <c r="E1164" s="14">
        <v>126.92</v>
      </c>
      <c r="F1164" s="14">
        <v>128.41999999999999</v>
      </c>
      <c r="G1164" s="16">
        <v>124.71</v>
      </c>
      <c r="H1164" s="69">
        <f t="shared" si="33"/>
        <v>2.5142581733472724E-2</v>
      </c>
      <c r="O1164" s="1319"/>
      <c r="P1164" s="1319"/>
      <c r="Q1164" s="35">
        <v>44018</v>
      </c>
      <c r="R1164" s="36">
        <v>6.8999999999999999E-3</v>
      </c>
      <c r="S1164" s="37">
        <v>3.0999999999999999E-3</v>
      </c>
    </row>
    <row r="1165" spans="1:19" x14ac:dyDescent="0.2">
      <c r="A1165" s="1"/>
      <c r="B1165" s="13">
        <v>44026</v>
      </c>
      <c r="C1165" s="14">
        <v>124.49</v>
      </c>
      <c r="D1165" s="15">
        <v>236450</v>
      </c>
      <c r="E1165" s="14">
        <v>122.34</v>
      </c>
      <c r="F1165" s="14">
        <v>124.84</v>
      </c>
      <c r="G1165" s="16">
        <v>121.06</v>
      </c>
      <c r="H1165" s="69">
        <f t="shared" si="33"/>
        <v>1.5664518234478342E-2</v>
      </c>
      <c r="O1165" s="1319"/>
      <c r="P1165" s="1319"/>
      <c r="Q1165" s="35">
        <v>44019</v>
      </c>
      <c r="R1165" s="36">
        <v>6.5000000000000006E-3</v>
      </c>
      <c r="S1165" s="37">
        <v>2.8999999999999998E-3</v>
      </c>
    </row>
    <row r="1166" spans="1:19" x14ac:dyDescent="0.2">
      <c r="A1166" s="1"/>
      <c r="B1166" s="13">
        <v>44025</v>
      </c>
      <c r="C1166" s="14">
        <v>122.57</v>
      </c>
      <c r="D1166" s="15">
        <v>296076</v>
      </c>
      <c r="E1166" s="14">
        <v>125.86</v>
      </c>
      <c r="F1166" s="14">
        <v>128.47</v>
      </c>
      <c r="G1166" s="16">
        <v>122.26</v>
      </c>
      <c r="H1166" s="69">
        <f t="shared" si="33"/>
        <v>-1.7474949899799697E-2</v>
      </c>
      <c r="O1166" s="1319"/>
      <c r="P1166" s="1319"/>
      <c r="Q1166" s="35">
        <v>44020</v>
      </c>
      <c r="R1166" s="36">
        <v>6.7000000000000002E-3</v>
      </c>
      <c r="S1166" s="37">
        <v>3.0000000000000001E-3</v>
      </c>
    </row>
    <row r="1167" spans="1:19" x14ac:dyDescent="0.2">
      <c r="A1167" s="1"/>
      <c r="B1167" s="13">
        <v>44022</v>
      </c>
      <c r="C1167" s="14">
        <v>124.75</v>
      </c>
      <c r="D1167" s="15">
        <v>213851</v>
      </c>
      <c r="E1167" s="14">
        <v>122.73</v>
      </c>
      <c r="F1167" s="14">
        <v>124.77</v>
      </c>
      <c r="G1167" s="16">
        <v>121.13</v>
      </c>
      <c r="H1167" s="69">
        <f t="shared" si="33"/>
        <v>1.8201110022853406E-2</v>
      </c>
      <c r="O1167" s="1319"/>
      <c r="P1167" s="1319"/>
      <c r="Q1167" s="35">
        <v>44021</v>
      </c>
      <c r="R1167" s="36">
        <v>6.1999999999999998E-3</v>
      </c>
      <c r="S1167" s="37">
        <v>2.8000000000000004E-3</v>
      </c>
    </row>
    <row r="1168" spans="1:19" x14ac:dyDescent="0.2">
      <c r="A1168" s="1"/>
      <c r="B1168" s="13">
        <v>44021</v>
      </c>
      <c r="C1168" s="14">
        <v>122.52</v>
      </c>
      <c r="D1168" s="15">
        <v>232601</v>
      </c>
      <c r="E1168" s="14">
        <v>122.02</v>
      </c>
      <c r="F1168" s="14">
        <v>123.57</v>
      </c>
      <c r="G1168" s="16">
        <v>121.34</v>
      </c>
      <c r="H1168" s="69">
        <f t="shared" si="33"/>
        <v>1.8807752064762262E-3</v>
      </c>
      <c r="O1168" s="1319"/>
      <c r="P1168" s="1319"/>
      <c r="Q1168" s="35">
        <v>44022</v>
      </c>
      <c r="R1168" s="36">
        <v>6.5000000000000006E-3</v>
      </c>
      <c r="S1168" s="37">
        <v>3.0000000000000001E-3</v>
      </c>
    </row>
    <row r="1169" spans="1:19" x14ac:dyDescent="0.2">
      <c r="A1169" s="1"/>
      <c r="B1169" s="13">
        <v>44020</v>
      </c>
      <c r="C1169" s="14">
        <v>122.29</v>
      </c>
      <c r="D1169" s="15">
        <v>343831</v>
      </c>
      <c r="E1169" s="14">
        <v>119.01</v>
      </c>
      <c r="F1169" s="14">
        <v>122.38</v>
      </c>
      <c r="G1169" s="16">
        <v>118.66</v>
      </c>
      <c r="H1169" s="69">
        <f t="shared" si="33"/>
        <v>3.0765340525960916E-2</v>
      </c>
      <c r="O1169" s="1319"/>
      <c r="P1169" s="1319"/>
      <c r="Q1169" s="35">
        <v>44025</v>
      </c>
      <c r="R1169" s="36">
        <v>6.4000000000000003E-3</v>
      </c>
      <c r="S1169" s="37">
        <v>3.0000000000000001E-3</v>
      </c>
    </row>
    <row r="1170" spans="1:19" x14ac:dyDescent="0.2">
      <c r="A1170" s="1"/>
      <c r="B1170" s="13">
        <v>44019</v>
      </c>
      <c r="C1170" s="14">
        <v>118.64</v>
      </c>
      <c r="D1170" s="15">
        <v>388796</v>
      </c>
      <c r="E1170" s="14">
        <v>116.8</v>
      </c>
      <c r="F1170" s="14">
        <v>120.73</v>
      </c>
      <c r="G1170" s="16">
        <v>115.745</v>
      </c>
      <c r="H1170" s="69">
        <f t="shared" si="33"/>
        <v>9.6162028763508989E-3</v>
      </c>
      <c r="O1170" s="1319"/>
      <c r="P1170" s="1319"/>
      <c r="Q1170" s="35">
        <v>44026</v>
      </c>
      <c r="R1170" s="36">
        <v>6.3E-3</v>
      </c>
      <c r="S1170" s="37">
        <v>2.8000000000000004E-3</v>
      </c>
    </row>
    <row r="1171" spans="1:19" x14ac:dyDescent="0.2">
      <c r="A1171" s="1"/>
      <c r="B1171" s="13">
        <v>44018</v>
      </c>
      <c r="C1171" s="14">
        <v>117.51</v>
      </c>
      <c r="D1171" s="15">
        <v>315881</v>
      </c>
      <c r="E1171" s="14">
        <v>115.38</v>
      </c>
      <c r="F1171" s="14">
        <v>119.125</v>
      </c>
      <c r="G1171" s="16">
        <v>114.74</v>
      </c>
      <c r="H1171" s="69">
        <f t="shared" si="33"/>
        <v>4.5648691938067421E-2</v>
      </c>
      <c r="O1171" s="1319"/>
      <c r="P1171" s="1319"/>
      <c r="Q1171" s="35">
        <v>44027</v>
      </c>
      <c r="R1171" s="36">
        <v>6.4000000000000003E-3</v>
      </c>
      <c r="S1171" s="37">
        <v>2.8000000000000004E-3</v>
      </c>
    </row>
    <row r="1172" spans="1:19" x14ac:dyDescent="0.2">
      <c r="A1172" s="1"/>
      <c r="B1172" s="13">
        <v>44014</v>
      </c>
      <c r="C1172" s="14">
        <v>112.38</v>
      </c>
      <c r="D1172" s="15">
        <v>236112</v>
      </c>
      <c r="E1172" s="14">
        <v>112.23</v>
      </c>
      <c r="F1172" s="14">
        <v>113.16</v>
      </c>
      <c r="G1172" s="16">
        <v>111.30500000000001</v>
      </c>
      <c r="H1172" s="69">
        <f t="shared" si="33"/>
        <v>1.9412191582002913E-2</v>
      </c>
      <c r="O1172" s="1319"/>
      <c r="P1172" s="1319"/>
      <c r="Q1172" s="35">
        <v>44028</v>
      </c>
      <c r="R1172" s="36">
        <v>6.1999999999999998E-3</v>
      </c>
      <c r="S1172" s="37">
        <v>2.8000000000000004E-3</v>
      </c>
    </row>
    <row r="1173" spans="1:19" x14ac:dyDescent="0.2">
      <c r="A1173" s="1"/>
      <c r="B1173" s="13">
        <v>44013</v>
      </c>
      <c r="C1173" s="14">
        <v>110.24</v>
      </c>
      <c r="D1173" s="15">
        <v>602067</v>
      </c>
      <c r="E1173" s="14">
        <v>112</v>
      </c>
      <c r="F1173" s="14">
        <v>113.13</v>
      </c>
      <c r="G1173" s="16">
        <v>109.02</v>
      </c>
      <c r="H1173" s="69">
        <f t="shared" si="33"/>
        <v>-8.4547580500090591E-3</v>
      </c>
      <c r="O1173" s="1319"/>
      <c r="P1173" s="1319"/>
      <c r="Q1173" s="35">
        <v>44029</v>
      </c>
      <c r="R1173" s="36">
        <v>6.4000000000000003E-3</v>
      </c>
      <c r="S1173" s="37">
        <v>2.8999999999999998E-3</v>
      </c>
    </row>
    <row r="1174" spans="1:19" x14ac:dyDescent="0.2">
      <c r="A1174" s="1"/>
      <c r="B1174" s="13">
        <v>44012</v>
      </c>
      <c r="C1174" s="14">
        <v>111.18</v>
      </c>
      <c r="D1174" s="15">
        <v>315550</v>
      </c>
      <c r="E1174" s="14">
        <v>109.12</v>
      </c>
      <c r="F1174" s="14">
        <v>111.89</v>
      </c>
      <c r="G1174" s="16">
        <v>106.815</v>
      </c>
      <c r="H1174" s="69">
        <f t="shared" si="33"/>
        <v>2.0374449339207068E-2</v>
      </c>
      <c r="O1174" s="1319"/>
      <c r="P1174" s="1319"/>
      <c r="Q1174" s="35">
        <v>44032</v>
      </c>
      <c r="R1174" s="36">
        <v>6.1999999999999998E-3</v>
      </c>
      <c r="S1174" s="37">
        <v>2.8999999999999998E-3</v>
      </c>
    </row>
    <row r="1175" spans="1:19" x14ac:dyDescent="0.2">
      <c r="A1175" s="1"/>
      <c r="B1175" s="13">
        <v>44011</v>
      </c>
      <c r="C1175" s="14">
        <v>108.96</v>
      </c>
      <c r="D1175" s="15">
        <v>544050</v>
      </c>
      <c r="E1175" s="14">
        <v>105.23</v>
      </c>
      <c r="F1175" s="14">
        <v>109.15</v>
      </c>
      <c r="G1175" s="16">
        <v>104.89</v>
      </c>
      <c r="H1175" s="69">
        <f t="shared" si="33"/>
        <v>4.8700673724735299E-2</v>
      </c>
      <c r="O1175" s="1319"/>
      <c r="P1175" s="1319"/>
      <c r="Q1175" s="35">
        <v>44033</v>
      </c>
      <c r="R1175" s="36">
        <v>6.0999999999999995E-3</v>
      </c>
      <c r="S1175" s="37">
        <v>2.7000000000000001E-3</v>
      </c>
    </row>
    <row r="1176" spans="1:19" x14ac:dyDescent="0.2">
      <c r="A1176" s="1"/>
      <c r="B1176" s="13">
        <v>44008</v>
      </c>
      <c r="C1176" s="14">
        <v>103.9</v>
      </c>
      <c r="D1176" s="15">
        <v>798638</v>
      </c>
      <c r="E1176" s="14">
        <v>107.05</v>
      </c>
      <c r="F1176" s="14">
        <v>108.69</v>
      </c>
      <c r="G1176" s="16">
        <v>103.29</v>
      </c>
      <c r="H1176" s="69">
        <f t="shared" si="33"/>
        <v>-3.2318152184036553E-2</v>
      </c>
      <c r="O1176" s="1319"/>
      <c r="P1176" s="1319"/>
      <c r="Q1176" s="35">
        <v>44034</v>
      </c>
      <c r="R1176" s="36">
        <v>6.0000000000000001E-3</v>
      </c>
      <c r="S1176" s="37">
        <v>2.7000000000000001E-3</v>
      </c>
    </row>
    <row r="1177" spans="1:19" x14ac:dyDescent="0.2">
      <c r="A1177" s="1"/>
      <c r="B1177" s="13">
        <v>44007</v>
      </c>
      <c r="C1177" s="14">
        <v>107.37</v>
      </c>
      <c r="D1177" s="15">
        <v>233382</v>
      </c>
      <c r="E1177" s="14">
        <v>105.82</v>
      </c>
      <c r="F1177" s="14">
        <v>108.05</v>
      </c>
      <c r="G1177" s="16">
        <v>104.5</v>
      </c>
      <c r="H1177" s="69">
        <f t="shared" si="33"/>
        <v>1.397676834450845E-2</v>
      </c>
      <c r="O1177" s="1319"/>
      <c r="P1177" s="1319"/>
      <c r="Q1177" s="35">
        <v>44035</v>
      </c>
      <c r="R1177" s="36">
        <v>5.8999999999999999E-3</v>
      </c>
      <c r="S1177" s="37">
        <v>2.7000000000000001E-3</v>
      </c>
    </row>
    <row r="1178" spans="1:19" x14ac:dyDescent="0.2">
      <c r="A1178" s="1"/>
      <c r="B1178" s="13">
        <v>44006</v>
      </c>
      <c r="C1178" s="14">
        <v>105.89</v>
      </c>
      <c r="D1178" s="15">
        <v>164486</v>
      </c>
      <c r="E1178" s="14">
        <v>107.77</v>
      </c>
      <c r="F1178" s="14">
        <v>109.21</v>
      </c>
      <c r="G1178" s="16">
        <v>105.33</v>
      </c>
      <c r="H1178" s="69">
        <f t="shared" si="33"/>
        <v>-2.7818582445831797E-2</v>
      </c>
      <c r="O1178" s="1319"/>
      <c r="P1178" s="1319"/>
      <c r="Q1178" s="35">
        <v>44036</v>
      </c>
      <c r="R1178" s="36">
        <v>5.8999999999999999E-3</v>
      </c>
      <c r="S1178" s="37">
        <v>2.7000000000000001E-3</v>
      </c>
    </row>
    <row r="1179" spans="1:19" x14ac:dyDescent="0.2">
      <c r="A1179" s="1"/>
      <c r="B1179" s="13">
        <v>44005</v>
      </c>
      <c r="C1179" s="14">
        <v>108.92</v>
      </c>
      <c r="D1179" s="15">
        <v>161159</v>
      </c>
      <c r="E1179" s="14">
        <v>109.31</v>
      </c>
      <c r="F1179" s="14">
        <v>111.035</v>
      </c>
      <c r="G1179" s="16">
        <v>108.5</v>
      </c>
      <c r="H1179" s="69">
        <f t="shared" si="33"/>
        <v>8.4251458198314477E-3</v>
      </c>
      <c r="O1179" s="1319"/>
      <c r="P1179" s="1319"/>
      <c r="Q1179" s="35">
        <v>44039</v>
      </c>
      <c r="R1179" s="36">
        <v>6.1999999999999998E-3</v>
      </c>
      <c r="S1179" s="37">
        <v>3.0000000000000001E-3</v>
      </c>
    </row>
    <row r="1180" spans="1:19" x14ac:dyDescent="0.2">
      <c r="A1180" s="1"/>
      <c r="B1180" s="13">
        <v>44004</v>
      </c>
      <c r="C1180" s="14">
        <v>108.01</v>
      </c>
      <c r="D1180" s="15">
        <v>251667</v>
      </c>
      <c r="E1180" s="14">
        <v>106.89</v>
      </c>
      <c r="F1180" s="14">
        <v>108.72</v>
      </c>
      <c r="G1180" s="16">
        <v>106.15</v>
      </c>
      <c r="H1180" s="69">
        <f t="shared" si="33"/>
        <v>2.0874889826971721E-3</v>
      </c>
      <c r="O1180" s="1319"/>
      <c r="P1180" s="1319"/>
      <c r="Q1180" s="35">
        <v>44040</v>
      </c>
      <c r="R1180" s="36">
        <v>5.8999999999999999E-3</v>
      </c>
      <c r="S1180" s="37">
        <v>2.5999999999999999E-3</v>
      </c>
    </row>
    <row r="1181" spans="1:19" x14ac:dyDescent="0.2">
      <c r="A1181" s="1"/>
      <c r="B1181" s="13">
        <v>44001</v>
      </c>
      <c r="C1181" s="14">
        <v>107.785</v>
      </c>
      <c r="D1181" s="15">
        <v>286781</v>
      </c>
      <c r="E1181" s="14">
        <v>112.58</v>
      </c>
      <c r="F1181" s="14">
        <v>112.79</v>
      </c>
      <c r="G1181" s="16">
        <v>107.58</v>
      </c>
      <c r="H1181" s="69">
        <f t="shared" si="33"/>
        <v>-2.747451051159433E-2</v>
      </c>
      <c r="O1181" s="1319"/>
      <c r="P1181" s="1319"/>
      <c r="Q1181" s="35">
        <v>44041</v>
      </c>
      <c r="R1181" s="36">
        <v>5.7999999999999996E-3</v>
      </c>
      <c r="S1181" s="37">
        <v>2.5000000000000001E-3</v>
      </c>
    </row>
    <row r="1182" spans="1:19" x14ac:dyDescent="0.2">
      <c r="A1182" s="1"/>
      <c r="B1182" s="13">
        <v>44000</v>
      </c>
      <c r="C1182" s="14">
        <v>110.83</v>
      </c>
      <c r="D1182" s="15">
        <v>225414</v>
      </c>
      <c r="E1182" s="14">
        <v>110.1</v>
      </c>
      <c r="F1182" s="14">
        <v>111.29</v>
      </c>
      <c r="G1182" s="16">
        <v>109.26</v>
      </c>
      <c r="H1182" s="69">
        <f t="shared" si="33"/>
        <v>-9.4735901331665096E-3</v>
      </c>
      <c r="O1182" s="1319"/>
      <c r="P1182" s="1319"/>
      <c r="Q1182" s="35">
        <v>44042</v>
      </c>
      <c r="R1182" s="36">
        <v>5.5000000000000005E-3</v>
      </c>
      <c r="S1182" s="37">
        <v>2.3E-3</v>
      </c>
    </row>
    <row r="1183" spans="1:19" x14ac:dyDescent="0.2">
      <c r="A1183" s="1"/>
      <c r="B1183" s="13">
        <v>43999</v>
      </c>
      <c r="C1183" s="14">
        <v>111.89</v>
      </c>
      <c r="D1183" s="15">
        <v>249668</v>
      </c>
      <c r="E1183" s="14">
        <v>115.37</v>
      </c>
      <c r="F1183" s="14">
        <v>116.19499999999999</v>
      </c>
      <c r="G1183" s="16">
        <v>111.46</v>
      </c>
      <c r="H1183" s="69">
        <f t="shared" si="33"/>
        <v>-1.0960841509767505E-2</v>
      </c>
      <c r="O1183" s="1319"/>
      <c r="P1183" s="1319"/>
      <c r="Q1183" s="35">
        <v>44043</v>
      </c>
      <c r="R1183" s="36">
        <v>5.5000000000000005E-3</v>
      </c>
      <c r="S1183" s="37">
        <v>2.0999999999999999E-3</v>
      </c>
    </row>
    <row r="1184" spans="1:19" x14ac:dyDescent="0.2">
      <c r="A1184" s="1"/>
      <c r="B1184" s="13">
        <v>43998</v>
      </c>
      <c r="C1184" s="14">
        <v>113.13</v>
      </c>
      <c r="D1184" s="15">
        <v>330278</v>
      </c>
      <c r="E1184" s="14">
        <v>114.16</v>
      </c>
      <c r="F1184" s="14">
        <v>114.65</v>
      </c>
      <c r="G1184" s="16">
        <v>110</v>
      </c>
      <c r="H1184" s="69">
        <f t="shared" si="33"/>
        <v>3.8842975206611507E-2</v>
      </c>
      <c r="O1184" s="1319"/>
      <c r="P1184" s="1319"/>
      <c r="Q1184" s="35">
        <v>44046</v>
      </c>
      <c r="R1184" s="36">
        <v>5.6000000000000008E-3</v>
      </c>
      <c r="S1184" s="37">
        <v>2.2000000000000001E-3</v>
      </c>
    </row>
    <row r="1185" spans="1:19" x14ac:dyDescent="0.2">
      <c r="A1185" s="1"/>
      <c r="B1185" s="13">
        <v>43997</v>
      </c>
      <c r="C1185" s="14">
        <v>108.9</v>
      </c>
      <c r="D1185" s="15">
        <v>184641</v>
      </c>
      <c r="E1185" s="14">
        <v>102.02</v>
      </c>
      <c r="F1185" s="14">
        <v>109.57</v>
      </c>
      <c r="G1185" s="16">
        <v>100.39</v>
      </c>
      <c r="H1185" s="69">
        <f t="shared" si="33"/>
        <v>3.8032599370889431E-2</v>
      </c>
      <c r="O1185" s="1319"/>
      <c r="P1185" s="1319"/>
      <c r="Q1185" s="35">
        <v>44047</v>
      </c>
      <c r="R1185" s="36">
        <v>5.1999999999999998E-3</v>
      </c>
      <c r="S1185" s="37">
        <v>1.9E-3</v>
      </c>
    </row>
    <row r="1186" spans="1:19" x14ac:dyDescent="0.2">
      <c r="A1186" s="1"/>
      <c r="B1186" s="13">
        <v>43994</v>
      </c>
      <c r="C1186" s="14">
        <v>104.91</v>
      </c>
      <c r="D1186" s="15">
        <v>216658</v>
      </c>
      <c r="E1186" s="14">
        <v>108.89</v>
      </c>
      <c r="F1186" s="14">
        <v>109.16</v>
      </c>
      <c r="G1186" s="16">
        <v>103.32</v>
      </c>
      <c r="H1186" s="69">
        <f t="shared" si="33"/>
        <v>-5.7159188339528377E-4</v>
      </c>
      <c r="O1186" s="1319"/>
      <c r="P1186" s="1319"/>
      <c r="Q1186" s="35">
        <v>44048</v>
      </c>
      <c r="R1186" s="36">
        <v>5.5000000000000005E-3</v>
      </c>
      <c r="S1186" s="37">
        <v>2.2000000000000001E-3</v>
      </c>
    </row>
    <row r="1187" spans="1:19" x14ac:dyDescent="0.2">
      <c r="A1187" s="1"/>
      <c r="B1187" s="13">
        <v>43993</v>
      </c>
      <c r="C1187" s="14">
        <v>104.97</v>
      </c>
      <c r="D1187" s="15">
        <v>333730</v>
      </c>
      <c r="E1187" s="14">
        <v>109.38</v>
      </c>
      <c r="F1187" s="14">
        <v>109.3832</v>
      </c>
      <c r="G1187" s="16">
        <v>104.05</v>
      </c>
      <c r="H1187" s="69">
        <f t="shared" si="33"/>
        <v>-7.0733002832861103E-2</v>
      </c>
      <c r="O1187" s="1319"/>
      <c r="P1187" s="1319"/>
      <c r="Q1187" s="35">
        <v>44049</v>
      </c>
      <c r="R1187" s="36">
        <v>5.5000000000000005E-3</v>
      </c>
      <c r="S1187" s="37">
        <v>2.0999999999999999E-3</v>
      </c>
    </row>
    <row r="1188" spans="1:19" x14ac:dyDescent="0.2">
      <c r="A1188" s="1"/>
      <c r="B1188" s="13">
        <v>43992</v>
      </c>
      <c r="C1188" s="14">
        <v>112.96</v>
      </c>
      <c r="D1188" s="15">
        <v>265509</v>
      </c>
      <c r="E1188" s="14">
        <v>113.42</v>
      </c>
      <c r="F1188" s="14">
        <v>114.59</v>
      </c>
      <c r="G1188" s="16">
        <v>111.23</v>
      </c>
      <c r="H1188" s="69">
        <f t="shared" si="33"/>
        <v>-2.1201413427562876E-3</v>
      </c>
      <c r="O1188" s="1319"/>
      <c r="P1188" s="1319"/>
      <c r="Q1188" s="35">
        <v>44050</v>
      </c>
      <c r="R1188" s="36">
        <v>5.6999999999999993E-3</v>
      </c>
      <c r="S1188" s="37">
        <v>2.3E-3</v>
      </c>
    </row>
    <row r="1189" spans="1:19" x14ac:dyDescent="0.2">
      <c r="A1189" s="1"/>
      <c r="B1189" s="13">
        <v>43991</v>
      </c>
      <c r="C1189" s="14">
        <v>113.2</v>
      </c>
      <c r="D1189" s="15">
        <v>189097</v>
      </c>
      <c r="E1189" s="14">
        <v>113.32</v>
      </c>
      <c r="F1189" s="14">
        <v>114.63</v>
      </c>
      <c r="G1189" s="16">
        <v>112.01</v>
      </c>
      <c r="H1189" s="69">
        <f t="shared" si="33"/>
        <v>-1.0056843025797901E-2</v>
      </c>
      <c r="O1189" s="1319"/>
      <c r="P1189" s="1319"/>
      <c r="Q1189" s="35">
        <v>44053</v>
      </c>
      <c r="R1189" s="36">
        <v>5.8999999999999999E-3</v>
      </c>
      <c r="S1189" s="37">
        <v>2.3999999999999998E-3</v>
      </c>
    </row>
    <row r="1190" spans="1:19" x14ac:dyDescent="0.2">
      <c r="A1190" s="1"/>
      <c r="B1190" s="13">
        <v>43990</v>
      </c>
      <c r="C1190" s="14">
        <v>114.35</v>
      </c>
      <c r="D1190" s="15">
        <v>169648</v>
      </c>
      <c r="E1190" s="14">
        <v>116.63</v>
      </c>
      <c r="F1190" s="14">
        <v>118.21</v>
      </c>
      <c r="G1190" s="16">
        <v>114.06</v>
      </c>
      <c r="H1190" s="69">
        <f t="shared" si="33"/>
        <v>-1.6344086021505388E-2</v>
      </c>
      <c r="O1190" s="1319"/>
      <c r="P1190" s="1319"/>
      <c r="Q1190" s="35">
        <v>44054</v>
      </c>
      <c r="R1190" s="36">
        <v>6.4000000000000003E-3</v>
      </c>
      <c r="S1190" s="37">
        <v>2.7000000000000001E-3</v>
      </c>
    </row>
    <row r="1191" spans="1:19" x14ac:dyDescent="0.2">
      <c r="A1191" s="1"/>
      <c r="B1191" s="13">
        <v>43987</v>
      </c>
      <c r="C1191" s="14">
        <v>116.25</v>
      </c>
      <c r="D1191" s="15">
        <v>283685</v>
      </c>
      <c r="E1191" s="14">
        <v>116.59</v>
      </c>
      <c r="F1191" s="14">
        <v>119.29</v>
      </c>
      <c r="G1191" s="16">
        <v>114.15</v>
      </c>
      <c r="H1191" s="69">
        <f t="shared" si="33"/>
        <v>3.7298117248148577E-2</v>
      </c>
      <c r="O1191" s="1319"/>
      <c r="P1191" s="1319"/>
      <c r="Q1191" s="35">
        <v>44055</v>
      </c>
      <c r="R1191" s="36">
        <v>6.8999999999999999E-3</v>
      </c>
      <c r="S1191" s="37">
        <v>3.0000000000000001E-3</v>
      </c>
    </row>
    <row r="1192" spans="1:19" x14ac:dyDescent="0.2">
      <c r="A1192" s="1"/>
      <c r="B1192" s="13">
        <v>43986</v>
      </c>
      <c r="C1192" s="14">
        <v>112.07</v>
      </c>
      <c r="D1192" s="15">
        <v>230980</v>
      </c>
      <c r="E1192" s="14">
        <v>110.26</v>
      </c>
      <c r="F1192" s="14">
        <v>113.19</v>
      </c>
      <c r="G1192" s="16">
        <v>109.84</v>
      </c>
      <c r="H1192" s="69">
        <f t="shared" ref="H1192:H1255" si="34">C1192/C1193-1</f>
        <v>5.3826141562751673E-3</v>
      </c>
      <c r="O1192" s="1319"/>
      <c r="P1192" s="1319"/>
      <c r="Q1192" s="35">
        <v>44056</v>
      </c>
      <c r="R1192" s="36">
        <v>7.0999999999999995E-3</v>
      </c>
      <c r="S1192" s="37">
        <v>3.2000000000000002E-3</v>
      </c>
    </row>
    <row r="1193" spans="1:19" x14ac:dyDescent="0.2">
      <c r="A1193" s="1"/>
      <c r="B1193" s="13">
        <v>43985</v>
      </c>
      <c r="C1193" s="14">
        <v>111.47</v>
      </c>
      <c r="D1193" s="15">
        <v>326225</v>
      </c>
      <c r="E1193" s="14">
        <v>111.64</v>
      </c>
      <c r="F1193" s="14">
        <v>113.245</v>
      </c>
      <c r="G1193" s="16">
        <v>110.34</v>
      </c>
      <c r="H1193" s="69">
        <f t="shared" si="34"/>
        <v>2.0320366132723144E-2</v>
      </c>
      <c r="O1193" s="1319"/>
      <c r="P1193" s="1319"/>
      <c r="Q1193" s="35">
        <v>44057</v>
      </c>
      <c r="R1193" s="36">
        <v>7.0999999999999995E-3</v>
      </c>
      <c r="S1193" s="37">
        <v>2.8999999999999998E-3</v>
      </c>
    </row>
    <row r="1194" spans="1:19" x14ac:dyDescent="0.2">
      <c r="A1194" s="1"/>
      <c r="B1194" s="13">
        <v>43984</v>
      </c>
      <c r="C1194" s="14">
        <v>109.25</v>
      </c>
      <c r="D1194" s="15">
        <v>295557</v>
      </c>
      <c r="E1194" s="14">
        <v>111.9</v>
      </c>
      <c r="F1194" s="14">
        <v>112.61</v>
      </c>
      <c r="G1194" s="16">
        <v>108.71</v>
      </c>
      <c r="H1194" s="69">
        <f t="shared" si="34"/>
        <v>-2.2371364653243853E-2</v>
      </c>
      <c r="O1194" s="1319"/>
      <c r="P1194" s="1319"/>
      <c r="Q1194" s="35">
        <v>44060</v>
      </c>
      <c r="R1194" s="36">
        <v>6.8999999999999999E-3</v>
      </c>
      <c r="S1194" s="37">
        <v>2.8999999999999998E-3</v>
      </c>
    </row>
    <row r="1195" spans="1:19" x14ac:dyDescent="0.2">
      <c r="A1195" s="1"/>
      <c r="B1195" s="13">
        <v>43983</v>
      </c>
      <c r="C1195" s="14">
        <v>111.75</v>
      </c>
      <c r="D1195" s="15">
        <v>297296</v>
      </c>
      <c r="E1195" s="14">
        <v>107.97</v>
      </c>
      <c r="F1195" s="14">
        <v>112.45</v>
      </c>
      <c r="G1195" s="16">
        <v>107.6802</v>
      </c>
      <c r="H1195" s="69">
        <f t="shared" si="34"/>
        <v>3.052379195868693E-2</v>
      </c>
      <c r="O1195" s="1319"/>
      <c r="P1195" s="1319"/>
      <c r="Q1195" s="35">
        <v>44061</v>
      </c>
      <c r="R1195" s="36">
        <v>6.7000000000000002E-3</v>
      </c>
      <c r="S1195" s="37">
        <v>2.7000000000000001E-3</v>
      </c>
    </row>
    <row r="1196" spans="1:19" x14ac:dyDescent="0.2">
      <c r="A1196" s="1"/>
      <c r="B1196" s="13">
        <v>43980</v>
      </c>
      <c r="C1196" s="14">
        <v>108.44</v>
      </c>
      <c r="D1196" s="15">
        <v>276388</v>
      </c>
      <c r="E1196" s="14">
        <v>109.06</v>
      </c>
      <c r="F1196" s="14">
        <v>109.96</v>
      </c>
      <c r="G1196" s="16">
        <v>107.51</v>
      </c>
      <c r="H1196" s="69">
        <f t="shared" si="34"/>
        <v>-1.0222709017889797E-2</v>
      </c>
      <c r="O1196" s="1319"/>
      <c r="P1196" s="1319"/>
      <c r="Q1196" s="35">
        <v>44062</v>
      </c>
      <c r="R1196" s="36">
        <v>6.8000000000000005E-3</v>
      </c>
      <c r="S1196" s="37">
        <v>2.8999999999999998E-3</v>
      </c>
    </row>
    <row r="1197" spans="1:19" x14ac:dyDescent="0.2">
      <c r="A1197" s="1"/>
      <c r="B1197" s="13">
        <v>43979</v>
      </c>
      <c r="C1197" s="14">
        <v>109.56</v>
      </c>
      <c r="D1197" s="15">
        <v>260121</v>
      </c>
      <c r="E1197" s="14">
        <v>113.06</v>
      </c>
      <c r="F1197" s="14">
        <v>113.06</v>
      </c>
      <c r="G1197" s="16">
        <v>109.28</v>
      </c>
      <c r="H1197" s="69">
        <f t="shared" si="34"/>
        <v>-1.6163793103448287E-2</v>
      </c>
      <c r="O1197" s="1319"/>
      <c r="P1197" s="1319"/>
      <c r="Q1197" s="35">
        <v>44063</v>
      </c>
      <c r="R1197" s="36">
        <v>6.5000000000000006E-3</v>
      </c>
      <c r="S1197" s="37">
        <v>2.5999999999999999E-3</v>
      </c>
    </row>
    <row r="1198" spans="1:19" x14ac:dyDescent="0.2">
      <c r="A1198" s="1"/>
      <c r="B1198" s="13">
        <v>43978</v>
      </c>
      <c r="C1198" s="14">
        <v>111.36</v>
      </c>
      <c r="D1198" s="15">
        <v>295898</v>
      </c>
      <c r="E1198" s="14">
        <v>113.89</v>
      </c>
      <c r="F1198" s="14">
        <v>113.92</v>
      </c>
      <c r="G1198" s="16">
        <v>108.19</v>
      </c>
      <c r="H1198" s="69">
        <f t="shared" si="34"/>
        <v>1.1811739051426517E-2</v>
      </c>
      <c r="O1198" s="1319"/>
      <c r="P1198" s="1319"/>
      <c r="Q1198" s="35">
        <v>44064</v>
      </c>
      <c r="R1198" s="36">
        <v>6.4000000000000003E-3</v>
      </c>
      <c r="S1198" s="37">
        <v>2.7000000000000001E-3</v>
      </c>
    </row>
    <row r="1199" spans="1:19" x14ac:dyDescent="0.2">
      <c r="A1199" s="1"/>
      <c r="B1199" s="13">
        <v>43977</v>
      </c>
      <c r="C1199" s="14">
        <v>110.06</v>
      </c>
      <c r="D1199" s="15">
        <v>232135</v>
      </c>
      <c r="E1199" s="14">
        <v>105.96</v>
      </c>
      <c r="F1199" s="14">
        <v>110.86</v>
      </c>
      <c r="G1199" s="16">
        <v>105.78</v>
      </c>
      <c r="H1199" s="69">
        <f t="shared" si="34"/>
        <v>6.4307126970312378E-2</v>
      </c>
      <c r="O1199" s="1319"/>
      <c r="P1199" s="1319"/>
      <c r="Q1199" s="35">
        <v>44067</v>
      </c>
      <c r="R1199" s="36">
        <v>6.5000000000000006E-3</v>
      </c>
      <c r="S1199" s="37">
        <v>2.8000000000000004E-3</v>
      </c>
    </row>
    <row r="1200" spans="1:19" x14ac:dyDescent="0.2">
      <c r="A1200" s="1"/>
      <c r="B1200" s="13">
        <v>43973</v>
      </c>
      <c r="C1200" s="14">
        <v>103.41</v>
      </c>
      <c r="D1200" s="15">
        <v>177853</v>
      </c>
      <c r="E1200" s="14">
        <v>103.08</v>
      </c>
      <c r="F1200" s="14">
        <v>103.8</v>
      </c>
      <c r="G1200" s="16">
        <v>100.85</v>
      </c>
      <c r="H1200" s="69">
        <f t="shared" si="34"/>
        <v>4.2730892492959249E-3</v>
      </c>
      <c r="O1200" s="1319"/>
      <c r="P1200" s="1319"/>
      <c r="Q1200" s="35">
        <v>44068</v>
      </c>
      <c r="R1200" s="36">
        <v>6.8999999999999999E-3</v>
      </c>
      <c r="S1200" s="37">
        <v>3.0000000000000001E-3</v>
      </c>
    </row>
    <row r="1201" spans="1:19" x14ac:dyDescent="0.2">
      <c r="A1201" s="1"/>
      <c r="B1201" s="13">
        <v>43972</v>
      </c>
      <c r="C1201" s="14">
        <v>102.97</v>
      </c>
      <c r="D1201" s="15">
        <v>214859</v>
      </c>
      <c r="E1201" s="14">
        <v>104.18</v>
      </c>
      <c r="F1201" s="14">
        <v>105.23</v>
      </c>
      <c r="G1201" s="16">
        <v>102.11</v>
      </c>
      <c r="H1201" s="69">
        <f t="shared" si="34"/>
        <v>-1.482969766551856E-2</v>
      </c>
      <c r="O1201" s="1319"/>
      <c r="P1201" s="1319"/>
      <c r="Q1201" s="35">
        <v>44069</v>
      </c>
      <c r="R1201" s="36">
        <v>6.8999999999999999E-3</v>
      </c>
      <c r="S1201" s="37">
        <v>2.8000000000000004E-3</v>
      </c>
    </row>
    <row r="1202" spans="1:19" x14ac:dyDescent="0.2">
      <c r="A1202" s="1"/>
      <c r="B1202" s="13">
        <v>43971</v>
      </c>
      <c r="C1202" s="14">
        <v>104.52</v>
      </c>
      <c r="D1202" s="15">
        <v>404067</v>
      </c>
      <c r="E1202" s="14">
        <v>104.07</v>
      </c>
      <c r="F1202" s="14">
        <v>107.785</v>
      </c>
      <c r="G1202" s="16">
        <v>103.7</v>
      </c>
      <c r="H1202" s="69">
        <f t="shared" si="34"/>
        <v>2.7324552781600175E-2</v>
      </c>
      <c r="O1202" s="1319"/>
      <c r="P1202" s="1319"/>
      <c r="Q1202" s="35">
        <v>44070</v>
      </c>
      <c r="R1202" s="36">
        <v>7.4000000000000003E-3</v>
      </c>
      <c r="S1202" s="37">
        <v>3.0999999999999999E-3</v>
      </c>
    </row>
    <row r="1203" spans="1:19" x14ac:dyDescent="0.2">
      <c r="A1203" s="1"/>
      <c r="B1203" s="13">
        <v>43970</v>
      </c>
      <c r="C1203" s="14">
        <v>101.74</v>
      </c>
      <c r="D1203" s="15">
        <v>207681</v>
      </c>
      <c r="E1203" s="14">
        <v>100.88</v>
      </c>
      <c r="F1203" s="14">
        <v>103.65</v>
      </c>
      <c r="G1203" s="16">
        <v>100.14</v>
      </c>
      <c r="H1203" s="69">
        <f t="shared" si="34"/>
        <v>8.425017345623953E-3</v>
      </c>
      <c r="O1203" s="1319"/>
      <c r="P1203" s="1319"/>
      <c r="Q1203" s="35">
        <v>44071</v>
      </c>
      <c r="R1203" s="36">
        <v>7.4000000000000003E-3</v>
      </c>
      <c r="S1203" s="37">
        <v>2.8000000000000004E-3</v>
      </c>
    </row>
    <row r="1204" spans="1:19" x14ac:dyDescent="0.2">
      <c r="A1204" s="1"/>
      <c r="B1204" s="13">
        <v>43969</v>
      </c>
      <c r="C1204" s="14">
        <v>100.89</v>
      </c>
      <c r="D1204" s="15">
        <v>184077</v>
      </c>
      <c r="E1204" s="14">
        <v>100</v>
      </c>
      <c r="F1204" s="14">
        <v>101.84</v>
      </c>
      <c r="G1204" s="16">
        <v>98.76</v>
      </c>
      <c r="H1204" s="69">
        <f t="shared" si="34"/>
        <v>4.6902563038289991E-2</v>
      </c>
      <c r="O1204" s="1319"/>
      <c r="P1204" s="1319"/>
      <c r="Q1204" s="35">
        <v>44074</v>
      </c>
      <c r="R1204" s="36">
        <v>7.1999999999999998E-3</v>
      </c>
      <c r="S1204" s="37">
        <v>2.8000000000000004E-3</v>
      </c>
    </row>
    <row r="1205" spans="1:19" x14ac:dyDescent="0.2">
      <c r="A1205" s="1"/>
      <c r="B1205" s="13">
        <v>43966</v>
      </c>
      <c r="C1205" s="14">
        <v>96.37</v>
      </c>
      <c r="D1205" s="15">
        <v>162824</v>
      </c>
      <c r="E1205" s="14">
        <v>94.21</v>
      </c>
      <c r="F1205" s="14">
        <v>97.26</v>
      </c>
      <c r="G1205" s="16">
        <v>93.58</v>
      </c>
      <c r="H1205" s="69">
        <f t="shared" si="34"/>
        <v>1.7742105818988385E-2</v>
      </c>
      <c r="O1205" s="1319"/>
      <c r="P1205" s="1319"/>
      <c r="Q1205" s="35">
        <v>44075</v>
      </c>
      <c r="R1205" s="36">
        <v>6.8000000000000005E-3</v>
      </c>
      <c r="S1205" s="37">
        <v>2.5999999999999999E-3</v>
      </c>
    </row>
    <row r="1206" spans="1:19" x14ac:dyDescent="0.2">
      <c r="A1206" s="1"/>
      <c r="B1206" s="13">
        <v>43965</v>
      </c>
      <c r="C1206" s="14">
        <v>94.69</v>
      </c>
      <c r="D1206" s="15">
        <v>256124</v>
      </c>
      <c r="E1206" s="14">
        <v>91.24</v>
      </c>
      <c r="F1206" s="14">
        <v>95.11</v>
      </c>
      <c r="G1206" s="16">
        <v>89.11</v>
      </c>
      <c r="H1206" s="69">
        <f t="shared" si="34"/>
        <v>1.5006967520634573E-2</v>
      </c>
      <c r="O1206" s="1319"/>
      <c r="P1206" s="1319"/>
      <c r="Q1206" s="35">
        <v>44076</v>
      </c>
      <c r="R1206" s="36">
        <v>6.6E-3</v>
      </c>
      <c r="S1206" s="37">
        <v>2.5999999999999999E-3</v>
      </c>
    </row>
    <row r="1207" spans="1:19" x14ac:dyDescent="0.2">
      <c r="A1207" s="1"/>
      <c r="B1207" s="13">
        <v>43964</v>
      </c>
      <c r="C1207" s="14">
        <v>93.29</v>
      </c>
      <c r="D1207" s="15">
        <v>172668</v>
      </c>
      <c r="E1207" s="14">
        <v>94.68</v>
      </c>
      <c r="F1207" s="14">
        <v>95.56</v>
      </c>
      <c r="G1207" s="16">
        <v>91.61</v>
      </c>
      <c r="H1207" s="69">
        <f t="shared" si="34"/>
        <v>-2.3550345405065953E-2</v>
      </c>
      <c r="O1207" s="1319"/>
      <c r="P1207" s="1319"/>
      <c r="Q1207" s="35">
        <v>44077</v>
      </c>
      <c r="R1207" s="36">
        <v>6.3E-3</v>
      </c>
      <c r="S1207" s="37">
        <v>2.3999999999999998E-3</v>
      </c>
    </row>
    <row r="1208" spans="1:19" x14ac:dyDescent="0.2">
      <c r="A1208" s="1"/>
      <c r="B1208" s="13">
        <v>43963</v>
      </c>
      <c r="C1208" s="14">
        <v>95.54</v>
      </c>
      <c r="D1208" s="15">
        <v>248267</v>
      </c>
      <c r="E1208" s="14">
        <v>100.51</v>
      </c>
      <c r="F1208" s="14">
        <v>100.53</v>
      </c>
      <c r="G1208" s="16">
        <v>94.79</v>
      </c>
      <c r="H1208" s="69">
        <f t="shared" si="34"/>
        <v>-3.9798994974874269E-2</v>
      </c>
      <c r="O1208" s="1319"/>
      <c r="P1208" s="1319"/>
      <c r="Q1208" s="35">
        <v>44078</v>
      </c>
      <c r="R1208" s="36">
        <v>7.1999999999999998E-3</v>
      </c>
      <c r="S1208" s="37">
        <v>3.0000000000000001E-3</v>
      </c>
    </row>
    <row r="1209" spans="1:19" x14ac:dyDescent="0.2">
      <c r="A1209" s="1"/>
      <c r="B1209" s="13">
        <v>43962</v>
      </c>
      <c r="C1209" s="14">
        <v>99.5</v>
      </c>
      <c r="D1209" s="15">
        <v>226349</v>
      </c>
      <c r="E1209" s="14">
        <v>97.38</v>
      </c>
      <c r="F1209" s="14">
        <v>100.33</v>
      </c>
      <c r="G1209" s="16">
        <v>96.1</v>
      </c>
      <c r="H1209" s="69">
        <f t="shared" si="34"/>
        <v>7.2889248835796838E-3</v>
      </c>
      <c r="O1209" s="1319"/>
      <c r="P1209" s="1319"/>
      <c r="Q1209" s="35">
        <v>44082</v>
      </c>
      <c r="R1209" s="36">
        <v>6.8999999999999999E-3</v>
      </c>
      <c r="S1209" s="37">
        <v>2.8000000000000004E-3</v>
      </c>
    </row>
    <row r="1210" spans="1:19" x14ac:dyDescent="0.2">
      <c r="A1210" s="1"/>
      <c r="B1210" s="13">
        <v>43959</v>
      </c>
      <c r="C1210" s="14">
        <v>98.78</v>
      </c>
      <c r="D1210" s="15">
        <v>236528</v>
      </c>
      <c r="E1210" s="14">
        <v>95.49</v>
      </c>
      <c r="F1210" s="14">
        <v>99.46</v>
      </c>
      <c r="G1210" s="16">
        <v>93.584999999999994</v>
      </c>
      <c r="H1210" s="69">
        <f t="shared" si="34"/>
        <v>5.8168184252812116E-2</v>
      </c>
      <c r="O1210" s="1319"/>
      <c r="P1210" s="1319"/>
      <c r="Q1210" s="35">
        <v>44083</v>
      </c>
      <c r="R1210" s="36">
        <v>7.0999999999999995E-3</v>
      </c>
      <c r="S1210" s="37">
        <v>2.8000000000000004E-3</v>
      </c>
    </row>
    <row r="1211" spans="1:19" x14ac:dyDescent="0.2">
      <c r="A1211" s="1"/>
      <c r="B1211" s="13">
        <v>43958</v>
      </c>
      <c r="C1211" s="14">
        <v>93.35</v>
      </c>
      <c r="D1211" s="15">
        <v>205377</v>
      </c>
      <c r="E1211" s="14">
        <v>95.78</v>
      </c>
      <c r="F1211" s="14">
        <v>96.52</v>
      </c>
      <c r="G1211" s="16">
        <v>92.43</v>
      </c>
      <c r="H1211" s="69">
        <f t="shared" si="34"/>
        <v>-5.4336245471979794E-3</v>
      </c>
      <c r="O1211" s="1319"/>
      <c r="P1211" s="1319"/>
      <c r="Q1211" s="35">
        <v>44084</v>
      </c>
      <c r="R1211" s="36">
        <v>6.8000000000000005E-3</v>
      </c>
      <c r="S1211" s="37">
        <v>2.5999999999999999E-3</v>
      </c>
    </row>
    <row r="1212" spans="1:19" x14ac:dyDescent="0.2">
      <c r="A1212" s="1"/>
      <c r="B1212" s="13">
        <v>43957</v>
      </c>
      <c r="C1212" s="14">
        <v>93.86</v>
      </c>
      <c r="D1212" s="15">
        <v>197236</v>
      </c>
      <c r="E1212" s="14">
        <v>95.53</v>
      </c>
      <c r="F1212" s="14">
        <v>96.28</v>
      </c>
      <c r="G1212" s="16">
        <v>93.16</v>
      </c>
      <c r="H1212" s="69">
        <f t="shared" si="34"/>
        <v>-7.6126030873334694E-3</v>
      </c>
      <c r="O1212" s="1319"/>
      <c r="P1212" s="1319"/>
      <c r="Q1212" s="35">
        <v>44085</v>
      </c>
      <c r="R1212" s="36">
        <v>6.7000000000000002E-3</v>
      </c>
      <c r="S1212" s="37">
        <v>2.5999999999999999E-3</v>
      </c>
    </row>
    <row r="1213" spans="1:19" x14ac:dyDescent="0.2">
      <c r="A1213" s="1"/>
      <c r="B1213" s="13">
        <v>43956</v>
      </c>
      <c r="C1213" s="14">
        <v>94.58</v>
      </c>
      <c r="D1213" s="15">
        <v>223535</v>
      </c>
      <c r="E1213" s="14">
        <v>89.85</v>
      </c>
      <c r="F1213" s="14">
        <v>95.61</v>
      </c>
      <c r="G1213" s="16">
        <v>89.85</v>
      </c>
      <c r="H1213" s="69">
        <f t="shared" si="34"/>
        <v>6.6170668470296512E-2</v>
      </c>
      <c r="O1213" s="1319"/>
      <c r="P1213" s="1319"/>
      <c r="Q1213" s="35">
        <v>44088</v>
      </c>
      <c r="R1213" s="36">
        <v>6.8000000000000005E-3</v>
      </c>
      <c r="S1213" s="37">
        <v>2.7000000000000001E-3</v>
      </c>
    </row>
    <row r="1214" spans="1:19" x14ac:dyDescent="0.2">
      <c r="A1214" s="1"/>
      <c r="B1214" s="13">
        <v>43955</v>
      </c>
      <c r="C1214" s="14">
        <v>88.71</v>
      </c>
      <c r="D1214" s="15">
        <v>326362</v>
      </c>
      <c r="E1214" s="14">
        <v>89.78</v>
      </c>
      <c r="F1214" s="14">
        <v>91</v>
      </c>
      <c r="G1214" s="16">
        <v>87.495000000000005</v>
      </c>
      <c r="H1214" s="69">
        <f t="shared" si="34"/>
        <v>-2.8899835796387552E-2</v>
      </c>
      <c r="O1214" s="1319"/>
      <c r="P1214" s="1319"/>
      <c r="Q1214" s="35">
        <v>44089</v>
      </c>
      <c r="R1214" s="36">
        <v>6.8000000000000005E-3</v>
      </c>
      <c r="S1214" s="37">
        <v>2.7000000000000001E-3</v>
      </c>
    </row>
    <row r="1215" spans="1:19" x14ac:dyDescent="0.2">
      <c r="A1215" s="1"/>
      <c r="B1215" s="13">
        <v>43952</v>
      </c>
      <c r="C1215" s="14">
        <v>91.35</v>
      </c>
      <c r="D1215" s="15">
        <v>330334</v>
      </c>
      <c r="E1215" s="14">
        <v>90.35</v>
      </c>
      <c r="F1215" s="14">
        <v>94.04</v>
      </c>
      <c r="G1215" s="16">
        <v>89.045000000000002</v>
      </c>
      <c r="H1215" s="69">
        <f t="shared" si="34"/>
        <v>-1.2645914396887226E-2</v>
      </c>
      <c r="O1215" s="1319"/>
      <c r="P1215" s="1319"/>
      <c r="Q1215" s="35">
        <v>44090</v>
      </c>
      <c r="R1215" s="36">
        <v>6.8999999999999999E-3</v>
      </c>
      <c r="S1215" s="37">
        <v>2.8000000000000004E-3</v>
      </c>
    </row>
    <row r="1216" spans="1:19" x14ac:dyDescent="0.2">
      <c r="A1216" s="1"/>
      <c r="B1216" s="13">
        <v>43951</v>
      </c>
      <c r="C1216" s="14">
        <v>92.52</v>
      </c>
      <c r="D1216" s="15">
        <v>405456</v>
      </c>
      <c r="E1216" s="14">
        <v>97.85</v>
      </c>
      <c r="F1216" s="14">
        <v>97.85</v>
      </c>
      <c r="G1216" s="16">
        <v>92.16</v>
      </c>
      <c r="H1216" s="69">
        <f t="shared" si="34"/>
        <v>-5.8032987171655503E-2</v>
      </c>
      <c r="O1216" s="1319"/>
      <c r="P1216" s="1319"/>
      <c r="Q1216" s="35">
        <v>44091</v>
      </c>
      <c r="R1216" s="36">
        <v>6.8999999999999999E-3</v>
      </c>
      <c r="S1216" s="37">
        <v>2.8000000000000004E-3</v>
      </c>
    </row>
    <row r="1217" spans="1:19" x14ac:dyDescent="0.2">
      <c r="A1217" s="1"/>
      <c r="B1217" s="13">
        <v>43950</v>
      </c>
      <c r="C1217" s="14">
        <v>98.22</v>
      </c>
      <c r="D1217" s="15">
        <v>605777</v>
      </c>
      <c r="E1217" s="14">
        <v>96</v>
      </c>
      <c r="F1217" s="14">
        <v>102.71</v>
      </c>
      <c r="G1217" s="16">
        <v>92.93</v>
      </c>
      <c r="H1217" s="69">
        <f t="shared" si="34"/>
        <v>0.14917514917514918</v>
      </c>
      <c r="O1217" s="1319"/>
      <c r="P1217" s="1319"/>
      <c r="Q1217" s="35">
        <v>44092</v>
      </c>
      <c r="R1217" s="36">
        <v>6.9999999999999993E-3</v>
      </c>
      <c r="S1217" s="37">
        <v>2.8999999999999998E-3</v>
      </c>
    </row>
    <row r="1218" spans="1:19" x14ac:dyDescent="0.2">
      <c r="A1218" s="1"/>
      <c r="B1218" s="13">
        <v>43949</v>
      </c>
      <c r="C1218" s="14">
        <v>85.47</v>
      </c>
      <c r="D1218" s="15">
        <v>510187</v>
      </c>
      <c r="E1218" s="14">
        <v>87.84</v>
      </c>
      <c r="F1218" s="14">
        <v>90.92</v>
      </c>
      <c r="G1218" s="16">
        <v>85.07</v>
      </c>
      <c r="H1218" s="69">
        <f t="shared" si="34"/>
        <v>-3.0327773241572986E-3</v>
      </c>
      <c r="O1218" s="1319"/>
      <c r="P1218" s="1319"/>
      <c r="Q1218" s="35">
        <v>44095</v>
      </c>
      <c r="R1218" s="36">
        <v>6.8000000000000005E-3</v>
      </c>
      <c r="S1218" s="37">
        <v>2.7000000000000001E-3</v>
      </c>
    </row>
    <row r="1219" spans="1:19" x14ac:dyDescent="0.2">
      <c r="A1219" s="1"/>
      <c r="B1219" s="13">
        <v>43948</v>
      </c>
      <c r="C1219" s="14">
        <v>85.73</v>
      </c>
      <c r="D1219" s="15">
        <v>260681</v>
      </c>
      <c r="E1219" s="14">
        <v>82.13</v>
      </c>
      <c r="F1219" s="14">
        <v>87.22</v>
      </c>
      <c r="G1219" s="16">
        <v>82.13</v>
      </c>
      <c r="H1219" s="69">
        <f t="shared" si="34"/>
        <v>5.2806091121208265E-2</v>
      </c>
      <c r="O1219" s="1319"/>
      <c r="P1219" s="1319"/>
      <c r="Q1219" s="35">
        <v>44096</v>
      </c>
      <c r="R1219" s="36">
        <v>6.8000000000000005E-3</v>
      </c>
      <c r="S1219" s="37">
        <v>2.7000000000000001E-3</v>
      </c>
    </row>
    <row r="1220" spans="1:19" x14ac:dyDescent="0.2">
      <c r="A1220" s="1"/>
      <c r="B1220" s="13">
        <v>43945</v>
      </c>
      <c r="C1220" s="14">
        <v>81.430000000000007</v>
      </c>
      <c r="D1220" s="15">
        <v>256197</v>
      </c>
      <c r="E1220" s="14">
        <v>78.27</v>
      </c>
      <c r="F1220" s="14">
        <v>81.72</v>
      </c>
      <c r="G1220" s="16">
        <v>77.674999999999997</v>
      </c>
      <c r="H1220" s="69">
        <f t="shared" si="34"/>
        <v>5.0709677419354948E-2</v>
      </c>
      <c r="O1220" s="1319"/>
      <c r="P1220" s="1319"/>
      <c r="Q1220" s="35">
        <v>44097</v>
      </c>
      <c r="R1220" s="36">
        <v>6.8000000000000005E-3</v>
      </c>
      <c r="S1220" s="37">
        <v>2.8000000000000004E-3</v>
      </c>
    </row>
    <row r="1221" spans="1:19" x14ac:dyDescent="0.2">
      <c r="A1221" s="1"/>
      <c r="B1221" s="13">
        <v>43944</v>
      </c>
      <c r="C1221" s="14">
        <v>77.5</v>
      </c>
      <c r="D1221" s="15">
        <v>417912</v>
      </c>
      <c r="E1221" s="14">
        <v>74.349999999999994</v>
      </c>
      <c r="F1221" s="14">
        <v>78.89</v>
      </c>
      <c r="G1221" s="16">
        <v>73.48</v>
      </c>
      <c r="H1221" s="69">
        <f t="shared" si="34"/>
        <v>5.7731677357718114E-2</v>
      </c>
      <c r="O1221" s="1319"/>
      <c r="P1221" s="1319"/>
      <c r="Q1221" s="35">
        <v>44098</v>
      </c>
      <c r="R1221" s="36">
        <v>6.7000000000000002E-3</v>
      </c>
      <c r="S1221" s="37">
        <v>2.7000000000000001E-3</v>
      </c>
    </row>
    <row r="1222" spans="1:19" x14ac:dyDescent="0.2">
      <c r="A1222" s="1"/>
      <c r="B1222" s="13">
        <v>43943</v>
      </c>
      <c r="C1222" s="14">
        <v>73.27</v>
      </c>
      <c r="D1222" s="15">
        <v>261037</v>
      </c>
      <c r="E1222" s="14">
        <v>72.12</v>
      </c>
      <c r="F1222" s="14">
        <v>74.150000000000006</v>
      </c>
      <c r="G1222" s="16">
        <v>71.67</v>
      </c>
      <c r="H1222" s="69">
        <f t="shared" si="34"/>
        <v>3.8701445988091665E-2</v>
      </c>
      <c r="O1222" s="1319"/>
      <c r="P1222" s="1319"/>
      <c r="Q1222" s="35">
        <v>44099</v>
      </c>
      <c r="R1222" s="36">
        <v>6.6E-3</v>
      </c>
      <c r="S1222" s="37">
        <v>2.5999999999999999E-3</v>
      </c>
    </row>
    <row r="1223" spans="1:19" x14ac:dyDescent="0.2">
      <c r="A1223" s="1"/>
      <c r="B1223" s="13">
        <v>43942</v>
      </c>
      <c r="C1223" s="14">
        <v>70.540000000000006</v>
      </c>
      <c r="D1223" s="15">
        <v>218416</v>
      </c>
      <c r="E1223" s="14">
        <v>71.17</v>
      </c>
      <c r="F1223" s="14">
        <v>71.209999999999994</v>
      </c>
      <c r="G1223" s="16">
        <v>69.03</v>
      </c>
      <c r="H1223" s="69">
        <f t="shared" si="34"/>
        <v>-3.7390829694323058E-2</v>
      </c>
      <c r="O1223" s="1319"/>
      <c r="P1223" s="1319"/>
      <c r="Q1223" s="35">
        <v>44102</v>
      </c>
      <c r="R1223" s="36">
        <v>6.7000000000000002E-3</v>
      </c>
      <c r="S1223" s="37">
        <v>2.5999999999999999E-3</v>
      </c>
    </row>
    <row r="1224" spans="1:19" x14ac:dyDescent="0.2">
      <c r="A1224" s="1"/>
      <c r="B1224" s="13">
        <v>43941</v>
      </c>
      <c r="C1224" s="14">
        <v>73.28</v>
      </c>
      <c r="D1224" s="15">
        <v>147293</v>
      </c>
      <c r="E1224" s="14">
        <v>75.760000000000005</v>
      </c>
      <c r="F1224" s="14">
        <v>76.569999999999993</v>
      </c>
      <c r="G1224" s="16">
        <v>71.88</v>
      </c>
      <c r="H1224" s="69">
        <f t="shared" si="34"/>
        <v>-6.0512820512820475E-2</v>
      </c>
      <c r="O1224" s="1319"/>
      <c r="P1224" s="1319"/>
      <c r="Q1224" s="35">
        <v>44103</v>
      </c>
      <c r="R1224" s="36">
        <v>6.6E-3</v>
      </c>
      <c r="S1224" s="37">
        <v>2.3999999999999998E-3</v>
      </c>
    </row>
    <row r="1225" spans="1:19" x14ac:dyDescent="0.2">
      <c r="A1225" s="1"/>
      <c r="B1225" s="13">
        <v>43938</v>
      </c>
      <c r="C1225" s="14">
        <v>78</v>
      </c>
      <c r="D1225" s="15">
        <v>223124</v>
      </c>
      <c r="E1225" s="14">
        <v>78.31</v>
      </c>
      <c r="F1225" s="14">
        <v>79.19</v>
      </c>
      <c r="G1225" s="16">
        <v>77.459999999999994</v>
      </c>
      <c r="H1225" s="69">
        <f t="shared" si="34"/>
        <v>3.1609575452982375E-2</v>
      </c>
      <c r="O1225" s="1319"/>
      <c r="P1225" s="1319"/>
      <c r="Q1225" s="35">
        <v>44104</v>
      </c>
      <c r="R1225" s="36">
        <v>6.8999999999999999E-3</v>
      </c>
      <c r="S1225" s="37">
        <v>2.8000000000000004E-3</v>
      </c>
    </row>
    <row r="1226" spans="1:19" x14ac:dyDescent="0.2">
      <c r="A1226" s="1"/>
      <c r="B1226" s="13">
        <v>43937</v>
      </c>
      <c r="C1226" s="14">
        <v>75.61</v>
      </c>
      <c r="D1226" s="15">
        <v>415575</v>
      </c>
      <c r="E1226" s="14">
        <v>73.97</v>
      </c>
      <c r="F1226" s="14">
        <v>77.63</v>
      </c>
      <c r="G1226" s="16">
        <v>71.900000000000006</v>
      </c>
      <c r="H1226" s="69">
        <f t="shared" si="34"/>
        <v>2.466458869765531E-2</v>
      </c>
      <c r="O1226" s="1319"/>
      <c r="P1226" s="1319"/>
      <c r="Q1226" s="35">
        <v>44105</v>
      </c>
      <c r="R1226" s="36">
        <v>6.8000000000000005E-3</v>
      </c>
      <c r="S1226" s="37">
        <v>2.7000000000000001E-3</v>
      </c>
    </row>
    <row r="1227" spans="1:19" x14ac:dyDescent="0.2">
      <c r="A1227" s="1"/>
      <c r="B1227" s="13">
        <v>43936</v>
      </c>
      <c r="C1227" s="14">
        <v>73.790000000000006</v>
      </c>
      <c r="D1227" s="15">
        <v>209505</v>
      </c>
      <c r="E1227" s="14">
        <v>75.83</v>
      </c>
      <c r="F1227" s="14">
        <v>77.239999999999995</v>
      </c>
      <c r="G1227" s="16">
        <v>72.765000000000001</v>
      </c>
      <c r="H1227" s="69">
        <f t="shared" si="34"/>
        <v>-5.4095628765542858E-2</v>
      </c>
      <c r="O1227" s="1319"/>
      <c r="P1227" s="1319"/>
      <c r="Q1227" s="35">
        <v>44106</v>
      </c>
      <c r="R1227" s="36">
        <v>6.9999999999999993E-3</v>
      </c>
      <c r="S1227" s="37">
        <v>2.8000000000000004E-3</v>
      </c>
    </row>
    <row r="1228" spans="1:19" x14ac:dyDescent="0.2">
      <c r="A1228" s="1"/>
      <c r="B1228" s="13">
        <v>43935</v>
      </c>
      <c r="C1228" s="14">
        <v>78.010000000000005</v>
      </c>
      <c r="D1228" s="15">
        <v>282041</v>
      </c>
      <c r="E1228" s="14">
        <v>77.84</v>
      </c>
      <c r="F1228" s="14">
        <v>79.540000000000006</v>
      </c>
      <c r="G1228" s="16">
        <v>75.819999999999993</v>
      </c>
      <c r="H1228" s="69">
        <f t="shared" si="34"/>
        <v>1.8806321013451921E-2</v>
      </c>
      <c r="O1228" s="1319"/>
      <c r="P1228" s="1319"/>
      <c r="Q1228" s="35">
        <v>44109</v>
      </c>
      <c r="R1228" s="36">
        <v>7.8000000000000005E-3</v>
      </c>
      <c r="S1228" s="37">
        <v>3.3E-3</v>
      </c>
    </row>
    <row r="1229" spans="1:19" x14ac:dyDescent="0.2">
      <c r="A1229" s="1"/>
      <c r="B1229" s="13">
        <v>43934</v>
      </c>
      <c r="C1229" s="14">
        <v>76.569999999999993</v>
      </c>
      <c r="D1229" s="15">
        <v>186649</v>
      </c>
      <c r="E1229" s="14">
        <v>82.3</v>
      </c>
      <c r="F1229" s="14">
        <v>82.3</v>
      </c>
      <c r="G1229" s="16">
        <v>76.05</v>
      </c>
      <c r="H1229" s="69">
        <f t="shared" si="34"/>
        <v>-8.1233501319894486E-2</v>
      </c>
      <c r="O1229" s="1319"/>
      <c r="P1229" s="1319"/>
      <c r="Q1229" s="35">
        <v>44110</v>
      </c>
      <c r="R1229" s="36">
        <v>7.6E-3</v>
      </c>
      <c r="S1229" s="37">
        <v>3.2000000000000002E-3</v>
      </c>
    </row>
    <row r="1230" spans="1:19" x14ac:dyDescent="0.2">
      <c r="A1230" s="1"/>
      <c r="B1230" s="13">
        <v>43930</v>
      </c>
      <c r="C1230" s="14">
        <v>83.34</v>
      </c>
      <c r="D1230" s="15">
        <v>279243</v>
      </c>
      <c r="E1230" s="14">
        <v>81.53</v>
      </c>
      <c r="F1230" s="14">
        <v>83.86</v>
      </c>
      <c r="G1230" s="16">
        <v>79.78</v>
      </c>
      <c r="H1230" s="69">
        <f t="shared" si="34"/>
        <v>4.0969273045216026E-2</v>
      </c>
      <c r="O1230" s="1319"/>
      <c r="P1230" s="1319"/>
      <c r="Q1230" s="35">
        <v>44111</v>
      </c>
      <c r="R1230" s="36">
        <v>8.1000000000000013E-3</v>
      </c>
      <c r="S1230" s="37">
        <v>3.4999999999999996E-3</v>
      </c>
    </row>
    <row r="1231" spans="1:19" x14ac:dyDescent="0.2">
      <c r="A1231" s="1"/>
      <c r="B1231" s="13">
        <v>43929</v>
      </c>
      <c r="C1231" s="14">
        <v>80.06</v>
      </c>
      <c r="D1231" s="15">
        <v>267278</v>
      </c>
      <c r="E1231" s="14">
        <v>76.569999999999993</v>
      </c>
      <c r="F1231" s="14">
        <v>81.150000000000006</v>
      </c>
      <c r="G1231" s="16">
        <v>75.150000000000006</v>
      </c>
      <c r="H1231" s="69">
        <f t="shared" si="34"/>
        <v>6.4061669324827264E-2</v>
      </c>
      <c r="O1231" s="1319"/>
      <c r="P1231" s="1319"/>
      <c r="Q1231" s="35">
        <v>44112</v>
      </c>
      <c r="R1231" s="36">
        <v>7.8000000000000005E-3</v>
      </c>
      <c r="S1231" s="37">
        <v>3.3E-3</v>
      </c>
    </row>
    <row r="1232" spans="1:19" x14ac:dyDescent="0.2">
      <c r="A1232" s="1"/>
      <c r="B1232" s="13">
        <v>43928</v>
      </c>
      <c r="C1232" s="14">
        <v>75.239999999999995</v>
      </c>
      <c r="D1232" s="15">
        <v>264173</v>
      </c>
      <c r="E1232" s="14">
        <v>74.069999999999993</v>
      </c>
      <c r="F1232" s="14">
        <v>77.23</v>
      </c>
      <c r="G1232" s="16">
        <v>73.83</v>
      </c>
      <c r="H1232" s="69">
        <f t="shared" si="34"/>
        <v>2.8149767696091565E-2</v>
      </c>
      <c r="O1232" s="1319"/>
      <c r="P1232" s="1319"/>
      <c r="Q1232" s="35">
        <v>44113</v>
      </c>
      <c r="R1232" s="36">
        <v>7.9000000000000008E-3</v>
      </c>
      <c r="S1232" s="37">
        <v>3.4000000000000002E-3</v>
      </c>
    </row>
    <row r="1233" spans="1:19" x14ac:dyDescent="0.2">
      <c r="A1233" s="1"/>
      <c r="B1233" s="13">
        <v>43927</v>
      </c>
      <c r="C1233" s="14">
        <v>73.180000000000007</v>
      </c>
      <c r="D1233" s="15">
        <v>299578</v>
      </c>
      <c r="E1233" s="14">
        <v>67.17</v>
      </c>
      <c r="F1233" s="14">
        <v>73.209999999999994</v>
      </c>
      <c r="G1233" s="16">
        <v>67</v>
      </c>
      <c r="H1233" s="69">
        <f t="shared" si="34"/>
        <v>0.13299272333178513</v>
      </c>
      <c r="O1233" s="1319"/>
      <c r="P1233" s="1319"/>
      <c r="Q1233" s="35">
        <v>44117</v>
      </c>
      <c r="R1233" s="36">
        <v>7.4000000000000003E-3</v>
      </c>
      <c r="S1233" s="37">
        <v>3.0999999999999999E-3</v>
      </c>
    </row>
    <row r="1234" spans="1:19" x14ac:dyDescent="0.2">
      <c r="A1234" s="1"/>
      <c r="B1234" s="13">
        <v>43924</v>
      </c>
      <c r="C1234" s="14">
        <v>64.59</v>
      </c>
      <c r="D1234" s="15">
        <v>234043</v>
      </c>
      <c r="E1234" s="14">
        <v>64.180000000000007</v>
      </c>
      <c r="F1234" s="14">
        <v>65.72</v>
      </c>
      <c r="G1234" s="16">
        <v>63.305</v>
      </c>
      <c r="H1234" s="69">
        <f t="shared" si="34"/>
        <v>6.3882829541912489E-3</v>
      </c>
      <c r="O1234" s="1319"/>
      <c r="P1234" s="1319"/>
      <c r="Q1234" s="35">
        <v>44118</v>
      </c>
      <c r="R1234" s="36">
        <v>7.3000000000000001E-3</v>
      </c>
      <c r="S1234" s="37">
        <v>3.0000000000000001E-3</v>
      </c>
    </row>
    <row r="1235" spans="1:19" x14ac:dyDescent="0.2">
      <c r="A1235" s="1"/>
      <c r="B1235" s="13">
        <v>43923</v>
      </c>
      <c r="C1235" s="14">
        <v>64.180000000000007</v>
      </c>
      <c r="D1235" s="15">
        <v>282387</v>
      </c>
      <c r="E1235" s="14">
        <v>65.44</v>
      </c>
      <c r="F1235" s="14">
        <v>66.665000000000006</v>
      </c>
      <c r="G1235" s="16">
        <v>62.03</v>
      </c>
      <c r="H1235" s="69">
        <f t="shared" si="34"/>
        <v>-3.0806402899426044E-2</v>
      </c>
      <c r="O1235" s="1319"/>
      <c r="P1235" s="1319"/>
      <c r="Q1235" s="35">
        <v>44119</v>
      </c>
      <c r="R1235" s="36">
        <v>7.4000000000000003E-3</v>
      </c>
      <c r="S1235" s="37">
        <v>3.2000000000000002E-3</v>
      </c>
    </row>
    <row r="1236" spans="1:19" x14ac:dyDescent="0.2">
      <c r="A1236" s="1"/>
      <c r="B1236" s="13">
        <v>43922</v>
      </c>
      <c r="C1236" s="14">
        <v>66.22</v>
      </c>
      <c r="D1236" s="15">
        <v>443626</v>
      </c>
      <c r="E1236" s="14">
        <v>70.7</v>
      </c>
      <c r="F1236" s="14">
        <v>72.36</v>
      </c>
      <c r="G1236" s="16">
        <v>65.239999999999995</v>
      </c>
      <c r="H1236" s="69">
        <f t="shared" si="34"/>
        <v>-9.9537666576013151E-2</v>
      </c>
      <c r="O1236" s="1319"/>
      <c r="P1236" s="1319"/>
      <c r="Q1236" s="35">
        <v>44120</v>
      </c>
      <c r="R1236" s="36">
        <v>7.6E-3</v>
      </c>
      <c r="S1236" s="37">
        <v>3.2000000000000002E-3</v>
      </c>
    </row>
    <row r="1237" spans="1:19" x14ac:dyDescent="0.2">
      <c r="A1237" s="1"/>
      <c r="B1237" s="13">
        <v>43921</v>
      </c>
      <c r="C1237" s="14">
        <v>73.540000000000006</v>
      </c>
      <c r="D1237" s="15">
        <v>532690</v>
      </c>
      <c r="E1237" s="14">
        <v>74.42</v>
      </c>
      <c r="F1237" s="14">
        <v>75.194999999999993</v>
      </c>
      <c r="G1237" s="16">
        <v>71.87</v>
      </c>
      <c r="H1237" s="69">
        <f t="shared" si="34"/>
        <v>-1.0361997039429416E-2</v>
      </c>
      <c r="O1237" s="1319"/>
      <c r="P1237" s="1319"/>
      <c r="Q1237" s="35">
        <v>44123</v>
      </c>
      <c r="R1237" s="36">
        <v>7.8000000000000005E-3</v>
      </c>
      <c r="S1237" s="37">
        <v>3.4000000000000002E-3</v>
      </c>
    </row>
    <row r="1238" spans="1:19" x14ac:dyDescent="0.2">
      <c r="A1238" s="1"/>
      <c r="B1238" s="13">
        <v>43920</v>
      </c>
      <c r="C1238" s="14">
        <v>74.31</v>
      </c>
      <c r="D1238" s="15">
        <v>338164</v>
      </c>
      <c r="E1238" s="14">
        <v>74.040000000000006</v>
      </c>
      <c r="F1238" s="14">
        <v>76.7</v>
      </c>
      <c r="G1238" s="16">
        <v>71.95</v>
      </c>
      <c r="H1238" s="69">
        <f t="shared" si="34"/>
        <v>1.5441377425525982E-2</v>
      </c>
      <c r="O1238" s="1319"/>
      <c r="P1238" s="1319"/>
      <c r="Q1238" s="35">
        <v>44124</v>
      </c>
      <c r="R1238" s="36">
        <v>8.1000000000000013E-3</v>
      </c>
      <c r="S1238" s="37">
        <v>3.4000000000000002E-3</v>
      </c>
    </row>
    <row r="1239" spans="1:19" x14ac:dyDescent="0.2">
      <c r="A1239" s="1"/>
      <c r="B1239" s="13">
        <v>43917</v>
      </c>
      <c r="C1239" s="14">
        <v>73.180000000000007</v>
      </c>
      <c r="D1239" s="15">
        <v>421057</v>
      </c>
      <c r="E1239" s="14">
        <v>73.44</v>
      </c>
      <c r="F1239" s="14">
        <v>76.680000000000007</v>
      </c>
      <c r="G1239" s="16">
        <v>71.14</v>
      </c>
      <c r="H1239" s="69">
        <f t="shared" si="34"/>
        <v>-4.7755367599219056E-2</v>
      </c>
      <c r="O1239" s="1319"/>
      <c r="P1239" s="1319"/>
      <c r="Q1239" s="35">
        <v>44125</v>
      </c>
      <c r="R1239" s="36">
        <v>8.3000000000000001E-3</v>
      </c>
      <c r="S1239" s="37">
        <v>3.5999999999999999E-3</v>
      </c>
    </row>
    <row r="1240" spans="1:19" x14ac:dyDescent="0.2">
      <c r="A1240" s="1"/>
      <c r="B1240" s="13">
        <v>43916</v>
      </c>
      <c r="C1240" s="14">
        <v>76.849999999999994</v>
      </c>
      <c r="D1240" s="15">
        <v>662281</v>
      </c>
      <c r="E1240" s="14">
        <v>74.430000000000007</v>
      </c>
      <c r="F1240" s="14">
        <v>78.515000000000001</v>
      </c>
      <c r="G1240" s="16">
        <v>70.760000000000005</v>
      </c>
      <c r="H1240" s="69">
        <f t="shared" si="34"/>
        <v>4.8860379418588673E-2</v>
      </c>
      <c r="O1240" s="1319"/>
      <c r="P1240" s="1319"/>
      <c r="Q1240" s="35">
        <v>44126</v>
      </c>
      <c r="R1240" s="36">
        <v>8.6999999999999994E-3</v>
      </c>
      <c r="S1240" s="37">
        <v>3.8E-3</v>
      </c>
    </row>
    <row r="1241" spans="1:19" x14ac:dyDescent="0.2">
      <c r="A1241" s="1"/>
      <c r="B1241" s="13">
        <v>43915</v>
      </c>
      <c r="C1241" s="14">
        <v>73.27</v>
      </c>
      <c r="D1241" s="15">
        <v>788334</v>
      </c>
      <c r="E1241" s="14">
        <v>70.099999999999994</v>
      </c>
      <c r="F1241" s="14">
        <v>77.760000000000005</v>
      </c>
      <c r="G1241" s="16">
        <v>68.91</v>
      </c>
      <c r="H1241" s="69">
        <f t="shared" si="34"/>
        <v>4.2989323843416249E-2</v>
      </c>
      <c r="O1241" s="1319"/>
      <c r="P1241" s="1319"/>
      <c r="Q1241" s="35">
        <v>44127</v>
      </c>
      <c r="R1241" s="36">
        <v>8.5000000000000006E-3</v>
      </c>
      <c r="S1241" s="37">
        <v>3.7000000000000002E-3</v>
      </c>
    </row>
    <row r="1242" spans="1:19" x14ac:dyDescent="0.2">
      <c r="A1242" s="1"/>
      <c r="B1242" s="13">
        <v>43914</v>
      </c>
      <c r="C1242" s="14">
        <v>70.25</v>
      </c>
      <c r="D1242" s="15">
        <v>433441</v>
      </c>
      <c r="E1242" s="14">
        <v>69.349999999999994</v>
      </c>
      <c r="F1242" s="14">
        <v>72.569999999999993</v>
      </c>
      <c r="G1242" s="16">
        <v>67.034999999999997</v>
      </c>
      <c r="H1242" s="69">
        <f t="shared" si="34"/>
        <v>7.2519083969465603E-2</v>
      </c>
      <c r="O1242" s="1319"/>
      <c r="P1242" s="1319"/>
      <c r="Q1242" s="35">
        <v>44130</v>
      </c>
      <c r="R1242" s="36">
        <v>8.1000000000000013E-3</v>
      </c>
      <c r="S1242" s="37">
        <v>3.4999999999999996E-3</v>
      </c>
    </row>
    <row r="1243" spans="1:19" x14ac:dyDescent="0.2">
      <c r="A1243" s="1"/>
      <c r="B1243" s="13">
        <v>43913</v>
      </c>
      <c r="C1243" s="14">
        <v>65.5</v>
      </c>
      <c r="D1243" s="15">
        <v>407411</v>
      </c>
      <c r="E1243" s="14">
        <v>69.599999999999994</v>
      </c>
      <c r="F1243" s="14">
        <v>69.599999999999994</v>
      </c>
      <c r="G1243" s="16">
        <v>62.97</v>
      </c>
      <c r="H1243" s="69">
        <f t="shared" si="34"/>
        <v>-6.0931899641577081E-2</v>
      </c>
      <c r="O1243" s="1319"/>
      <c r="P1243" s="1319"/>
      <c r="Q1243" s="35">
        <v>44131</v>
      </c>
      <c r="R1243" s="36">
        <v>7.9000000000000008E-3</v>
      </c>
      <c r="S1243" s="37">
        <v>3.4000000000000002E-3</v>
      </c>
    </row>
    <row r="1244" spans="1:19" x14ac:dyDescent="0.2">
      <c r="A1244" s="1"/>
      <c r="B1244" s="13">
        <v>43910</v>
      </c>
      <c r="C1244" s="14">
        <v>69.75</v>
      </c>
      <c r="D1244" s="15">
        <v>388016</v>
      </c>
      <c r="E1244" s="14">
        <v>72.180000000000007</v>
      </c>
      <c r="F1244" s="14">
        <v>78.650000000000006</v>
      </c>
      <c r="G1244" s="16">
        <v>69.39</v>
      </c>
      <c r="H1244" s="69">
        <f t="shared" si="34"/>
        <v>-3.7798317009242632E-2</v>
      </c>
      <c r="O1244" s="1319"/>
      <c r="P1244" s="1319"/>
      <c r="Q1244" s="35">
        <v>44132</v>
      </c>
      <c r="R1244" s="36">
        <v>7.9000000000000008E-3</v>
      </c>
      <c r="S1244" s="37">
        <v>3.4000000000000002E-3</v>
      </c>
    </row>
    <row r="1245" spans="1:19" x14ac:dyDescent="0.2">
      <c r="A1245" s="1"/>
      <c r="B1245" s="13">
        <v>43909</v>
      </c>
      <c r="C1245" s="14">
        <v>72.489999999999995</v>
      </c>
      <c r="D1245" s="15">
        <v>330984</v>
      </c>
      <c r="E1245" s="14">
        <v>78.81</v>
      </c>
      <c r="F1245" s="14">
        <v>82.28</v>
      </c>
      <c r="G1245" s="16">
        <v>70.055000000000007</v>
      </c>
      <c r="H1245" s="69">
        <f t="shared" si="34"/>
        <v>-6.8850353243416818E-2</v>
      </c>
      <c r="O1245" s="1319"/>
      <c r="P1245" s="1319"/>
      <c r="Q1245" s="35">
        <v>44133</v>
      </c>
      <c r="R1245" s="36">
        <v>8.5000000000000006E-3</v>
      </c>
      <c r="S1245" s="37">
        <v>3.8E-3</v>
      </c>
    </row>
    <row r="1246" spans="1:19" x14ac:dyDescent="0.2">
      <c r="A1246" s="1"/>
      <c r="B1246" s="13">
        <v>43908</v>
      </c>
      <c r="C1246" s="14">
        <v>77.849999999999994</v>
      </c>
      <c r="D1246" s="15">
        <v>613781</v>
      </c>
      <c r="E1246" s="14">
        <v>73.31</v>
      </c>
      <c r="F1246" s="14">
        <v>81.11</v>
      </c>
      <c r="G1246" s="16">
        <v>70.084999999999994</v>
      </c>
      <c r="H1246" s="69">
        <f t="shared" si="34"/>
        <v>1.1433025854228784E-2</v>
      </c>
      <c r="O1246" s="1319"/>
      <c r="P1246" s="1319"/>
      <c r="Q1246" s="35">
        <v>44134</v>
      </c>
      <c r="R1246" s="36">
        <v>8.8000000000000005E-3</v>
      </c>
      <c r="S1246" s="37">
        <v>3.8E-3</v>
      </c>
    </row>
    <row r="1247" spans="1:19" x14ac:dyDescent="0.2">
      <c r="A1247" s="1"/>
      <c r="B1247" s="13">
        <v>43907</v>
      </c>
      <c r="C1247" s="14">
        <v>76.97</v>
      </c>
      <c r="D1247" s="15">
        <v>580753</v>
      </c>
      <c r="E1247" s="14">
        <v>68.89</v>
      </c>
      <c r="F1247" s="14">
        <v>78.37</v>
      </c>
      <c r="G1247" s="16">
        <v>64.680099999999996</v>
      </c>
      <c r="H1247" s="69">
        <f t="shared" si="34"/>
        <v>0.13441414885777458</v>
      </c>
      <c r="O1247" s="1319"/>
      <c r="P1247" s="1319"/>
      <c r="Q1247" s="35">
        <v>44137</v>
      </c>
      <c r="R1247" s="36">
        <v>8.6999999999999994E-3</v>
      </c>
      <c r="S1247" s="37">
        <v>3.8E-3</v>
      </c>
    </row>
    <row r="1248" spans="1:19" x14ac:dyDescent="0.2">
      <c r="A1248" s="1"/>
      <c r="B1248" s="13">
        <v>43906</v>
      </c>
      <c r="C1248" s="14">
        <v>67.849999999999994</v>
      </c>
      <c r="D1248" s="15">
        <v>394431</v>
      </c>
      <c r="E1248" s="14">
        <v>62.01</v>
      </c>
      <c r="F1248" s="14">
        <v>71.125</v>
      </c>
      <c r="G1248" s="16">
        <v>61.46</v>
      </c>
      <c r="H1248" s="69">
        <f t="shared" si="34"/>
        <v>-9.023866988468765E-2</v>
      </c>
      <c r="O1248" s="1319"/>
      <c r="P1248" s="1319"/>
      <c r="Q1248" s="35">
        <v>44138</v>
      </c>
      <c r="R1248" s="36">
        <v>9.0000000000000011E-3</v>
      </c>
      <c r="S1248" s="37">
        <v>3.9000000000000003E-3</v>
      </c>
    </row>
    <row r="1249" spans="1:19" x14ac:dyDescent="0.2">
      <c r="A1249" s="1"/>
      <c r="B1249" s="13">
        <v>43903</v>
      </c>
      <c r="C1249" s="14">
        <v>74.58</v>
      </c>
      <c r="D1249" s="15">
        <v>367322</v>
      </c>
      <c r="E1249" s="14">
        <v>70.3</v>
      </c>
      <c r="F1249" s="14">
        <v>74.599999999999994</v>
      </c>
      <c r="G1249" s="16">
        <v>65.53</v>
      </c>
      <c r="H1249" s="69">
        <f t="shared" si="34"/>
        <v>0.11663422668064061</v>
      </c>
      <c r="O1249" s="1319"/>
      <c r="P1249" s="1319"/>
      <c r="Q1249" s="35">
        <v>44139</v>
      </c>
      <c r="R1249" s="36">
        <v>7.8000000000000005E-3</v>
      </c>
      <c r="S1249" s="37">
        <v>3.3E-3</v>
      </c>
    </row>
    <row r="1250" spans="1:19" x14ac:dyDescent="0.2">
      <c r="A1250" s="1"/>
      <c r="B1250" s="13">
        <v>43902</v>
      </c>
      <c r="C1250" s="14">
        <v>66.790000000000006</v>
      </c>
      <c r="D1250" s="15">
        <v>497129</v>
      </c>
      <c r="E1250" s="14">
        <v>68.03</v>
      </c>
      <c r="F1250" s="14">
        <v>77.44</v>
      </c>
      <c r="G1250" s="16">
        <v>65.19</v>
      </c>
      <c r="H1250" s="69">
        <f t="shared" si="34"/>
        <v>-8.192439862542944E-2</v>
      </c>
      <c r="O1250" s="1319"/>
      <c r="P1250" s="1319"/>
      <c r="Q1250" s="35">
        <v>44140</v>
      </c>
      <c r="R1250" s="36">
        <v>7.9000000000000008E-3</v>
      </c>
      <c r="S1250" s="37">
        <v>3.3E-3</v>
      </c>
    </row>
    <row r="1251" spans="1:19" x14ac:dyDescent="0.2">
      <c r="A1251" s="1"/>
      <c r="B1251" s="13">
        <v>43901</v>
      </c>
      <c r="C1251" s="14">
        <v>72.75</v>
      </c>
      <c r="D1251" s="15">
        <v>370767</v>
      </c>
      <c r="E1251" s="14">
        <v>73.150000000000006</v>
      </c>
      <c r="F1251" s="14">
        <v>75.12</v>
      </c>
      <c r="G1251" s="16">
        <v>71.040000000000006</v>
      </c>
      <c r="H1251" s="69">
        <f t="shared" si="34"/>
        <v>-3.9096552635054738E-2</v>
      </c>
      <c r="O1251" s="1319"/>
      <c r="P1251" s="1319"/>
      <c r="Q1251" s="35">
        <v>44141</v>
      </c>
      <c r="R1251" s="36">
        <v>8.3000000000000001E-3</v>
      </c>
      <c r="S1251" s="37">
        <v>3.5999999999999999E-3</v>
      </c>
    </row>
    <row r="1252" spans="1:19" x14ac:dyDescent="0.2">
      <c r="A1252" s="1"/>
      <c r="B1252" s="13">
        <v>43900</v>
      </c>
      <c r="C1252" s="14">
        <v>75.709999999999994</v>
      </c>
      <c r="D1252" s="15">
        <v>345154</v>
      </c>
      <c r="E1252" s="14">
        <v>72.39</v>
      </c>
      <c r="F1252" s="14">
        <v>75.86</v>
      </c>
      <c r="G1252" s="16">
        <v>70.040000000000006</v>
      </c>
      <c r="H1252" s="69">
        <f t="shared" si="34"/>
        <v>8.7474863544958259E-2</v>
      </c>
      <c r="O1252" s="1319"/>
      <c r="P1252" s="1319"/>
      <c r="Q1252" s="35">
        <v>44144</v>
      </c>
      <c r="R1252" s="36">
        <v>9.5999999999999992E-3</v>
      </c>
      <c r="S1252" s="37">
        <v>4.4000000000000003E-3</v>
      </c>
    </row>
    <row r="1253" spans="1:19" x14ac:dyDescent="0.2">
      <c r="A1253" s="1"/>
      <c r="B1253" s="13">
        <v>43899</v>
      </c>
      <c r="C1253" s="14">
        <v>69.62</v>
      </c>
      <c r="D1253" s="15">
        <v>691063</v>
      </c>
      <c r="E1253" s="14">
        <v>73.819999999999993</v>
      </c>
      <c r="F1253" s="14">
        <v>74.162000000000006</v>
      </c>
      <c r="G1253" s="16">
        <v>67.569999999999993</v>
      </c>
      <c r="H1253" s="69">
        <f t="shared" si="34"/>
        <v>-0.1216250315417613</v>
      </c>
      <c r="O1253" s="1319"/>
      <c r="P1253" s="1319"/>
      <c r="Q1253" s="35">
        <v>44145</v>
      </c>
      <c r="R1253" s="36">
        <v>9.7999999999999997E-3</v>
      </c>
      <c r="S1253" s="37">
        <v>4.5999999999999999E-3</v>
      </c>
    </row>
    <row r="1254" spans="1:19" x14ac:dyDescent="0.2">
      <c r="A1254" s="1"/>
      <c r="B1254" s="13">
        <v>43896</v>
      </c>
      <c r="C1254" s="14">
        <v>79.260000000000005</v>
      </c>
      <c r="D1254" s="15">
        <v>319299</v>
      </c>
      <c r="E1254" s="14">
        <v>79.290000000000006</v>
      </c>
      <c r="F1254" s="14">
        <v>83.105000000000004</v>
      </c>
      <c r="G1254" s="16">
        <v>78.7</v>
      </c>
      <c r="H1254" s="69">
        <f t="shared" si="34"/>
        <v>-3.9970930232558155E-2</v>
      </c>
      <c r="O1254" s="1319"/>
      <c r="P1254" s="1319"/>
      <c r="Q1254" s="35">
        <v>44147</v>
      </c>
      <c r="R1254" s="36">
        <v>8.8000000000000005E-3</v>
      </c>
      <c r="S1254" s="37">
        <v>4.0000000000000001E-3</v>
      </c>
    </row>
    <row r="1255" spans="1:19" x14ac:dyDescent="0.2">
      <c r="A1255" s="1"/>
      <c r="B1255" s="13">
        <v>43895</v>
      </c>
      <c r="C1255" s="14">
        <v>82.56</v>
      </c>
      <c r="D1255" s="15">
        <v>333280</v>
      </c>
      <c r="E1255" s="14">
        <v>84</v>
      </c>
      <c r="F1255" s="14">
        <v>84.81</v>
      </c>
      <c r="G1255" s="16">
        <v>82.13</v>
      </c>
      <c r="H1255" s="69">
        <f t="shared" si="34"/>
        <v>-4.311543810848395E-2</v>
      </c>
      <c r="O1255" s="1319"/>
      <c r="P1255" s="1319"/>
      <c r="Q1255" s="35">
        <v>44148</v>
      </c>
      <c r="R1255" s="36">
        <v>8.8999999999999999E-3</v>
      </c>
      <c r="S1255" s="37">
        <v>4.0999999999999995E-3</v>
      </c>
    </row>
    <row r="1256" spans="1:19" x14ac:dyDescent="0.2">
      <c r="A1256" s="1"/>
      <c r="B1256" s="13">
        <v>43894</v>
      </c>
      <c r="C1256" s="14">
        <v>86.28</v>
      </c>
      <c r="D1256" s="15">
        <v>687365</v>
      </c>
      <c r="E1256" s="14">
        <v>85.1</v>
      </c>
      <c r="F1256" s="14">
        <v>86.34</v>
      </c>
      <c r="G1256" s="16">
        <v>81.555000000000007</v>
      </c>
      <c r="H1256" s="69">
        <f t="shared" ref="H1256:H1319" si="35">C1256/C1257-1</f>
        <v>-1.697618776347265E-2</v>
      </c>
      <c r="O1256" s="1319"/>
      <c r="P1256" s="1319"/>
      <c r="Q1256" s="35">
        <v>44151</v>
      </c>
      <c r="R1256" s="36">
        <v>9.1000000000000004E-3</v>
      </c>
      <c r="S1256" s="37">
        <v>4.0999999999999995E-3</v>
      </c>
    </row>
    <row r="1257" spans="1:19" x14ac:dyDescent="0.2">
      <c r="A1257" s="1"/>
      <c r="B1257" s="13">
        <v>43893</v>
      </c>
      <c r="C1257" s="14">
        <v>87.77</v>
      </c>
      <c r="D1257" s="15">
        <v>404523</v>
      </c>
      <c r="E1257" s="14">
        <v>87.54</v>
      </c>
      <c r="F1257" s="14">
        <v>91.26</v>
      </c>
      <c r="G1257" s="16">
        <v>84.94</v>
      </c>
      <c r="H1257" s="69">
        <f t="shared" si="35"/>
        <v>1.1394712853229905E-4</v>
      </c>
      <c r="O1257" s="1319"/>
      <c r="P1257" s="1319"/>
      <c r="Q1257" s="35">
        <v>44152</v>
      </c>
      <c r="R1257" s="36">
        <v>8.6999999999999994E-3</v>
      </c>
      <c r="S1257" s="37">
        <v>3.9000000000000003E-3</v>
      </c>
    </row>
    <row r="1258" spans="1:19" x14ac:dyDescent="0.2">
      <c r="A1258" s="1"/>
      <c r="B1258" s="13">
        <v>43892</v>
      </c>
      <c r="C1258" s="14">
        <v>87.76</v>
      </c>
      <c r="D1258" s="15">
        <v>400686</v>
      </c>
      <c r="E1258" s="14">
        <v>87.82</v>
      </c>
      <c r="F1258" s="14">
        <v>88.28</v>
      </c>
      <c r="G1258" s="16">
        <v>83.17</v>
      </c>
      <c r="H1258" s="69">
        <f t="shared" si="35"/>
        <v>5.1540487916619249E-3</v>
      </c>
      <c r="O1258" s="1319"/>
      <c r="P1258" s="1319"/>
      <c r="Q1258" s="35">
        <v>44153</v>
      </c>
      <c r="R1258" s="36">
        <v>8.8000000000000005E-3</v>
      </c>
      <c r="S1258" s="37">
        <v>4.0000000000000001E-3</v>
      </c>
    </row>
    <row r="1259" spans="1:19" x14ac:dyDescent="0.2">
      <c r="A1259" s="1"/>
      <c r="B1259" s="13">
        <v>43889</v>
      </c>
      <c r="C1259" s="14">
        <v>87.31</v>
      </c>
      <c r="D1259" s="15">
        <v>606865</v>
      </c>
      <c r="E1259" s="14">
        <v>90.77</v>
      </c>
      <c r="F1259" s="14">
        <v>90.85</v>
      </c>
      <c r="G1259" s="16">
        <v>85.867500000000007</v>
      </c>
      <c r="H1259" s="69">
        <f t="shared" si="35"/>
        <v>-5.3652720572295753E-2</v>
      </c>
      <c r="O1259" s="1319"/>
      <c r="P1259" s="1319"/>
      <c r="Q1259" s="35">
        <v>44154</v>
      </c>
      <c r="R1259" s="36">
        <v>8.6E-3</v>
      </c>
      <c r="S1259" s="37">
        <v>3.9000000000000003E-3</v>
      </c>
    </row>
    <row r="1260" spans="1:19" x14ac:dyDescent="0.2">
      <c r="A1260" s="1"/>
      <c r="B1260" s="13">
        <v>43888</v>
      </c>
      <c r="C1260" s="14">
        <v>92.26</v>
      </c>
      <c r="D1260" s="15">
        <v>427256</v>
      </c>
      <c r="E1260" s="14">
        <v>91.02</v>
      </c>
      <c r="F1260" s="14">
        <v>95.4</v>
      </c>
      <c r="G1260" s="16">
        <v>90.29</v>
      </c>
      <c r="H1260" s="69">
        <f t="shared" si="35"/>
        <v>-2.5147928994082802E-2</v>
      </c>
      <c r="O1260" s="1319"/>
      <c r="P1260" s="1319"/>
      <c r="Q1260" s="35">
        <v>44155</v>
      </c>
      <c r="R1260" s="36">
        <v>8.3000000000000001E-3</v>
      </c>
      <c r="S1260" s="37">
        <v>3.8E-3</v>
      </c>
    </row>
    <row r="1261" spans="1:19" x14ac:dyDescent="0.2">
      <c r="A1261" s="1"/>
      <c r="B1261" s="13">
        <v>43887</v>
      </c>
      <c r="C1261" s="14">
        <v>94.64</v>
      </c>
      <c r="D1261" s="15">
        <v>307312</v>
      </c>
      <c r="E1261" s="14">
        <v>93.82</v>
      </c>
      <c r="F1261" s="14">
        <v>95.71</v>
      </c>
      <c r="G1261" s="16">
        <v>93.224999999999994</v>
      </c>
      <c r="H1261" s="69">
        <f t="shared" si="35"/>
        <v>1.7415609546334254E-2</v>
      </c>
      <c r="O1261" s="1319"/>
      <c r="P1261" s="1319"/>
      <c r="Q1261" s="35">
        <v>44158</v>
      </c>
      <c r="R1261" s="36">
        <v>8.6E-3</v>
      </c>
      <c r="S1261" s="37">
        <v>3.9000000000000003E-3</v>
      </c>
    </row>
    <row r="1262" spans="1:19" x14ac:dyDescent="0.2">
      <c r="A1262" s="1"/>
      <c r="B1262" s="13">
        <v>43886</v>
      </c>
      <c r="C1262" s="14">
        <v>93.02</v>
      </c>
      <c r="D1262" s="15">
        <v>203838</v>
      </c>
      <c r="E1262" s="14">
        <v>99.53</v>
      </c>
      <c r="F1262" s="14">
        <v>99.53</v>
      </c>
      <c r="G1262" s="16">
        <v>92.44</v>
      </c>
      <c r="H1262" s="69">
        <f t="shared" si="35"/>
        <v>-6.5125628140703551E-2</v>
      </c>
      <c r="O1262" s="1319"/>
      <c r="P1262" s="1319"/>
      <c r="Q1262" s="35">
        <v>44159</v>
      </c>
      <c r="R1262" s="36">
        <v>8.8000000000000005E-3</v>
      </c>
      <c r="S1262" s="37">
        <v>3.9000000000000003E-3</v>
      </c>
    </row>
    <row r="1263" spans="1:19" x14ac:dyDescent="0.2">
      <c r="A1263" s="1"/>
      <c r="B1263" s="13">
        <v>43885</v>
      </c>
      <c r="C1263" s="14">
        <v>99.5</v>
      </c>
      <c r="D1263" s="15">
        <v>316009</v>
      </c>
      <c r="E1263" s="14">
        <v>99.42</v>
      </c>
      <c r="F1263" s="14">
        <v>101.26</v>
      </c>
      <c r="G1263" s="16">
        <v>97.72</v>
      </c>
      <c r="H1263" s="69">
        <f t="shared" si="35"/>
        <v>-4.1702783395935694E-2</v>
      </c>
      <c r="O1263" s="1319"/>
      <c r="P1263" s="1319"/>
      <c r="Q1263" s="35">
        <v>44160</v>
      </c>
      <c r="R1263" s="36">
        <v>8.8000000000000005E-3</v>
      </c>
      <c r="S1263" s="37">
        <v>3.9000000000000003E-3</v>
      </c>
    </row>
    <row r="1264" spans="1:19" x14ac:dyDescent="0.2">
      <c r="A1264" s="1"/>
      <c r="B1264" s="13">
        <v>43882</v>
      </c>
      <c r="C1264" s="14">
        <v>103.83</v>
      </c>
      <c r="D1264" s="15">
        <v>295545</v>
      </c>
      <c r="E1264" s="14">
        <v>99.724999999999994</v>
      </c>
      <c r="F1264" s="14">
        <v>104.33</v>
      </c>
      <c r="G1264" s="16">
        <v>99.724999999999994</v>
      </c>
      <c r="H1264" s="69">
        <f t="shared" si="35"/>
        <v>2.8528974739970181E-2</v>
      </c>
      <c r="O1264" s="1319"/>
      <c r="P1264" s="1319"/>
      <c r="Q1264" s="35">
        <v>44162</v>
      </c>
      <c r="R1264" s="36">
        <v>8.3999999999999995E-3</v>
      </c>
      <c r="S1264" s="37">
        <v>3.7000000000000002E-3</v>
      </c>
    </row>
    <row r="1265" spans="1:19" x14ac:dyDescent="0.2">
      <c r="A1265" s="1"/>
      <c r="B1265" s="13">
        <v>43881</v>
      </c>
      <c r="C1265" s="14">
        <v>100.95</v>
      </c>
      <c r="D1265" s="15">
        <v>348239</v>
      </c>
      <c r="E1265" s="14">
        <v>97.22</v>
      </c>
      <c r="F1265" s="14">
        <v>101.3</v>
      </c>
      <c r="G1265" s="16">
        <v>96.64</v>
      </c>
      <c r="H1265" s="69">
        <f t="shared" si="35"/>
        <v>4.1043621738682035E-2</v>
      </c>
      <c r="O1265" s="1319"/>
      <c r="P1265" s="1319"/>
      <c r="Q1265" s="35">
        <v>44165</v>
      </c>
      <c r="R1265" s="36">
        <v>8.3999999999999995E-3</v>
      </c>
      <c r="S1265" s="37">
        <v>3.5999999999999999E-3</v>
      </c>
    </row>
    <row r="1266" spans="1:19" x14ac:dyDescent="0.2">
      <c r="A1266" s="1"/>
      <c r="B1266" s="13">
        <v>43880</v>
      </c>
      <c r="C1266" s="14">
        <v>96.97</v>
      </c>
      <c r="D1266" s="15">
        <v>235583</v>
      </c>
      <c r="E1266" s="14">
        <v>96.05</v>
      </c>
      <c r="F1266" s="14">
        <v>97.1798</v>
      </c>
      <c r="G1266" s="16">
        <v>94.99</v>
      </c>
      <c r="H1266" s="69">
        <f t="shared" si="35"/>
        <v>1.6031014249790365E-2</v>
      </c>
      <c r="O1266" s="1319"/>
      <c r="P1266" s="1319"/>
      <c r="Q1266" s="35">
        <v>44166</v>
      </c>
      <c r="R1266" s="36">
        <v>9.1999999999999998E-3</v>
      </c>
      <c r="S1266" s="37">
        <v>4.1999999999999997E-3</v>
      </c>
    </row>
    <row r="1267" spans="1:19" x14ac:dyDescent="0.2">
      <c r="A1267" s="1"/>
      <c r="B1267" s="13">
        <v>43879</v>
      </c>
      <c r="C1267" s="14">
        <v>95.44</v>
      </c>
      <c r="D1267" s="15">
        <v>103587</v>
      </c>
      <c r="E1267" s="14">
        <v>93.69</v>
      </c>
      <c r="F1267" s="14">
        <v>95.69</v>
      </c>
      <c r="G1267" s="16">
        <v>93.58</v>
      </c>
      <c r="H1267" s="69">
        <f t="shared" si="35"/>
        <v>1.5643290411833544E-2</v>
      </c>
      <c r="O1267" s="1319"/>
      <c r="P1267" s="1319"/>
      <c r="Q1267" s="35">
        <v>44167</v>
      </c>
      <c r="R1267" s="36">
        <v>9.4999999999999998E-3</v>
      </c>
      <c r="S1267" s="37">
        <v>4.1999999999999997E-3</v>
      </c>
    </row>
    <row r="1268" spans="1:19" x14ac:dyDescent="0.2">
      <c r="A1268" s="1"/>
      <c r="B1268" s="13">
        <v>43875</v>
      </c>
      <c r="C1268" s="14">
        <v>93.97</v>
      </c>
      <c r="D1268" s="15">
        <v>176134</v>
      </c>
      <c r="E1268" s="14">
        <v>95.32</v>
      </c>
      <c r="F1268" s="14">
        <v>95.49</v>
      </c>
      <c r="G1268" s="16">
        <v>93.23</v>
      </c>
      <c r="H1268" s="69">
        <f t="shared" si="35"/>
        <v>-1.4782973369679153E-2</v>
      </c>
      <c r="O1268" s="1319"/>
      <c r="P1268" s="1319"/>
      <c r="Q1268" s="35">
        <v>44168</v>
      </c>
      <c r="R1268" s="36">
        <v>9.1999999999999998E-3</v>
      </c>
      <c r="S1268" s="37">
        <v>4.0000000000000001E-3</v>
      </c>
    </row>
    <row r="1269" spans="1:19" x14ac:dyDescent="0.2">
      <c r="A1269" s="1"/>
      <c r="B1269" s="13">
        <v>43874</v>
      </c>
      <c r="C1269" s="14">
        <v>95.38</v>
      </c>
      <c r="D1269" s="15">
        <v>202857</v>
      </c>
      <c r="E1269" s="14">
        <v>96.08</v>
      </c>
      <c r="F1269" s="14">
        <v>97.35</v>
      </c>
      <c r="G1269" s="16">
        <v>93.92</v>
      </c>
      <c r="H1269" s="69">
        <f t="shared" si="35"/>
        <v>-1.5483071841453366E-2</v>
      </c>
      <c r="O1269" s="1319"/>
      <c r="P1269" s="1319"/>
      <c r="Q1269" s="35">
        <v>44169</v>
      </c>
      <c r="R1269" s="36">
        <v>9.7000000000000003E-3</v>
      </c>
      <c r="S1269" s="37">
        <v>4.1999999999999997E-3</v>
      </c>
    </row>
    <row r="1270" spans="1:19" x14ac:dyDescent="0.2">
      <c r="A1270" s="1"/>
      <c r="B1270" s="13">
        <v>43873</v>
      </c>
      <c r="C1270" s="14">
        <v>96.88</v>
      </c>
      <c r="D1270" s="15">
        <v>164969</v>
      </c>
      <c r="E1270" s="14">
        <v>97.36</v>
      </c>
      <c r="F1270" s="14">
        <v>97.72</v>
      </c>
      <c r="G1270" s="16">
        <v>96.63</v>
      </c>
      <c r="H1270" s="69">
        <f t="shared" si="35"/>
        <v>6.1970667217514652E-4</v>
      </c>
      <c r="O1270" s="1319"/>
      <c r="P1270" s="1319"/>
      <c r="Q1270" s="35">
        <v>44172</v>
      </c>
      <c r="R1270" s="36">
        <v>9.3999999999999986E-3</v>
      </c>
      <c r="S1270" s="37">
        <v>4.0000000000000001E-3</v>
      </c>
    </row>
    <row r="1271" spans="1:19" x14ac:dyDescent="0.2">
      <c r="A1271" s="1"/>
      <c r="B1271" s="13">
        <v>43872</v>
      </c>
      <c r="C1271" s="14">
        <v>96.82</v>
      </c>
      <c r="D1271" s="15">
        <v>215233</v>
      </c>
      <c r="E1271" s="14">
        <v>98.02</v>
      </c>
      <c r="F1271" s="14">
        <v>98.02</v>
      </c>
      <c r="G1271" s="16">
        <v>95.6</v>
      </c>
      <c r="H1271" s="69">
        <f t="shared" si="35"/>
        <v>-2.4726973006389263E-3</v>
      </c>
      <c r="O1271" s="1319"/>
      <c r="P1271" s="1319"/>
      <c r="Q1271" s="35">
        <v>44173</v>
      </c>
      <c r="R1271" s="36">
        <v>9.1999999999999998E-3</v>
      </c>
      <c r="S1271" s="37">
        <v>3.9000000000000003E-3</v>
      </c>
    </row>
    <row r="1272" spans="1:19" x14ac:dyDescent="0.2">
      <c r="A1272" s="1"/>
      <c r="B1272" s="13">
        <v>43871</v>
      </c>
      <c r="C1272" s="14">
        <v>97.06</v>
      </c>
      <c r="D1272" s="15">
        <v>189191</v>
      </c>
      <c r="E1272" s="14">
        <v>97</v>
      </c>
      <c r="F1272" s="14">
        <v>98.29</v>
      </c>
      <c r="G1272" s="16">
        <v>95.46</v>
      </c>
      <c r="H1272" s="69">
        <f t="shared" si="35"/>
        <v>-1.1320366368220425E-3</v>
      </c>
      <c r="O1272" s="1319"/>
      <c r="P1272" s="1319"/>
      <c r="Q1272" s="35">
        <v>44174</v>
      </c>
      <c r="R1272" s="36">
        <v>9.4999999999999998E-3</v>
      </c>
      <c r="S1272" s="37">
        <v>4.0999999999999995E-3</v>
      </c>
    </row>
    <row r="1273" spans="1:19" x14ac:dyDescent="0.2">
      <c r="A1273" s="1"/>
      <c r="B1273" s="13">
        <v>43868</v>
      </c>
      <c r="C1273" s="14">
        <v>97.17</v>
      </c>
      <c r="D1273" s="15">
        <v>265432</v>
      </c>
      <c r="E1273" s="14">
        <v>99.71</v>
      </c>
      <c r="F1273" s="14">
        <v>100.12</v>
      </c>
      <c r="G1273" s="16">
        <v>97.08</v>
      </c>
      <c r="H1273" s="69">
        <f t="shared" si="35"/>
        <v>-3.0239520958083799E-2</v>
      </c>
      <c r="O1273" s="1319"/>
      <c r="P1273" s="1319"/>
      <c r="Q1273" s="35">
        <v>44175</v>
      </c>
      <c r="R1273" s="36">
        <v>9.1999999999999998E-3</v>
      </c>
      <c r="S1273" s="37">
        <v>3.9000000000000003E-3</v>
      </c>
    </row>
    <row r="1274" spans="1:19" x14ac:dyDescent="0.2">
      <c r="A1274" s="1"/>
      <c r="B1274" s="13">
        <v>43867</v>
      </c>
      <c r="C1274" s="14">
        <v>100.2</v>
      </c>
      <c r="D1274" s="15">
        <v>302200</v>
      </c>
      <c r="E1274" s="14">
        <v>98.26</v>
      </c>
      <c r="F1274" s="14">
        <v>101.42</v>
      </c>
      <c r="G1274" s="16">
        <v>97.265000000000001</v>
      </c>
      <c r="H1274" s="69">
        <f t="shared" si="35"/>
        <v>1.9743537553429613E-2</v>
      </c>
      <c r="O1274" s="1319"/>
      <c r="P1274" s="1319"/>
      <c r="Q1274" s="35">
        <v>44176</v>
      </c>
      <c r="R1274" s="36">
        <v>9.0000000000000011E-3</v>
      </c>
      <c r="S1274" s="37">
        <v>3.7000000000000002E-3</v>
      </c>
    </row>
    <row r="1275" spans="1:19" x14ac:dyDescent="0.2">
      <c r="A1275" s="1"/>
      <c r="B1275" s="13">
        <v>43866</v>
      </c>
      <c r="C1275" s="14">
        <v>98.26</v>
      </c>
      <c r="D1275" s="15">
        <v>308768</v>
      </c>
      <c r="E1275" s="14">
        <v>95.49</v>
      </c>
      <c r="F1275" s="14">
        <v>99.07</v>
      </c>
      <c r="G1275" s="16">
        <v>93.625</v>
      </c>
      <c r="H1275" s="69">
        <f t="shared" si="35"/>
        <v>3.9678340916305066E-2</v>
      </c>
      <c r="O1275" s="1319"/>
      <c r="P1275" s="1319"/>
      <c r="Q1275" s="35">
        <v>44179</v>
      </c>
      <c r="R1275" s="36">
        <v>9.0000000000000011E-3</v>
      </c>
      <c r="S1275" s="37">
        <v>3.7000000000000002E-3</v>
      </c>
    </row>
    <row r="1276" spans="1:19" x14ac:dyDescent="0.2">
      <c r="A1276" s="1"/>
      <c r="B1276" s="13">
        <v>43865</v>
      </c>
      <c r="C1276" s="14">
        <v>94.51</v>
      </c>
      <c r="D1276" s="15">
        <v>318687</v>
      </c>
      <c r="E1276" s="14">
        <v>94.49</v>
      </c>
      <c r="F1276" s="14">
        <v>98</v>
      </c>
      <c r="G1276" s="16">
        <v>92.31</v>
      </c>
      <c r="H1276" s="69">
        <f t="shared" si="35"/>
        <v>-6.3445067146017387E-4</v>
      </c>
      <c r="O1276" s="1319"/>
      <c r="P1276" s="1319"/>
      <c r="Q1276" s="35">
        <v>44180</v>
      </c>
      <c r="R1276" s="36">
        <v>9.1999999999999998E-3</v>
      </c>
      <c r="S1276" s="37">
        <v>3.7000000000000002E-3</v>
      </c>
    </row>
    <row r="1277" spans="1:19" x14ac:dyDescent="0.2">
      <c r="A1277" s="1"/>
      <c r="B1277" s="13">
        <v>43864</v>
      </c>
      <c r="C1277" s="14">
        <v>94.57</v>
      </c>
      <c r="D1277" s="15">
        <v>985904</v>
      </c>
      <c r="E1277" s="14">
        <v>85.65</v>
      </c>
      <c r="F1277" s="14">
        <v>96.2</v>
      </c>
      <c r="G1277" s="16">
        <v>81.014499999999998</v>
      </c>
      <c r="H1277" s="69">
        <f t="shared" si="35"/>
        <v>8.5763490241102192E-2</v>
      </c>
      <c r="O1277" s="1319"/>
      <c r="P1277" s="1319"/>
      <c r="Q1277" s="35">
        <v>44181</v>
      </c>
      <c r="R1277" s="36">
        <v>9.1999999999999998E-3</v>
      </c>
      <c r="S1277" s="37">
        <v>3.7000000000000002E-3</v>
      </c>
    </row>
    <row r="1278" spans="1:19" x14ac:dyDescent="0.2">
      <c r="A1278" s="1"/>
      <c r="B1278" s="13">
        <v>43861</v>
      </c>
      <c r="C1278" s="14">
        <v>87.1</v>
      </c>
      <c r="D1278" s="15">
        <v>488514</v>
      </c>
      <c r="E1278" s="14">
        <v>90.7</v>
      </c>
      <c r="F1278" s="14">
        <v>91.025000000000006</v>
      </c>
      <c r="G1278" s="16">
        <v>86.8</v>
      </c>
      <c r="H1278" s="69">
        <f t="shared" si="35"/>
        <v>-4.4537077665642855E-2</v>
      </c>
      <c r="O1278" s="1319"/>
      <c r="P1278" s="1319"/>
      <c r="Q1278" s="35">
        <v>44182</v>
      </c>
      <c r="R1278" s="36">
        <v>9.3999999999999986E-3</v>
      </c>
      <c r="S1278" s="37">
        <v>3.8E-3</v>
      </c>
    </row>
    <row r="1279" spans="1:19" x14ac:dyDescent="0.2">
      <c r="A1279" s="1"/>
      <c r="B1279" s="13">
        <v>43860</v>
      </c>
      <c r="C1279" s="14">
        <v>91.16</v>
      </c>
      <c r="D1279" s="15">
        <v>205709</v>
      </c>
      <c r="E1279" s="14">
        <v>90.93</v>
      </c>
      <c r="F1279" s="14">
        <v>91.59</v>
      </c>
      <c r="G1279" s="16">
        <v>90.12</v>
      </c>
      <c r="H1279" s="69">
        <f t="shared" si="35"/>
        <v>-4.9121274969982087E-3</v>
      </c>
      <c r="O1279" s="1319"/>
      <c r="P1279" s="1319"/>
      <c r="Q1279" s="35">
        <v>44183</v>
      </c>
      <c r="R1279" s="36">
        <v>9.4999999999999998E-3</v>
      </c>
      <c r="S1279" s="37">
        <v>3.9000000000000003E-3</v>
      </c>
    </row>
    <row r="1280" spans="1:19" x14ac:dyDescent="0.2">
      <c r="A1280" s="1"/>
      <c r="B1280" s="13">
        <v>43859</v>
      </c>
      <c r="C1280" s="14">
        <v>91.61</v>
      </c>
      <c r="D1280" s="15">
        <v>162725</v>
      </c>
      <c r="E1280" s="14">
        <v>90.53</v>
      </c>
      <c r="F1280" s="14">
        <v>92.94</v>
      </c>
      <c r="G1280" s="16">
        <v>90.53</v>
      </c>
      <c r="H1280" s="69">
        <f t="shared" si="35"/>
        <v>1.3160805131608111E-2</v>
      </c>
      <c r="O1280" s="1319"/>
      <c r="P1280" s="1319"/>
      <c r="Q1280" s="35">
        <v>44186</v>
      </c>
      <c r="R1280" s="36">
        <v>9.4999999999999998E-3</v>
      </c>
      <c r="S1280" s="37">
        <v>3.9000000000000003E-3</v>
      </c>
    </row>
    <row r="1281" spans="1:19" x14ac:dyDescent="0.2">
      <c r="A1281" s="1"/>
      <c r="B1281" s="13">
        <v>43858</v>
      </c>
      <c r="C1281" s="14">
        <v>90.42</v>
      </c>
      <c r="D1281" s="15">
        <v>174928</v>
      </c>
      <c r="E1281" s="14">
        <v>89.93</v>
      </c>
      <c r="F1281" s="14">
        <v>91.06</v>
      </c>
      <c r="G1281" s="16">
        <v>88.784999999999997</v>
      </c>
      <c r="H1281" s="69">
        <f t="shared" si="35"/>
        <v>1.4018167545138516E-2</v>
      </c>
      <c r="O1281" s="1319"/>
      <c r="P1281" s="1319"/>
      <c r="Q1281" s="35">
        <v>44187</v>
      </c>
      <c r="R1281" s="36">
        <v>9.300000000000001E-3</v>
      </c>
      <c r="S1281" s="37">
        <v>3.7000000000000002E-3</v>
      </c>
    </row>
    <row r="1282" spans="1:19" x14ac:dyDescent="0.2">
      <c r="A1282" s="1"/>
      <c r="B1282" s="13">
        <v>43857</v>
      </c>
      <c r="C1282" s="14">
        <v>89.17</v>
      </c>
      <c r="D1282" s="15">
        <v>314208</v>
      </c>
      <c r="E1282" s="14">
        <v>91.28</v>
      </c>
      <c r="F1282" s="14">
        <v>91.495000000000005</v>
      </c>
      <c r="G1282" s="16">
        <v>88.89</v>
      </c>
      <c r="H1282" s="69">
        <f t="shared" si="35"/>
        <v>-4.0357296599225156E-2</v>
      </c>
      <c r="O1282" s="1319"/>
      <c r="P1282" s="1319"/>
      <c r="Q1282" s="35">
        <v>44188</v>
      </c>
      <c r="R1282" s="36">
        <v>9.5999999999999992E-3</v>
      </c>
      <c r="S1282" s="37">
        <v>3.8E-3</v>
      </c>
    </row>
    <row r="1283" spans="1:19" x14ac:dyDescent="0.2">
      <c r="A1283" s="1"/>
      <c r="B1283" s="13">
        <v>43854</v>
      </c>
      <c r="C1283" s="14">
        <v>92.92</v>
      </c>
      <c r="D1283" s="15">
        <v>167723</v>
      </c>
      <c r="E1283" s="14">
        <v>94.55</v>
      </c>
      <c r="F1283" s="14">
        <v>94.63</v>
      </c>
      <c r="G1283" s="16">
        <v>91.43</v>
      </c>
      <c r="H1283" s="69">
        <f t="shared" si="35"/>
        <v>-1.3169073916737384E-2</v>
      </c>
      <c r="O1283" s="1319"/>
      <c r="P1283" s="1319"/>
      <c r="Q1283" s="35">
        <v>44189</v>
      </c>
      <c r="R1283" s="36">
        <v>9.3999999999999986E-3</v>
      </c>
      <c r="S1283" s="37">
        <v>3.7000000000000002E-3</v>
      </c>
    </row>
    <row r="1284" spans="1:19" x14ac:dyDescent="0.2">
      <c r="A1284" s="1"/>
      <c r="B1284" s="13">
        <v>43853</v>
      </c>
      <c r="C1284" s="14">
        <v>94.16</v>
      </c>
      <c r="D1284" s="15">
        <v>230903</v>
      </c>
      <c r="E1284" s="14">
        <v>94.2</v>
      </c>
      <c r="F1284" s="14">
        <v>94.25</v>
      </c>
      <c r="G1284" s="16">
        <v>92.02</v>
      </c>
      <c r="H1284" s="69">
        <f t="shared" si="35"/>
        <v>-3.7033118188551928E-3</v>
      </c>
      <c r="O1284" s="1319"/>
      <c r="P1284" s="1319"/>
      <c r="Q1284" s="35">
        <v>44193</v>
      </c>
      <c r="R1284" s="36">
        <v>9.3999999999999986E-3</v>
      </c>
      <c r="S1284" s="37">
        <v>3.8E-3</v>
      </c>
    </row>
    <row r="1285" spans="1:19" x14ac:dyDescent="0.2">
      <c r="A1285" s="1"/>
      <c r="B1285" s="13">
        <v>43852</v>
      </c>
      <c r="C1285" s="14">
        <v>94.51</v>
      </c>
      <c r="D1285" s="15">
        <v>193342</v>
      </c>
      <c r="E1285" s="14">
        <v>95.16</v>
      </c>
      <c r="F1285" s="14">
        <v>95.74</v>
      </c>
      <c r="G1285" s="16">
        <v>93.92</v>
      </c>
      <c r="H1285" s="69">
        <f t="shared" si="35"/>
        <v>-4.4243126514273978E-3</v>
      </c>
      <c r="O1285" s="1319"/>
      <c r="P1285" s="1319"/>
      <c r="Q1285" s="35">
        <v>44194</v>
      </c>
      <c r="R1285" s="36">
        <v>9.3999999999999986E-3</v>
      </c>
      <c r="S1285" s="37">
        <v>3.7000000000000002E-3</v>
      </c>
    </row>
    <row r="1286" spans="1:19" x14ac:dyDescent="0.2">
      <c r="A1286" s="1"/>
      <c r="B1286" s="13">
        <v>43851</v>
      </c>
      <c r="C1286" s="14">
        <v>94.93</v>
      </c>
      <c r="D1286" s="15">
        <v>267312</v>
      </c>
      <c r="E1286" s="14">
        <v>96.77</v>
      </c>
      <c r="F1286" s="14">
        <v>97.08</v>
      </c>
      <c r="G1286" s="16">
        <v>93.96</v>
      </c>
      <c r="H1286" s="69">
        <f t="shared" si="35"/>
        <v>-2.6358974358974274E-2</v>
      </c>
      <c r="O1286" s="1319"/>
      <c r="P1286" s="1319"/>
      <c r="Q1286" s="35">
        <v>44195</v>
      </c>
      <c r="R1286" s="36">
        <v>9.300000000000001E-3</v>
      </c>
      <c r="S1286" s="37">
        <v>3.7000000000000002E-3</v>
      </c>
    </row>
    <row r="1287" spans="1:19" x14ac:dyDescent="0.2">
      <c r="A1287" s="1"/>
      <c r="B1287" s="13">
        <v>43847</v>
      </c>
      <c r="C1287" s="14">
        <v>97.5</v>
      </c>
      <c r="D1287" s="15">
        <v>279642</v>
      </c>
      <c r="E1287" s="14">
        <v>97.15</v>
      </c>
      <c r="F1287" s="14">
        <v>97.63</v>
      </c>
      <c r="G1287" s="16">
        <v>94.77</v>
      </c>
      <c r="H1287" s="69">
        <f t="shared" si="35"/>
        <v>6.2957993600991635E-3</v>
      </c>
      <c r="O1287" s="1319"/>
      <c r="P1287" s="1319"/>
      <c r="Q1287" s="35">
        <v>44196</v>
      </c>
      <c r="R1287" s="36">
        <v>9.300000000000001E-3</v>
      </c>
      <c r="S1287" s="37">
        <v>3.5999999999999999E-3</v>
      </c>
    </row>
    <row r="1288" spans="1:19" x14ac:dyDescent="0.2">
      <c r="A1288" s="1"/>
      <c r="B1288" s="13">
        <v>43846</v>
      </c>
      <c r="C1288" s="14">
        <v>96.89</v>
      </c>
      <c r="D1288" s="15">
        <v>325107</v>
      </c>
      <c r="E1288" s="14">
        <v>97.78</v>
      </c>
      <c r="F1288" s="14">
        <v>99.844999999999999</v>
      </c>
      <c r="G1288" s="16">
        <v>96.555999999999997</v>
      </c>
      <c r="H1288" s="69">
        <f t="shared" si="35"/>
        <v>1.240053735661828E-3</v>
      </c>
      <c r="O1288" s="1319"/>
      <c r="P1288" s="1319"/>
      <c r="Q1288" s="35">
        <v>44200</v>
      </c>
      <c r="R1288" s="36">
        <v>9.300000000000001E-3</v>
      </c>
      <c r="S1288" s="37">
        <v>3.5999999999999999E-3</v>
      </c>
    </row>
    <row r="1289" spans="1:19" x14ac:dyDescent="0.2">
      <c r="A1289" s="1"/>
      <c r="B1289" s="13">
        <v>43845</v>
      </c>
      <c r="C1289" s="14">
        <v>96.77</v>
      </c>
      <c r="D1289" s="15">
        <v>272743</v>
      </c>
      <c r="E1289" s="14">
        <v>94.79</v>
      </c>
      <c r="F1289" s="14">
        <v>97.813999999999993</v>
      </c>
      <c r="G1289" s="16">
        <v>94.79</v>
      </c>
      <c r="H1289" s="69">
        <f t="shared" si="35"/>
        <v>1.8846072857443552E-2</v>
      </c>
      <c r="O1289" s="1319"/>
      <c r="P1289" s="1319"/>
      <c r="Q1289" s="35">
        <v>44201</v>
      </c>
      <c r="R1289" s="36">
        <v>9.5999999999999992E-3</v>
      </c>
      <c r="S1289" s="37">
        <v>3.8E-3</v>
      </c>
    </row>
    <row r="1290" spans="1:19" x14ac:dyDescent="0.2">
      <c r="A1290" s="1"/>
      <c r="B1290" s="13">
        <v>43844</v>
      </c>
      <c r="C1290" s="14">
        <v>94.98</v>
      </c>
      <c r="D1290" s="15">
        <v>200368</v>
      </c>
      <c r="E1290" s="14">
        <v>93.63</v>
      </c>
      <c r="F1290" s="14">
        <v>95.83</v>
      </c>
      <c r="G1290" s="16">
        <v>93.44</v>
      </c>
      <c r="H1290" s="69">
        <f t="shared" si="35"/>
        <v>1.0425531914893593E-2</v>
      </c>
      <c r="O1290" s="1319"/>
      <c r="P1290" s="1319"/>
      <c r="Q1290" s="35">
        <v>44202</v>
      </c>
      <c r="R1290" s="36">
        <v>1.04E-2</v>
      </c>
      <c r="S1290" s="37">
        <v>4.3E-3</v>
      </c>
    </row>
    <row r="1291" spans="1:19" x14ac:dyDescent="0.2">
      <c r="A1291" s="1"/>
      <c r="B1291" s="13">
        <v>43843</v>
      </c>
      <c r="C1291" s="14">
        <v>94</v>
      </c>
      <c r="D1291" s="15">
        <v>271467</v>
      </c>
      <c r="E1291" s="14">
        <v>93.04</v>
      </c>
      <c r="F1291" s="14">
        <v>94.03</v>
      </c>
      <c r="G1291" s="16">
        <v>91.55</v>
      </c>
      <c r="H1291" s="69">
        <f t="shared" si="35"/>
        <v>1.1731783446345956E-2</v>
      </c>
      <c r="O1291" s="1319"/>
      <c r="P1291" s="1319"/>
      <c r="Q1291" s="35">
        <v>44203</v>
      </c>
      <c r="R1291" s="36">
        <v>1.0800000000000001E-2</v>
      </c>
      <c r="S1291" s="37">
        <v>4.5999999999999999E-3</v>
      </c>
    </row>
    <row r="1292" spans="1:19" x14ac:dyDescent="0.2">
      <c r="A1292" s="1"/>
      <c r="B1292" s="13">
        <v>43840</v>
      </c>
      <c r="C1292" s="14">
        <v>92.91</v>
      </c>
      <c r="D1292" s="15">
        <v>261354</v>
      </c>
      <c r="E1292" s="14">
        <v>91.44</v>
      </c>
      <c r="F1292" s="14">
        <v>93.38</v>
      </c>
      <c r="G1292" s="16">
        <v>90.76</v>
      </c>
      <c r="H1292" s="69">
        <f t="shared" si="35"/>
        <v>1.7522724783703758E-2</v>
      </c>
      <c r="O1292" s="1319"/>
      <c r="P1292" s="1319"/>
      <c r="Q1292" s="35">
        <v>44204</v>
      </c>
      <c r="R1292" s="36">
        <v>1.1299999999999999E-2</v>
      </c>
      <c r="S1292" s="37">
        <v>4.8999999999999998E-3</v>
      </c>
    </row>
    <row r="1293" spans="1:19" x14ac:dyDescent="0.2">
      <c r="A1293" s="1"/>
      <c r="B1293" s="13">
        <v>43839</v>
      </c>
      <c r="C1293" s="14">
        <v>91.31</v>
      </c>
      <c r="D1293" s="15">
        <v>457806</v>
      </c>
      <c r="E1293" s="14">
        <v>89.92</v>
      </c>
      <c r="F1293" s="14">
        <v>91.66</v>
      </c>
      <c r="G1293" s="16">
        <v>89.855800000000002</v>
      </c>
      <c r="H1293" s="69">
        <f t="shared" si="35"/>
        <v>2.4228827818283838E-2</v>
      </c>
      <c r="O1293" s="1319"/>
      <c r="P1293" s="1319"/>
      <c r="Q1293" s="35">
        <v>44207</v>
      </c>
      <c r="R1293" s="36">
        <v>1.15E-2</v>
      </c>
      <c r="S1293" s="37">
        <v>5.0000000000000001E-3</v>
      </c>
    </row>
    <row r="1294" spans="1:19" x14ac:dyDescent="0.2">
      <c r="A1294" s="1"/>
      <c r="B1294" s="13">
        <v>43838</v>
      </c>
      <c r="C1294" s="14">
        <v>89.15</v>
      </c>
      <c r="D1294" s="15">
        <v>412305</v>
      </c>
      <c r="E1294" s="14">
        <v>93.29</v>
      </c>
      <c r="F1294" s="14">
        <v>93.92</v>
      </c>
      <c r="G1294" s="16">
        <v>88.85</v>
      </c>
      <c r="H1294" s="69">
        <f t="shared" si="35"/>
        <v>-4.5911815068493067E-2</v>
      </c>
      <c r="O1294" s="1319"/>
      <c r="P1294" s="1319"/>
      <c r="Q1294" s="35">
        <v>44208</v>
      </c>
      <c r="R1294" s="36">
        <v>1.15E-2</v>
      </c>
      <c r="S1294" s="37">
        <v>5.0000000000000001E-3</v>
      </c>
    </row>
    <row r="1295" spans="1:19" x14ac:dyDescent="0.2">
      <c r="A1295" s="1"/>
      <c r="B1295" s="13">
        <v>43837</v>
      </c>
      <c r="C1295" s="14">
        <v>93.44</v>
      </c>
      <c r="D1295" s="15">
        <v>205464</v>
      </c>
      <c r="E1295" s="14">
        <v>91.01</v>
      </c>
      <c r="F1295" s="14">
        <v>93.8</v>
      </c>
      <c r="G1295" s="16">
        <v>90.91</v>
      </c>
      <c r="H1295" s="69">
        <f t="shared" si="35"/>
        <v>1.8197668083251628E-2</v>
      </c>
      <c r="O1295" s="1319"/>
      <c r="P1295" s="1319"/>
      <c r="Q1295" s="35">
        <v>44209</v>
      </c>
      <c r="R1295" s="36">
        <v>1.1000000000000001E-2</v>
      </c>
      <c r="S1295" s="37">
        <v>4.7999999999999996E-3</v>
      </c>
    </row>
    <row r="1296" spans="1:19" x14ac:dyDescent="0.2">
      <c r="A1296" s="1"/>
      <c r="B1296" s="13">
        <v>43836</v>
      </c>
      <c r="C1296" s="14">
        <v>91.77</v>
      </c>
      <c r="D1296" s="15">
        <v>197393</v>
      </c>
      <c r="E1296" s="14">
        <v>92.13</v>
      </c>
      <c r="F1296" s="14">
        <v>92.54</v>
      </c>
      <c r="G1296" s="16">
        <v>89.89</v>
      </c>
      <c r="H1296" s="69">
        <f t="shared" si="35"/>
        <v>-1.2482513720004418E-2</v>
      </c>
      <c r="O1296" s="1319"/>
      <c r="P1296" s="1319"/>
      <c r="Q1296" s="35">
        <v>44210</v>
      </c>
      <c r="R1296" s="36">
        <v>1.15E-2</v>
      </c>
      <c r="S1296" s="37">
        <v>4.8999999999999998E-3</v>
      </c>
    </row>
    <row r="1297" spans="1:19" x14ac:dyDescent="0.2">
      <c r="A1297" s="1"/>
      <c r="B1297" s="13">
        <v>43833</v>
      </c>
      <c r="C1297" s="14">
        <v>92.93</v>
      </c>
      <c r="D1297" s="15">
        <v>227440</v>
      </c>
      <c r="E1297" s="14">
        <v>92.41</v>
      </c>
      <c r="F1297" s="14">
        <v>93.1</v>
      </c>
      <c r="G1297" s="16">
        <v>90.905000000000001</v>
      </c>
      <c r="H1297" s="69">
        <f t="shared" si="35"/>
        <v>-9.1694210470198989E-3</v>
      </c>
      <c r="O1297" s="1319"/>
      <c r="P1297" s="1319"/>
      <c r="Q1297" s="35">
        <v>44211</v>
      </c>
      <c r="R1297" s="36">
        <v>1.11E-2</v>
      </c>
      <c r="S1297" s="37">
        <v>4.5999999999999999E-3</v>
      </c>
    </row>
    <row r="1298" spans="1:19" x14ac:dyDescent="0.2">
      <c r="A1298" s="1"/>
      <c r="B1298" s="13">
        <v>43832</v>
      </c>
      <c r="C1298" s="14">
        <v>93.79</v>
      </c>
      <c r="D1298" s="15">
        <v>224171</v>
      </c>
      <c r="E1298" s="14">
        <v>93.71</v>
      </c>
      <c r="F1298" s="14">
        <v>93.86</v>
      </c>
      <c r="G1298" s="16">
        <v>92.56</v>
      </c>
      <c r="H1298" s="69">
        <f t="shared" si="35"/>
        <v>7.1950171821306697E-3</v>
      </c>
      <c r="O1298" s="1319"/>
      <c r="P1298" s="1319"/>
      <c r="Q1298" s="35">
        <v>44215</v>
      </c>
      <c r="R1298" s="36">
        <v>1.1000000000000001E-2</v>
      </c>
      <c r="S1298" s="37">
        <v>4.5000000000000005E-3</v>
      </c>
    </row>
    <row r="1299" spans="1:19" x14ac:dyDescent="0.2">
      <c r="A1299" s="1"/>
      <c r="B1299" s="13">
        <v>43830</v>
      </c>
      <c r="C1299" s="14">
        <v>93.12</v>
      </c>
      <c r="D1299" s="15">
        <v>200509</v>
      </c>
      <c r="E1299" s="14">
        <v>92</v>
      </c>
      <c r="F1299" s="14">
        <v>94.34</v>
      </c>
      <c r="G1299" s="16">
        <v>92</v>
      </c>
      <c r="H1299" s="69">
        <f t="shared" si="35"/>
        <v>9.868777789827643E-3</v>
      </c>
      <c r="O1299" s="1319"/>
      <c r="P1299" s="1319"/>
      <c r="Q1299" s="35">
        <v>44216</v>
      </c>
      <c r="R1299" s="36">
        <v>1.1000000000000001E-2</v>
      </c>
      <c r="S1299" s="37">
        <v>4.5000000000000005E-3</v>
      </c>
    </row>
    <row r="1300" spans="1:19" x14ac:dyDescent="0.2">
      <c r="A1300" s="1"/>
      <c r="B1300" s="13">
        <v>43829</v>
      </c>
      <c r="C1300" s="14">
        <v>92.21</v>
      </c>
      <c r="D1300" s="15">
        <v>132350</v>
      </c>
      <c r="E1300" s="14">
        <v>92.7</v>
      </c>
      <c r="F1300" s="14">
        <v>93.39</v>
      </c>
      <c r="G1300" s="16">
        <v>91.88</v>
      </c>
      <c r="H1300" s="69">
        <f t="shared" si="35"/>
        <v>-1.6240796881767938E-3</v>
      </c>
      <c r="O1300" s="1319"/>
      <c r="P1300" s="1319"/>
      <c r="Q1300" s="35">
        <v>44217</v>
      </c>
      <c r="R1300" s="36">
        <v>1.1200000000000002E-2</v>
      </c>
      <c r="S1300" s="37">
        <v>4.5000000000000005E-3</v>
      </c>
    </row>
    <row r="1301" spans="1:19" x14ac:dyDescent="0.2">
      <c r="A1301" s="1"/>
      <c r="B1301" s="13">
        <v>43826</v>
      </c>
      <c r="C1301" s="14">
        <v>92.36</v>
      </c>
      <c r="D1301" s="15">
        <v>154402</v>
      </c>
      <c r="E1301" s="14">
        <v>92.31</v>
      </c>
      <c r="F1301" s="14">
        <v>92.76</v>
      </c>
      <c r="G1301" s="16">
        <v>90.91</v>
      </c>
      <c r="H1301" s="69">
        <f t="shared" si="35"/>
        <v>2.9319144315342882E-3</v>
      </c>
      <c r="O1301" s="1319"/>
      <c r="P1301" s="1319"/>
      <c r="Q1301" s="35">
        <v>44218</v>
      </c>
      <c r="R1301" s="36">
        <v>1.1000000000000001E-2</v>
      </c>
      <c r="S1301" s="37">
        <v>4.4000000000000003E-3</v>
      </c>
    </row>
    <row r="1302" spans="1:19" x14ac:dyDescent="0.2">
      <c r="A1302" s="1"/>
      <c r="B1302" s="13">
        <v>43825</v>
      </c>
      <c r="C1302" s="14">
        <v>92.09</v>
      </c>
      <c r="D1302" s="15">
        <v>84573</v>
      </c>
      <c r="E1302" s="14">
        <v>92.19</v>
      </c>
      <c r="F1302" s="14">
        <v>92.19</v>
      </c>
      <c r="G1302" s="16">
        <v>90.74</v>
      </c>
      <c r="H1302" s="69">
        <f t="shared" si="35"/>
        <v>-2.4913344887347311E-3</v>
      </c>
      <c r="O1302" s="1319"/>
      <c r="P1302" s="1319"/>
      <c r="Q1302" s="35">
        <v>44221</v>
      </c>
      <c r="R1302" s="36">
        <v>1.0500000000000001E-2</v>
      </c>
      <c r="S1302" s="37">
        <v>4.1999999999999997E-3</v>
      </c>
    </row>
    <row r="1303" spans="1:19" x14ac:dyDescent="0.2">
      <c r="A1303" s="1"/>
      <c r="B1303" s="13">
        <v>43823</v>
      </c>
      <c r="C1303" s="14">
        <v>92.32</v>
      </c>
      <c r="D1303" s="15">
        <v>86372</v>
      </c>
      <c r="E1303" s="14">
        <v>91.03</v>
      </c>
      <c r="F1303" s="14">
        <v>92.78</v>
      </c>
      <c r="G1303" s="16">
        <v>90.53</v>
      </c>
      <c r="H1303" s="69">
        <f t="shared" si="35"/>
        <v>1.7300275482093674E-2</v>
      </c>
      <c r="O1303" s="1319"/>
      <c r="P1303" s="1319"/>
      <c r="Q1303" s="35">
        <v>44222</v>
      </c>
      <c r="R1303" s="36">
        <v>1.0500000000000001E-2</v>
      </c>
      <c r="S1303" s="37">
        <v>4.1999999999999997E-3</v>
      </c>
    </row>
    <row r="1304" spans="1:19" x14ac:dyDescent="0.2">
      <c r="A1304" s="1"/>
      <c r="B1304" s="13">
        <v>43822</v>
      </c>
      <c r="C1304" s="14">
        <v>90.75</v>
      </c>
      <c r="D1304" s="15">
        <v>229627</v>
      </c>
      <c r="E1304" s="14">
        <v>91.37</v>
      </c>
      <c r="F1304" s="14">
        <v>91.44</v>
      </c>
      <c r="G1304" s="16">
        <v>89.34</v>
      </c>
      <c r="H1304" s="69">
        <f t="shared" si="35"/>
        <v>-6.4593825268228766E-3</v>
      </c>
      <c r="O1304" s="1319"/>
      <c r="P1304" s="1319"/>
      <c r="Q1304" s="35">
        <v>44223</v>
      </c>
      <c r="R1304" s="36">
        <v>1.04E-2</v>
      </c>
      <c r="S1304" s="37">
        <v>4.0999999999999995E-3</v>
      </c>
    </row>
    <row r="1305" spans="1:19" x14ac:dyDescent="0.2">
      <c r="A1305" s="1"/>
      <c r="B1305" s="13">
        <v>43819</v>
      </c>
      <c r="C1305" s="14">
        <v>91.34</v>
      </c>
      <c r="D1305" s="15">
        <v>1055964</v>
      </c>
      <c r="E1305" s="14">
        <v>90.78</v>
      </c>
      <c r="F1305" s="14">
        <v>91.89</v>
      </c>
      <c r="G1305" s="16">
        <v>89.97</v>
      </c>
      <c r="H1305" s="69">
        <f t="shared" si="35"/>
        <v>9.2817679558010457E-3</v>
      </c>
      <c r="O1305" s="1319"/>
      <c r="P1305" s="1319"/>
      <c r="Q1305" s="35">
        <v>44224</v>
      </c>
      <c r="R1305" s="36">
        <v>1.0700000000000001E-2</v>
      </c>
      <c r="S1305" s="37">
        <v>4.1999999999999997E-3</v>
      </c>
    </row>
    <row r="1306" spans="1:19" x14ac:dyDescent="0.2">
      <c r="A1306" s="1"/>
      <c r="B1306" s="13">
        <v>43818</v>
      </c>
      <c r="C1306" s="14">
        <v>90.5</v>
      </c>
      <c r="D1306" s="15">
        <v>318400</v>
      </c>
      <c r="E1306" s="14">
        <v>91.53</v>
      </c>
      <c r="F1306" s="14">
        <v>92.59</v>
      </c>
      <c r="G1306" s="16">
        <v>90.38</v>
      </c>
      <c r="H1306" s="69">
        <f t="shared" si="35"/>
        <v>-1.0388190267905939E-2</v>
      </c>
      <c r="O1306" s="1319"/>
      <c r="P1306" s="1319"/>
      <c r="Q1306" s="35">
        <v>44225</v>
      </c>
      <c r="R1306" s="36">
        <v>1.11E-2</v>
      </c>
      <c r="S1306" s="37">
        <v>4.5000000000000005E-3</v>
      </c>
    </row>
    <row r="1307" spans="1:19" x14ac:dyDescent="0.2">
      <c r="A1307" s="1"/>
      <c r="B1307" s="13">
        <v>43817</v>
      </c>
      <c r="C1307" s="14">
        <v>91.45</v>
      </c>
      <c r="D1307" s="15">
        <v>214689</v>
      </c>
      <c r="E1307" s="14">
        <v>91.28</v>
      </c>
      <c r="F1307" s="14">
        <v>91.915000000000006</v>
      </c>
      <c r="G1307" s="16">
        <v>88.97</v>
      </c>
      <c r="H1307" s="69">
        <f t="shared" si="35"/>
        <v>1.2042916575432105E-3</v>
      </c>
      <c r="O1307" s="1319"/>
      <c r="P1307" s="1319"/>
      <c r="Q1307" s="35">
        <v>44228</v>
      </c>
      <c r="R1307" s="36">
        <v>1.09E-2</v>
      </c>
      <c r="S1307" s="37">
        <v>4.1999999999999997E-3</v>
      </c>
    </row>
    <row r="1308" spans="1:19" x14ac:dyDescent="0.2">
      <c r="A1308" s="1"/>
      <c r="B1308" s="13">
        <v>43816</v>
      </c>
      <c r="C1308" s="14">
        <v>91.34</v>
      </c>
      <c r="D1308" s="15">
        <v>184033</v>
      </c>
      <c r="E1308" s="14">
        <v>92.27</v>
      </c>
      <c r="F1308" s="14">
        <v>94.504999999999995</v>
      </c>
      <c r="G1308" s="16">
        <v>90.72</v>
      </c>
      <c r="H1308" s="69">
        <f t="shared" si="35"/>
        <v>-6.634040239260508E-3</v>
      </c>
      <c r="O1308" s="1319"/>
      <c r="P1308" s="1319"/>
      <c r="Q1308" s="35">
        <v>44229</v>
      </c>
      <c r="R1308" s="36">
        <v>1.1200000000000002E-2</v>
      </c>
      <c r="S1308" s="37">
        <v>4.5000000000000005E-3</v>
      </c>
    </row>
    <row r="1309" spans="1:19" x14ac:dyDescent="0.2">
      <c r="A1309" s="1"/>
      <c r="B1309" s="13">
        <v>43815</v>
      </c>
      <c r="C1309" s="14">
        <v>91.95</v>
      </c>
      <c r="D1309" s="15">
        <v>255065</v>
      </c>
      <c r="E1309" s="14">
        <v>91.81</v>
      </c>
      <c r="F1309" s="14">
        <v>93.29</v>
      </c>
      <c r="G1309" s="16">
        <v>91.56</v>
      </c>
      <c r="H1309" s="69">
        <f t="shared" si="35"/>
        <v>3.9305601048149619E-3</v>
      </c>
      <c r="O1309" s="1319"/>
      <c r="P1309" s="1319"/>
      <c r="Q1309" s="35">
        <v>44230</v>
      </c>
      <c r="R1309" s="36">
        <v>1.15E-2</v>
      </c>
      <c r="S1309" s="37">
        <v>4.5999999999999999E-3</v>
      </c>
    </row>
    <row r="1310" spans="1:19" x14ac:dyDescent="0.2">
      <c r="A1310" s="1"/>
      <c r="B1310" s="13">
        <v>43812</v>
      </c>
      <c r="C1310" s="14">
        <v>91.59</v>
      </c>
      <c r="D1310" s="15">
        <v>207899</v>
      </c>
      <c r="E1310" s="14">
        <v>94.6</v>
      </c>
      <c r="F1310" s="14">
        <v>94.6</v>
      </c>
      <c r="G1310" s="16">
        <v>90.86</v>
      </c>
      <c r="H1310" s="69">
        <f t="shared" si="35"/>
        <v>-3.0691078420996831E-2</v>
      </c>
      <c r="O1310" s="1319"/>
      <c r="P1310" s="1319"/>
      <c r="Q1310" s="35">
        <v>44231</v>
      </c>
      <c r="R1310" s="36">
        <v>1.15E-2</v>
      </c>
      <c r="S1310" s="37">
        <v>4.5999999999999999E-3</v>
      </c>
    </row>
    <row r="1311" spans="1:19" x14ac:dyDescent="0.2">
      <c r="A1311" s="1"/>
      <c r="B1311" s="13">
        <v>43811</v>
      </c>
      <c r="C1311" s="14">
        <v>94.49</v>
      </c>
      <c r="D1311" s="15">
        <v>423500</v>
      </c>
      <c r="E1311" s="14">
        <v>93.26</v>
      </c>
      <c r="F1311" s="14">
        <v>95.53</v>
      </c>
      <c r="G1311" s="16">
        <v>92.29</v>
      </c>
      <c r="H1311" s="69">
        <f t="shared" si="35"/>
        <v>1.1561931270741788E-2</v>
      </c>
      <c r="O1311" s="1319"/>
      <c r="P1311" s="1319"/>
      <c r="Q1311" s="35">
        <v>44232</v>
      </c>
      <c r="R1311" s="36">
        <v>1.1899999999999999E-2</v>
      </c>
      <c r="S1311" s="37">
        <v>4.6999999999999993E-3</v>
      </c>
    </row>
    <row r="1312" spans="1:19" x14ac:dyDescent="0.2">
      <c r="A1312" s="1"/>
      <c r="B1312" s="13">
        <v>43810</v>
      </c>
      <c r="C1312" s="14">
        <v>93.41</v>
      </c>
      <c r="D1312" s="15">
        <v>180928</v>
      </c>
      <c r="E1312" s="14">
        <v>91.97</v>
      </c>
      <c r="F1312" s="14">
        <v>93.87</v>
      </c>
      <c r="G1312" s="16">
        <v>91.73</v>
      </c>
      <c r="H1312" s="69">
        <f t="shared" si="35"/>
        <v>2.2103074734653561E-2</v>
      </c>
      <c r="O1312" s="1319"/>
      <c r="P1312" s="1319"/>
      <c r="Q1312" s="35">
        <v>44235</v>
      </c>
      <c r="R1312" s="36">
        <v>1.1899999999999999E-2</v>
      </c>
      <c r="S1312" s="37">
        <v>4.7999999999999996E-3</v>
      </c>
    </row>
    <row r="1313" spans="1:19" x14ac:dyDescent="0.2">
      <c r="A1313" s="1"/>
      <c r="B1313" s="13">
        <v>43809</v>
      </c>
      <c r="C1313" s="14">
        <v>91.39</v>
      </c>
      <c r="D1313" s="15">
        <v>178614</v>
      </c>
      <c r="E1313" s="14">
        <v>92.03</v>
      </c>
      <c r="F1313" s="14">
        <v>92.03</v>
      </c>
      <c r="G1313" s="16">
        <v>90.48</v>
      </c>
      <c r="H1313" s="69">
        <f t="shared" si="35"/>
        <v>-9.3224932249322823E-3</v>
      </c>
      <c r="O1313" s="1319"/>
      <c r="P1313" s="1319"/>
      <c r="Q1313" s="35">
        <v>44236</v>
      </c>
      <c r="R1313" s="36">
        <v>1.18E-2</v>
      </c>
      <c r="S1313" s="37">
        <v>4.7999999999999996E-3</v>
      </c>
    </row>
    <row r="1314" spans="1:19" x14ac:dyDescent="0.2">
      <c r="A1314" s="1"/>
      <c r="B1314" s="13">
        <v>43808</v>
      </c>
      <c r="C1314" s="14">
        <v>92.25</v>
      </c>
      <c r="D1314" s="15">
        <v>240861</v>
      </c>
      <c r="E1314" s="14">
        <v>89.53</v>
      </c>
      <c r="F1314" s="14">
        <v>92.49</v>
      </c>
      <c r="G1314" s="16">
        <v>89.53</v>
      </c>
      <c r="H1314" s="69">
        <f t="shared" si="35"/>
        <v>2.4772272828260444E-2</v>
      </c>
      <c r="O1314" s="1319"/>
      <c r="P1314" s="1319"/>
      <c r="Q1314" s="35">
        <v>44237</v>
      </c>
      <c r="R1314" s="36">
        <v>1.15E-2</v>
      </c>
      <c r="S1314" s="37">
        <v>4.5999999999999999E-3</v>
      </c>
    </row>
    <row r="1315" spans="1:19" x14ac:dyDescent="0.2">
      <c r="A1315" s="1"/>
      <c r="B1315" s="13">
        <v>43805</v>
      </c>
      <c r="C1315" s="14">
        <v>90.02</v>
      </c>
      <c r="D1315" s="15">
        <v>279120</v>
      </c>
      <c r="E1315" s="14">
        <v>89.51</v>
      </c>
      <c r="F1315" s="14">
        <v>91.35</v>
      </c>
      <c r="G1315" s="16">
        <v>89.21</v>
      </c>
      <c r="H1315" s="69">
        <f t="shared" si="35"/>
        <v>1.3396375098502666E-2</v>
      </c>
      <c r="O1315" s="1319"/>
      <c r="P1315" s="1319"/>
      <c r="Q1315" s="35">
        <v>44238</v>
      </c>
      <c r="R1315" s="36">
        <v>1.1599999999999999E-2</v>
      </c>
      <c r="S1315" s="37">
        <v>4.5999999999999999E-3</v>
      </c>
    </row>
    <row r="1316" spans="1:19" x14ac:dyDescent="0.2">
      <c r="A1316" s="1"/>
      <c r="B1316" s="13">
        <v>43804</v>
      </c>
      <c r="C1316" s="14">
        <v>88.83</v>
      </c>
      <c r="D1316" s="15">
        <v>274028</v>
      </c>
      <c r="E1316" s="14">
        <v>87</v>
      </c>
      <c r="F1316" s="14">
        <v>89.105000000000004</v>
      </c>
      <c r="G1316" s="16">
        <v>86.694999999999993</v>
      </c>
      <c r="H1316" s="69">
        <f t="shared" si="35"/>
        <v>1.9745149810584284E-2</v>
      </c>
      <c r="O1316" s="1319"/>
      <c r="P1316" s="1319"/>
      <c r="Q1316" s="35">
        <v>44239</v>
      </c>
      <c r="R1316" s="36">
        <v>1.2E-2</v>
      </c>
      <c r="S1316" s="37">
        <v>5.0000000000000001E-3</v>
      </c>
    </row>
    <row r="1317" spans="1:19" x14ac:dyDescent="0.2">
      <c r="A1317" s="1"/>
      <c r="B1317" s="13">
        <v>43803</v>
      </c>
      <c r="C1317" s="14">
        <v>87.11</v>
      </c>
      <c r="D1317" s="15">
        <v>289173</v>
      </c>
      <c r="E1317" s="14">
        <v>87.12</v>
      </c>
      <c r="F1317" s="14">
        <v>89.33</v>
      </c>
      <c r="G1317" s="16">
        <v>86.99</v>
      </c>
      <c r="H1317" s="69">
        <f t="shared" si="35"/>
        <v>6.9356143798404712E-3</v>
      </c>
      <c r="O1317" s="1319"/>
      <c r="P1317" s="1319"/>
      <c r="Q1317" s="35">
        <v>44243</v>
      </c>
      <c r="R1317" s="36">
        <v>1.3000000000000001E-2</v>
      </c>
      <c r="S1317" s="37">
        <v>5.6999999999999993E-3</v>
      </c>
    </row>
    <row r="1318" spans="1:19" x14ac:dyDescent="0.2">
      <c r="A1318" s="1"/>
      <c r="B1318" s="13">
        <v>43802</v>
      </c>
      <c r="C1318" s="14">
        <v>86.51</v>
      </c>
      <c r="D1318" s="15">
        <v>512006</v>
      </c>
      <c r="E1318" s="14">
        <v>88.68</v>
      </c>
      <c r="F1318" s="14">
        <v>91.27</v>
      </c>
      <c r="G1318" s="16">
        <v>85.81</v>
      </c>
      <c r="H1318" s="69">
        <f t="shared" si="35"/>
        <v>-4.2183348095659712E-2</v>
      </c>
      <c r="O1318" s="1319"/>
      <c r="P1318" s="1319"/>
      <c r="Q1318" s="35">
        <v>44244</v>
      </c>
      <c r="R1318" s="36">
        <v>1.29E-2</v>
      </c>
      <c r="S1318" s="37">
        <v>5.6999999999999993E-3</v>
      </c>
    </row>
    <row r="1319" spans="1:19" x14ac:dyDescent="0.2">
      <c r="A1319" s="1"/>
      <c r="B1319" s="13">
        <v>43801</v>
      </c>
      <c r="C1319" s="14">
        <v>90.32</v>
      </c>
      <c r="D1319" s="15">
        <v>327020</v>
      </c>
      <c r="E1319" s="14">
        <v>94.8</v>
      </c>
      <c r="F1319" s="14">
        <v>95</v>
      </c>
      <c r="G1319" s="16">
        <v>90.02</v>
      </c>
      <c r="H1319" s="69">
        <f t="shared" si="35"/>
        <v>-4.8261327713382651E-2</v>
      </c>
      <c r="O1319" s="1319"/>
      <c r="P1319" s="1319"/>
      <c r="Q1319" s="35">
        <v>44245</v>
      </c>
      <c r="R1319" s="36">
        <v>1.29E-2</v>
      </c>
      <c r="S1319" s="37">
        <v>5.6000000000000008E-3</v>
      </c>
    </row>
    <row r="1320" spans="1:19" x14ac:dyDescent="0.2">
      <c r="A1320" s="1"/>
      <c r="B1320" s="13">
        <v>43798</v>
      </c>
      <c r="C1320" s="14">
        <v>94.9</v>
      </c>
      <c r="D1320" s="15">
        <v>85854</v>
      </c>
      <c r="E1320" s="14">
        <v>95.28</v>
      </c>
      <c r="F1320" s="14">
        <v>96.44</v>
      </c>
      <c r="G1320" s="16">
        <v>94.25</v>
      </c>
      <c r="H1320" s="69">
        <f t="shared" ref="H1320:H1383" si="36">C1320/C1321-1</f>
        <v>-4.9281744783474801E-3</v>
      </c>
      <c r="O1320" s="1319"/>
      <c r="P1320" s="1319"/>
      <c r="Q1320" s="35">
        <v>44246</v>
      </c>
      <c r="R1320" s="36">
        <v>1.34E-2</v>
      </c>
      <c r="S1320" s="37">
        <v>5.8999999999999999E-3</v>
      </c>
    </row>
    <row r="1321" spans="1:19" x14ac:dyDescent="0.2">
      <c r="A1321" s="1"/>
      <c r="B1321" s="13">
        <v>43796</v>
      </c>
      <c r="C1321" s="14">
        <v>95.37</v>
      </c>
      <c r="D1321" s="15">
        <v>505933</v>
      </c>
      <c r="E1321" s="14">
        <v>96.57</v>
      </c>
      <c r="F1321" s="14">
        <v>97.09</v>
      </c>
      <c r="G1321" s="16">
        <v>95.034999999999997</v>
      </c>
      <c r="H1321" s="69">
        <f t="shared" si="36"/>
        <v>-1.0992429741781606E-2</v>
      </c>
      <c r="O1321" s="1319"/>
      <c r="P1321" s="1319"/>
      <c r="Q1321" s="35">
        <v>44249</v>
      </c>
      <c r="R1321" s="36">
        <v>1.37E-2</v>
      </c>
      <c r="S1321" s="37">
        <v>6.0999999999999995E-3</v>
      </c>
    </row>
    <row r="1322" spans="1:19" x14ac:dyDescent="0.2">
      <c r="A1322" s="1"/>
      <c r="B1322" s="13">
        <v>43795</v>
      </c>
      <c r="C1322" s="14">
        <v>96.43</v>
      </c>
      <c r="D1322" s="15">
        <v>201139</v>
      </c>
      <c r="E1322" s="14">
        <v>94.48</v>
      </c>
      <c r="F1322" s="14">
        <v>96.56</v>
      </c>
      <c r="G1322" s="16">
        <v>94.13</v>
      </c>
      <c r="H1322" s="69">
        <f t="shared" si="36"/>
        <v>2.1937261551504994E-2</v>
      </c>
      <c r="O1322" s="1319"/>
      <c r="P1322" s="1319"/>
      <c r="Q1322" s="35">
        <v>44250</v>
      </c>
      <c r="R1322" s="36">
        <v>1.37E-2</v>
      </c>
      <c r="S1322" s="37">
        <v>5.8999999999999999E-3</v>
      </c>
    </row>
    <row r="1323" spans="1:19" x14ac:dyDescent="0.2">
      <c r="A1323" s="1"/>
      <c r="B1323" s="13">
        <v>43794</v>
      </c>
      <c r="C1323" s="14">
        <v>94.36</v>
      </c>
      <c r="D1323" s="15">
        <v>343104</v>
      </c>
      <c r="E1323" s="14">
        <v>92.86</v>
      </c>
      <c r="F1323" s="14">
        <v>95.34</v>
      </c>
      <c r="G1323" s="16">
        <v>90.891999999999996</v>
      </c>
      <c r="H1323" s="69">
        <f t="shared" si="36"/>
        <v>1.3969482054588367E-2</v>
      </c>
      <c r="O1323" s="1319"/>
      <c r="P1323" s="1319"/>
      <c r="Q1323" s="35">
        <v>44251</v>
      </c>
      <c r="R1323" s="36">
        <v>1.38E-2</v>
      </c>
      <c r="S1323" s="37">
        <v>6.1999999999999998E-3</v>
      </c>
    </row>
    <row r="1324" spans="1:19" x14ac:dyDescent="0.2">
      <c r="A1324" s="1"/>
      <c r="B1324" s="13">
        <v>43791</v>
      </c>
      <c r="C1324" s="14">
        <v>93.06</v>
      </c>
      <c r="D1324" s="15">
        <v>194235</v>
      </c>
      <c r="E1324" s="14">
        <v>96.37</v>
      </c>
      <c r="F1324" s="14">
        <v>96.94</v>
      </c>
      <c r="G1324" s="16">
        <v>92.47</v>
      </c>
      <c r="H1324" s="69">
        <f t="shared" si="36"/>
        <v>-2.7382943143812732E-2</v>
      </c>
      <c r="O1324" s="1319"/>
      <c r="P1324" s="1319"/>
      <c r="Q1324" s="35">
        <v>44252</v>
      </c>
      <c r="R1324" s="36">
        <v>1.54E-2</v>
      </c>
      <c r="S1324" s="37">
        <v>8.1000000000000013E-3</v>
      </c>
    </row>
    <row r="1325" spans="1:19" x14ac:dyDescent="0.2">
      <c r="A1325" s="1"/>
      <c r="B1325" s="13">
        <v>43790</v>
      </c>
      <c r="C1325" s="14">
        <v>95.68</v>
      </c>
      <c r="D1325" s="15">
        <v>316760</v>
      </c>
      <c r="E1325" s="14">
        <v>96.86</v>
      </c>
      <c r="F1325" s="14">
        <v>97.09</v>
      </c>
      <c r="G1325" s="16">
        <v>94.93</v>
      </c>
      <c r="H1325" s="69">
        <f t="shared" si="36"/>
        <v>-6.1285966552403481E-3</v>
      </c>
      <c r="O1325" s="1319"/>
      <c r="P1325" s="1319"/>
      <c r="Q1325" s="35">
        <v>44253</v>
      </c>
      <c r="R1325" s="36">
        <v>1.44E-2</v>
      </c>
      <c r="S1325" s="37">
        <v>7.4999999999999997E-3</v>
      </c>
    </row>
    <row r="1326" spans="1:19" x14ac:dyDescent="0.2">
      <c r="A1326" s="1"/>
      <c r="B1326" s="13">
        <v>43789</v>
      </c>
      <c r="C1326" s="14">
        <v>96.27</v>
      </c>
      <c r="D1326" s="15">
        <v>229589</v>
      </c>
      <c r="E1326" s="14">
        <v>96.12</v>
      </c>
      <c r="F1326" s="14">
        <v>97.640799999999999</v>
      </c>
      <c r="G1326" s="16">
        <v>95.51</v>
      </c>
      <c r="H1326" s="69">
        <f t="shared" si="36"/>
        <v>-8.0370942812982848E-3</v>
      </c>
      <c r="O1326" s="1319"/>
      <c r="P1326" s="1319"/>
      <c r="Q1326" s="35">
        <v>44256</v>
      </c>
      <c r="R1326" s="36">
        <v>1.4499999999999999E-2</v>
      </c>
      <c r="S1326" s="37">
        <v>7.0999999999999995E-3</v>
      </c>
    </row>
    <row r="1327" spans="1:19" x14ac:dyDescent="0.2">
      <c r="A1327" s="1"/>
      <c r="B1327" s="13">
        <v>43788</v>
      </c>
      <c r="C1327" s="14">
        <v>97.05</v>
      </c>
      <c r="D1327" s="15">
        <v>157195</v>
      </c>
      <c r="E1327" s="14">
        <v>97.16</v>
      </c>
      <c r="F1327" s="14">
        <v>97.99</v>
      </c>
      <c r="G1327" s="16">
        <v>96.03</v>
      </c>
      <c r="H1327" s="69">
        <f t="shared" si="36"/>
        <v>-1.6459212015224045E-3</v>
      </c>
      <c r="O1327" s="1319"/>
      <c r="P1327" s="1319"/>
      <c r="Q1327" s="35">
        <v>44257</v>
      </c>
      <c r="R1327" s="36">
        <v>1.4199999999999999E-2</v>
      </c>
      <c r="S1327" s="37">
        <v>6.7000000000000002E-3</v>
      </c>
    </row>
    <row r="1328" spans="1:19" x14ac:dyDescent="0.2">
      <c r="A1328" s="1"/>
      <c r="B1328" s="13">
        <v>43787</v>
      </c>
      <c r="C1328" s="14">
        <v>97.21</v>
      </c>
      <c r="D1328" s="15">
        <v>225039</v>
      </c>
      <c r="E1328" s="14">
        <v>96.74</v>
      </c>
      <c r="F1328" s="14">
        <v>97.41</v>
      </c>
      <c r="G1328" s="16">
        <v>94.88</v>
      </c>
      <c r="H1328" s="69">
        <f t="shared" si="36"/>
        <v>9.2668863261935464E-4</v>
      </c>
      <c r="O1328" s="1319"/>
      <c r="P1328" s="1319"/>
      <c r="Q1328" s="35">
        <v>44258</v>
      </c>
      <c r="R1328" s="36">
        <v>1.47E-2</v>
      </c>
      <c r="S1328" s="37">
        <v>7.3000000000000001E-3</v>
      </c>
    </row>
    <row r="1329" spans="1:19" x14ac:dyDescent="0.2">
      <c r="A1329" s="1"/>
      <c r="B1329" s="13">
        <v>43784</v>
      </c>
      <c r="C1329" s="14">
        <v>97.12</v>
      </c>
      <c r="D1329" s="15">
        <v>172714</v>
      </c>
      <c r="E1329" s="14">
        <v>99.56</v>
      </c>
      <c r="F1329" s="14">
        <v>99.57</v>
      </c>
      <c r="G1329" s="16">
        <v>97.03</v>
      </c>
      <c r="H1329" s="69">
        <f t="shared" si="36"/>
        <v>-1.5509376583882406E-2</v>
      </c>
      <c r="O1329" s="1319"/>
      <c r="P1329" s="1319"/>
      <c r="Q1329" s="35">
        <v>44259</v>
      </c>
      <c r="R1329" s="36">
        <v>1.54E-2</v>
      </c>
      <c r="S1329" s="37">
        <v>7.7000000000000002E-3</v>
      </c>
    </row>
    <row r="1330" spans="1:19" x14ac:dyDescent="0.2">
      <c r="A1330" s="1"/>
      <c r="B1330" s="13">
        <v>43783</v>
      </c>
      <c r="C1330" s="14">
        <v>98.65</v>
      </c>
      <c r="D1330" s="15">
        <v>197358</v>
      </c>
      <c r="E1330" s="14">
        <v>98.83</v>
      </c>
      <c r="F1330" s="14">
        <v>99.83</v>
      </c>
      <c r="G1330" s="16">
        <v>98.46</v>
      </c>
      <c r="H1330" s="69">
        <f t="shared" si="36"/>
        <v>-4.6413076379779872E-3</v>
      </c>
      <c r="O1330" s="1319"/>
      <c r="P1330" s="1319"/>
      <c r="Q1330" s="35">
        <v>44260</v>
      </c>
      <c r="R1330" s="36">
        <v>1.5600000000000001E-2</v>
      </c>
      <c r="S1330" s="37">
        <v>7.9000000000000008E-3</v>
      </c>
    </row>
    <row r="1331" spans="1:19" x14ac:dyDescent="0.2">
      <c r="A1331" s="1"/>
      <c r="B1331" s="13">
        <v>43782</v>
      </c>
      <c r="C1331" s="14">
        <v>99.11</v>
      </c>
      <c r="D1331" s="15">
        <v>137996</v>
      </c>
      <c r="E1331" s="14">
        <v>98.36</v>
      </c>
      <c r="F1331" s="14">
        <v>99.325000000000003</v>
      </c>
      <c r="G1331" s="16">
        <v>97.238</v>
      </c>
      <c r="H1331" s="69">
        <f t="shared" si="36"/>
        <v>1.009998990000982E-3</v>
      </c>
      <c r="O1331" s="1319"/>
      <c r="P1331" s="1319"/>
      <c r="Q1331" s="35">
        <v>44263</v>
      </c>
      <c r="R1331" s="36">
        <v>1.5900000000000001E-2</v>
      </c>
      <c r="S1331" s="37">
        <v>8.6E-3</v>
      </c>
    </row>
    <row r="1332" spans="1:19" x14ac:dyDescent="0.2">
      <c r="A1332" s="1"/>
      <c r="B1332" s="13">
        <v>43781</v>
      </c>
      <c r="C1332" s="14">
        <v>99.01</v>
      </c>
      <c r="D1332" s="15">
        <v>133442</v>
      </c>
      <c r="E1332" s="14">
        <v>99.57</v>
      </c>
      <c r="F1332" s="14">
        <v>99.98</v>
      </c>
      <c r="G1332" s="16">
        <v>96.74</v>
      </c>
      <c r="H1332" s="69">
        <f t="shared" si="36"/>
        <v>-4.7245677523120033E-3</v>
      </c>
      <c r="O1332" s="1319"/>
      <c r="P1332" s="1319"/>
      <c r="Q1332" s="35">
        <v>44264</v>
      </c>
      <c r="R1332" s="36">
        <v>1.55E-2</v>
      </c>
      <c r="S1332" s="37">
        <v>8.3000000000000001E-3</v>
      </c>
    </row>
    <row r="1333" spans="1:19" x14ac:dyDescent="0.2">
      <c r="A1333" s="1"/>
      <c r="B1333" s="13">
        <v>43780</v>
      </c>
      <c r="C1333" s="14">
        <v>99.48</v>
      </c>
      <c r="D1333" s="15">
        <v>133950</v>
      </c>
      <c r="E1333" s="14">
        <v>97.37</v>
      </c>
      <c r="F1333" s="14">
        <v>99.504999999999995</v>
      </c>
      <c r="G1333" s="16">
        <v>97.3</v>
      </c>
      <c r="H1333" s="69">
        <f t="shared" si="36"/>
        <v>1.3034623217922592E-2</v>
      </c>
      <c r="O1333" s="1319"/>
      <c r="P1333" s="1319"/>
      <c r="Q1333" s="35">
        <v>44265</v>
      </c>
      <c r="R1333" s="36">
        <v>1.5300000000000001E-2</v>
      </c>
      <c r="S1333" s="37">
        <v>8.0000000000000002E-3</v>
      </c>
    </row>
    <row r="1334" spans="1:19" x14ac:dyDescent="0.2">
      <c r="A1334" s="1"/>
      <c r="B1334" s="13">
        <v>43777</v>
      </c>
      <c r="C1334" s="14">
        <v>98.2</v>
      </c>
      <c r="D1334" s="15">
        <v>179408</v>
      </c>
      <c r="E1334" s="14">
        <v>98.4</v>
      </c>
      <c r="F1334" s="14">
        <v>99.43</v>
      </c>
      <c r="G1334" s="16">
        <v>96.92</v>
      </c>
      <c r="H1334" s="69">
        <f t="shared" si="36"/>
        <v>-2.0325203252032908E-3</v>
      </c>
      <c r="O1334" s="1319"/>
      <c r="P1334" s="1319"/>
      <c r="Q1334" s="35">
        <v>44266</v>
      </c>
      <c r="R1334" s="36">
        <v>1.54E-2</v>
      </c>
      <c r="S1334" s="37">
        <v>7.8000000000000005E-3</v>
      </c>
    </row>
    <row r="1335" spans="1:19" x14ac:dyDescent="0.2">
      <c r="A1335" s="1"/>
      <c r="B1335" s="13">
        <v>43776</v>
      </c>
      <c r="C1335" s="14">
        <v>98.4</v>
      </c>
      <c r="D1335" s="15">
        <v>228773</v>
      </c>
      <c r="E1335" s="14">
        <v>97.98</v>
      </c>
      <c r="F1335" s="14">
        <v>99.16</v>
      </c>
      <c r="G1335" s="16">
        <v>97.49</v>
      </c>
      <c r="H1335" s="69">
        <f t="shared" si="36"/>
        <v>1.3962594672574546E-2</v>
      </c>
      <c r="O1335" s="1319"/>
      <c r="P1335" s="1319"/>
      <c r="Q1335" s="35">
        <v>44267</v>
      </c>
      <c r="R1335" s="36">
        <v>1.6399999999999998E-2</v>
      </c>
      <c r="S1335" s="37">
        <v>8.5000000000000006E-3</v>
      </c>
    </row>
    <row r="1336" spans="1:19" x14ac:dyDescent="0.2">
      <c r="A1336" s="1"/>
      <c r="B1336" s="13">
        <v>43775</v>
      </c>
      <c r="C1336" s="14">
        <v>97.045000000000002</v>
      </c>
      <c r="D1336" s="15">
        <v>357109</v>
      </c>
      <c r="E1336" s="14">
        <v>95.98</v>
      </c>
      <c r="F1336" s="14">
        <v>97.61</v>
      </c>
      <c r="G1336" s="16">
        <v>95.07</v>
      </c>
      <c r="H1336" s="69">
        <f t="shared" si="36"/>
        <v>9.8335067637878026E-3</v>
      </c>
      <c r="O1336" s="1319"/>
      <c r="P1336" s="1319"/>
      <c r="Q1336" s="35">
        <v>44270</v>
      </c>
      <c r="R1336" s="36">
        <v>1.6200000000000003E-2</v>
      </c>
      <c r="S1336" s="37">
        <v>8.3999999999999995E-3</v>
      </c>
    </row>
    <row r="1337" spans="1:19" x14ac:dyDescent="0.2">
      <c r="A1337" s="1"/>
      <c r="B1337" s="13">
        <v>43774</v>
      </c>
      <c r="C1337" s="14">
        <v>96.1</v>
      </c>
      <c r="D1337" s="15">
        <v>398810</v>
      </c>
      <c r="E1337" s="14">
        <v>96.32</v>
      </c>
      <c r="F1337" s="14">
        <v>98.41</v>
      </c>
      <c r="G1337" s="16">
        <v>95.56</v>
      </c>
      <c r="H1337" s="69">
        <f t="shared" si="36"/>
        <v>-9.3564819627822704E-4</v>
      </c>
      <c r="O1337" s="1319"/>
      <c r="P1337" s="1319"/>
      <c r="Q1337" s="35">
        <v>44271</v>
      </c>
      <c r="R1337" s="36">
        <v>1.6200000000000003E-2</v>
      </c>
      <c r="S1337" s="37">
        <v>8.3000000000000001E-3</v>
      </c>
    </row>
    <row r="1338" spans="1:19" x14ac:dyDescent="0.2">
      <c r="A1338" s="1"/>
      <c r="B1338" s="13">
        <v>43773</v>
      </c>
      <c r="C1338" s="14">
        <v>96.19</v>
      </c>
      <c r="D1338" s="15">
        <v>406883</v>
      </c>
      <c r="E1338" s="14">
        <v>93.76</v>
      </c>
      <c r="F1338" s="14">
        <v>96.298900000000003</v>
      </c>
      <c r="G1338" s="16">
        <v>93.7</v>
      </c>
      <c r="H1338" s="69">
        <f t="shared" si="36"/>
        <v>3.0643951569699013E-2</v>
      </c>
      <c r="O1338" s="1319"/>
      <c r="P1338" s="1319"/>
      <c r="Q1338" s="35">
        <v>44272</v>
      </c>
      <c r="R1338" s="36">
        <v>1.6299999999999999E-2</v>
      </c>
      <c r="S1338" s="37">
        <v>8.0000000000000002E-3</v>
      </c>
    </row>
    <row r="1339" spans="1:19" x14ac:dyDescent="0.2">
      <c r="A1339" s="1"/>
      <c r="B1339" s="13">
        <v>43770</v>
      </c>
      <c r="C1339" s="14">
        <v>93.33</v>
      </c>
      <c r="D1339" s="15">
        <v>283844</v>
      </c>
      <c r="E1339" s="14">
        <v>89.68</v>
      </c>
      <c r="F1339" s="14">
        <v>93.34</v>
      </c>
      <c r="G1339" s="16">
        <v>88.921800000000005</v>
      </c>
      <c r="H1339" s="69">
        <f t="shared" si="36"/>
        <v>4.6300448430493191E-2</v>
      </c>
      <c r="O1339" s="1319"/>
      <c r="P1339" s="1319"/>
      <c r="Q1339" s="35">
        <v>44273</v>
      </c>
      <c r="R1339" s="36">
        <v>1.7100000000000001E-2</v>
      </c>
      <c r="S1339" s="37">
        <v>8.6E-3</v>
      </c>
    </row>
    <row r="1340" spans="1:19" x14ac:dyDescent="0.2">
      <c r="A1340" s="1"/>
      <c r="B1340" s="13">
        <v>43769</v>
      </c>
      <c r="C1340" s="14">
        <v>89.2</v>
      </c>
      <c r="D1340" s="15">
        <v>422041</v>
      </c>
      <c r="E1340" s="14">
        <v>91.43</v>
      </c>
      <c r="F1340" s="14">
        <v>92.42</v>
      </c>
      <c r="G1340" s="16">
        <v>87.694199999999995</v>
      </c>
      <c r="H1340" s="69">
        <f t="shared" si="36"/>
        <v>-3.6821077637404165E-2</v>
      </c>
      <c r="O1340" s="1319"/>
      <c r="P1340" s="1319"/>
      <c r="Q1340" s="35">
        <v>44274</v>
      </c>
      <c r="R1340" s="36">
        <v>1.7399999999999999E-2</v>
      </c>
      <c r="S1340" s="37">
        <v>9.0000000000000011E-3</v>
      </c>
    </row>
    <row r="1341" spans="1:19" x14ac:dyDescent="0.2">
      <c r="A1341" s="1"/>
      <c r="B1341" s="13">
        <v>43768</v>
      </c>
      <c r="C1341" s="14">
        <v>92.61</v>
      </c>
      <c r="D1341" s="15">
        <v>1129706</v>
      </c>
      <c r="E1341" s="14">
        <v>98.52</v>
      </c>
      <c r="F1341" s="14">
        <v>104.5</v>
      </c>
      <c r="G1341" s="16">
        <v>90.015000000000001</v>
      </c>
      <c r="H1341" s="69">
        <f t="shared" si="36"/>
        <v>-0.11783196799390361</v>
      </c>
      <c r="O1341" s="1319"/>
      <c r="P1341" s="1319"/>
      <c r="Q1341" s="35">
        <v>44277</v>
      </c>
      <c r="R1341" s="36">
        <v>1.6899999999999998E-2</v>
      </c>
      <c r="S1341" s="37">
        <v>8.6999999999999994E-3</v>
      </c>
    </row>
    <row r="1342" spans="1:19" x14ac:dyDescent="0.2">
      <c r="A1342" s="1"/>
      <c r="B1342" s="13">
        <v>43767</v>
      </c>
      <c r="C1342" s="14">
        <v>104.98</v>
      </c>
      <c r="D1342" s="15">
        <v>438016</v>
      </c>
      <c r="E1342" s="14">
        <v>104.89</v>
      </c>
      <c r="F1342" s="14">
        <v>107</v>
      </c>
      <c r="G1342" s="16">
        <v>104.645</v>
      </c>
      <c r="H1342" s="69">
        <f t="shared" si="36"/>
        <v>-2.1861039825110673E-3</v>
      </c>
      <c r="O1342" s="1319"/>
      <c r="P1342" s="1319"/>
      <c r="Q1342" s="35">
        <v>44278</v>
      </c>
      <c r="R1342" s="36">
        <v>1.6299999999999999E-2</v>
      </c>
      <c r="S1342" s="37">
        <v>8.3000000000000001E-3</v>
      </c>
    </row>
    <row r="1343" spans="1:19" x14ac:dyDescent="0.2">
      <c r="A1343" s="1"/>
      <c r="B1343" s="13">
        <v>43766</v>
      </c>
      <c r="C1343" s="14">
        <v>105.21</v>
      </c>
      <c r="D1343" s="15">
        <v>395288</v>
      </c>
      <c r="E1343" s="14">
        <v>103.5</v>
      </c>
      <c r="F1343" s="14">
        <v>105.52</v>
      </c>
      <c r="G1343" s="16">
        <v>103.5</v>
      </c>
      <c r="H1343" s="69">
        <f t="shared" si="36"/>
        <v>2.0861633999611717E-2</v>
      </c>
      <c r="O1343" s="1319"/>
      <c r="P1343" s="1319"/>
      <c r="Q1343" s="35">
        <v>44279</v>
      </c>
      <c r="R1343" s="36">
        <v>1.6200000000000003E-2</v>
      </c>
      <c r="S1343" s="37">
        <v>8.3000000000000001E-3</v>
      </c>
    </row>
    <row r="1344" spans="1:19" x14ac:dyDescent="0.2">
      <c r="A1344" s="1"/>
      <c r="B1344" s="13">
        <v>43763</v>
      </c>
      <c r="C1344" s="14">
        <v>103.06</v>
      </c>
      <c r="D1344" s="15">
        <v>524835</v>
      </c>
      <c r="E1344" s="14">
        <v>99.56</v>
      </c>
      <c r="F1344" s="14">
        <v>103.74</v>
      </c>
      <c r="G1344" s="16">
        <v>98.984999999999999</v>
      </c>
      <c r="H1344" s="69">
        <f t="shared" si="36"/>
        <v>3.2148222333500343E-2</v>
      </c>
      <c r="O1344" s="1319"/>
      <c r="P1344" s="1319"/>
      <c r="Q1344" s="35">
        <v>44280</v>
      </c>
      <c r="R1344" s="36">
        <v>1.6299999999999999E-2</v>
      </c>
      <c r="S1344" s="37">
        <v>8.199999999999999E-3</v>
      </c>
    </row>
    <row r="1345" spans="1:19" x14ac:dyDescent="0.2">
      <c r="A1345" s="1"/>
      <c r="B1345" s="13">
        <v>43762</v>
      </c>
      <c r="C1345" s="14">
        <v>99.85</v>
      </c>
      <c r="D1345" s="15">
        <v>278626</v>
      </c>
      <c r="E1345" s="14">
        <v>98.48</v>
      </c>
      <c r="F1345" s="14">
        <v>99.91</v>
      </c>
      <c r="G1345" s="16">
        <v>96.2</v>
      </c>
      <c r="H1345" s="69">
        <f t="shared" si="36"/>
        <v>1.2061625785525942E-2</v>
      </c>
      <c r="O1345" s="1319"/>
      <c r="P1345" s="1319"/>
      <c r="Q1345" s="35">
        <v>44281</v>
      </c>
      <c r="R1345" s="36">
        <v>1.67E-2</v>
      </c>
      <c r="S1345" s="37">
        <v>8.5000000000000006E-3</v>
      </c>
    </row>
    <row r="1346" spans="1:19" x14ac:dyDescent="0.2">
      <c r="A1346" s="1"/>
      <c r="B1346" s="13">
        <v>43761</v>
      </c>
      <c r="C1346" s="14">
        <v>98.66</v>
      </c>
      <c r="D1346" s="15">
        <v>227452</v>
      </c>
      <c r="E1346" s="14">
        <v>98.35</v>
      </c>
      <c r="F1346" s="14">
        <v>98.77</v>
      </c>
      <c r="G1346" s="16">
        <v>97.33</v>
      </c>
      <c r="H1346" s="69">
        <f t="shared" si="36"/>
        <v>3.1520081342144568E-3</v>
      </c>
      <c r="O1346" s="1319"/>
      <c r="P1346" s="1319"/>
      <c r="Q1346" s="35">
        <v>44284</v>
      </c>
      <c r="R1346" s="36">
        <v>1.7299999999999999E-2</v>
      </c>
      <c r="S1346" s="37">
        <v>8.8999999999999999E-3</v>
      </c>
    </row>
    <row r="1347" spans="1:19" x14ac:dyDescent="0.2">
      <c r="A1347" s="1"/>
      <c r="B1347" s="13">
        <v>43760</v>
      </c>
      <c r="C1347" s="14">
        <v>98.35</v>
      </c>
      <c r="D1347" s="15">
        <v>199667</v>
      </c>
      <c r="E1347" s="14">
        <v>99.71</v>
      </c>
      <c r="F1347" s="14">
        <v>100.89</v>
      </c>
      <c r="G1347" s="16">
        <v>98.19</v>
      </c>
      <c r="H1347" s="69">
        <f t="shared" si="36"/>
        <v>-1.2054244098443023E-2</v>
      </c>
      <c r="O1347" s="1319"/>
      <c r="P1347" s="1319"/>
      <c r="Q1347" s="35">
        <v>44285</v>
      </c>
      <c r="R1347" s="36">
        <v>1.7299999999999999E-2</v>
      </c>
      <c r="S1347" s="37">
        <v>9.0000000000000011E-3</v>
      </c>
    </row>
    <row r="1348" spans="1:19" x14ac:dyDescent="0.2">
      <c r="A1348" s="1"/>
      <c r="B1348" s="13">
        <v>43759</v>
      </c>
      <c r="C1348" s="14">
        <v>99.55</v>
      </c>
      <c r="D1348" s="15">
        <v>303266</v>
      </c>
      <c r="E1348" s="14">
        <v>99.49</v>
      </c>
      <c r="F1348" s="14">
        <v>101</v>
      </c>
      <c r="G1348" s="16">
        <v>98.69</v>
      </c>
      <c r="H1348" s="69">
        <f t="shared" si="36"/>
        <v>9.6348884381338706E-3</v>
      </c>
      <c r="O1348" s="1319"/>
      <c r="P1348" s="1319"/>
      <c r="Q1348" s="35">
        <v>44286</v>
      </c>
      <c r="R1348" s="36">
        <v>1.7399999999999999E-2</v>
      </c>
      <c r="S1348" s="37">
        <v>9.1999999999999998E-3</v>
      </c>
    </row>
    <row r="1349" spans="1:19" x14ac:dyDescent="0.2">
      <c r="A1349" s="1"/>
      <c r="B1349" s="13">
        <v>43756</v>
      </c>
      <c r="C1349" s="14">
        <v>98.6</v>
      </c>
      <c r="D1349" s="15">
        <v>209223</v>
      </c>
      <c r="E1349" s="14">
        <v>97.42</v>
      </c>
      <c r="F1349" s="14">
        <v>99.6</v>
      </c>
      <c r="G1349" s="16">
        <v>96.98</v>
      </c>
      <c r="H1349" s="69">
        <f t="shared" si="36"/>
        <v>1.4090301347320588E-2</v>
      </c>
      <c r="O1349" s="1319"/>
      <c r="P1349" s="1319"/>
      <c r="Q1349" s="35">
        <v>44287</v>
      </c>
      <c r="R1349" s="36">
        <v>1.6899999999999998E-2</v>
      </c>
      <c r="S1349" s="37">
        <v>9.0000000000000011E-3</v>
      </c>
    </row>
    <row r="1350" spans="1:19" x14ac:dyDescent="0.2">
      <c r="A1350" s="1"/>
      <c r="B1350" s="13">
        <v>43755</v>
      </c>
      <c r="C1350" s="14">
        <v>97.23</v>
      </c>
      <c r="D1350" s="15">
        <v>246259</v>
      </c>
      <c r="E1350" s="14">
        <v>96.63</v>
      </c>
      <c r="F1350" s="14">
        <v>97.25</v>
      </c>
      <c r="G1350" s="16">
        <v>96</v>
      </c>
      <c r="H1350" s="69">
        <f t="shared" si="36"/>
        <v>1.4503338898163687E-2</v>
      </c>
      <c r="O1350" s="1319"/>
      <c r="P1350" s="1319"/>
      <c r="Q1350" s="35">
        <v>44288</v>
      </c>
      <c r="R1350" s="36">
        <v>1.72E-2</v>
      </c>
      <c r="S1350" s="37">
        <v>9.7000000000000003E-3</v>
      </c>
    </row>
    <row r="1351" spans="1:19" x14ac:dyDescent="0.2">
      <c r="A1351" s="1"/>
      <c r="B1351" s="13">
        <v>43754</v>
      </c>
      <c r="C1351" s="14">
        <v>95.84</v>
      </c>
      <c r="D1351" s="15">
        <v>329799</v>
      </c>
      <c r="E1351" s="14">
        <v>96.01</v>
      </c>
      <c r="F1351" s="14">
        <v>97.431100000000001</v>
      </c>
      <c r="G1351" s="16">
        <v>95.61</v>
      </c>
      <c r="H1351" s="69">
        <f t="shared" si="36"/>
        <v>-4.8800747585920901E-3</v>
      </c>
      <c r="O1351" s="1319"/>
      <c r="P1351" s="1319"/>
      <c r="Q1351" s="35">
        <v>44291</v>
      </c>
      <c r="R1351" s="36">
        <v>1.7299999999999999E-2</v>
      </c>
      <c r="S1351" s="37">
        <v>9.3999999999999986E-3</v>
      </c>
    </row>
    <row r="1352" spans="1:19" x14ac:dyDescent="0.2">
      <c r="A1352" s="1"/>
      <c r="B1352" s="13">
        <v>43753</v>
      </c>
      <c r="C1352" s="14">
        <v>96.31</v>
      </c>
      <c r="D1352" s="15">
        <v>240538</v>
      </c>
      <c r="E1352" s="14">
        <v>96.77</v>
      </c>
      <c r="F1352" s="14">
        <v>97.81</v>
      </c>
      <c r="G1352" s="16">
        <v>95.74</v>
      </c>
      <c r="H1352" s="69">
        <f t="shared" si="36"/>
        <v>3.3336805917283385E-3</v>
      </c>
      <c r="O1352" s="1319"/>
      <c r="P1352" s="1319"/>
      <c r="Q1352" s="35">
        <v>44292</v>
      </c>
      <c r="R1352" s="36">
        <v>1.67E-2</v>
      </c>
      <c r="S1352" s="37">
        <v>8.8000000000000005E-3</v>
      </c>
    </row>
    <row r="1353" spans="1:19" x14ac:dyDescent="0.2">
      <c r="A1353" s="1"/>
      <c r="B1353" s="13">
        <v>43752</v>
      </c>
      <c r="C1353" s="14">
        <v>95.99</v>
      </c>
      <c r="D1353" s="15">
        <v>249746</v>
      </c>
      <c r="E1353" s="14">
        <v>94.9</v>
      </c>
      <c r="F1353" s="14">
        <v>96.79</v>
      </c>
      <c r="G1353" s="16">
        <v>94.83</v>
      </c>
      <c r="H1353" s="69">
        <f t="shared" si="36"/>
        <v>4.4997907074089127E-3</v>
      </c>
      <c r="O1353" s="1319"/>
      <c r="P1353" s="1319"/>
      <c r="Q1353" s="35">
        <v>44293</v>
      </c>
      <c r="R1353" s="36">
        <v>1.6799999999999999E-2</v>
      </c>
      <c r="S1353" s="37">
        <v>8.6999999999999994E-3</v>
      </c>
    </row>
    <row r="1354" spans="1:19" x14ac:dyDescent="0.2">
      <c r="A1354" s="1"/>
      <c r="B1354" s="13">
        <v>43749</v>
      </c>
      <c r="C1354" s="14">
        <v>95.56</v>
      </c>
      <c r="D1354" s="15">
        <v>327062</v>
      </c>
      <c r="E1354" s="14">
        <v>94.46</v>
      </c>
      <c r="F1354" s="14">
        <v>97.96</v>
      </c>
      <c r="G1354" s="16">
        <v>93.52</v>
      </c>
      <c r="H1354" s="69">
        <f t="shared" si="36"/>
        <v>2.3784015427469551E-2</v>
      </c>
      <c r="O1354" s="1319"/>
      <c r="P1354" s="1319"/>
      <c r="Q1354" s="35">
        <v>44294</v>
      </c>
      <c r="R1354" s="36">
        <v>1.6399999999999998E-2</v>
      </c>
      <c r="S1354" s="37">
        <v>8.5000000000000006E-3</v>
      </c>
    </row>
    <row r="1355" spans="1:19" x14ac:dyDescent="0.2">
      <c r="A1355" s="1"/>
      <c r="B1355" s="13">
        <v>43748</v>
      </c>
      <c r="C1355" s="14">
        <v>93.34</v>
      </c>
      <c r="D1355" s="15">
        <v>250503</v>
      </c>
      <c r="E1355" s="14">
        <v>91.74</v>
      </c>
      <c r="F1355" s="14">
        <v>94.553100000000001</v>
      </c>
      <c r="G1355" s="16">
        <v>91.65</v>
      </c>
      <c r="H1355" s="69">
        <f t="shared" si="36"/>
        <v>1.8662010258648998E-2</v>
      </c>
      <c r="O1355" s="1319"/>
      <c r="P1355" s="1319"/>
      <c r="Q1355" s="35">
        <v>44295</v>
      </c>
      <c r="R1355" s="36">
        <v>1.67E-2</v>
      </c>
      <c r="S1355" s="37">
        <v>8.6999999999999994E-3</v>
      </c>
    </row>
    <row r="1356" spans="1:19" x14ac:dyDescent="0.2">
      <c r="A1356" s="1"/>
      <c r="B1356" s="13">
        <v>43747</v>
      </c>
      <c r="C1356" s="14">
        <v>91.63</v>
      </c>
      <c r="D1356" s="15">
        <v>205478</v>
      </c>
      <c r="E1356" s="14">
        <v>91.32</v>
      </c>
      <c r="F1356" s="14">
        <v>92.85</v>
      </c>
      <c r="G1356" s="16">
        <v>91.32</v>
      </c>
      <c r="H1356" s="69">
        <f t="shared" si="36"/>
        <v>1.5403368794326244E-2</v>
      </c>
      <c r="O1356" s="1319"/>
      <c r="P1356" s="1319"/>
      <c r="Q1356" s="35">
        <v>44298</v>
      </c>
      <c r="R1356" s="36">
        <v>1.6899999999999998E-2</v>
      </c>
      <c r="S1356" s="37">
        <v>8.8999999999999999E-3</v>
      </c>
    </row>
    <row r="1357" spans="1:19" x14ac:dyDescent="0.2">
      <c r="A1357" s="1"/>
      <c r="B1357" s="13">
        <v>43746</v>
      </c>
      <c r="C1357" s="14">
        <v>90.24</v>
      </c>
      <c r="D1357" s="15">
        <v>286235</v>
      </c>
      <c r="E1357" s="14">
        <v>91.13</v>
      </c>
      <c r="F1357" s="14">
        <v>91.76</v>
      </c>
      <c r="G1357" s="16">
        <v>90.09</v>
      </c>
      <c r="H1357" s="69">
        <f t="shared" si="36"/>
        <v>-1.752857920522588E-2</v>
      </c>
      <c r="O1357" s="1319"/>
      <c r="P1357" s="1319"/>
      <c r="Q1357" s="35">
        <v>44299</v>
      </c>
      <c r="R1357" s="36">
        <v>1.6399999999999998E-2</v>
      </c>
      <c r="S1357" s="37">
        <v>8.5000000000000006E-3</v>
      </c>
    </row>
    <row r="1358" spans="1:19" x14ac:dyDescent="0.2">
      <c r="A1358" s="1"/>
      <c r="B1358" s="13">
        <v>43745</v>
      </c>
      <c r="C1358" s="14">
        <v>91.85</v>
      </c>
      <c r="D1358" s="15">
        <v>236432</v>
      </c>
      <c r="E1358" s="14">
        <v>91</v>
      </c>
      <c r="F1358" s="14">
        <v>92.66</v>
      </c>
      <c r="G1358" s="16">
        <v>90.36</v>
      </c>
      <c r="H1358" s="69">
        <f t="shared" si="36"/>
        <v>7.2376357056693763E-3</v>
      </c>
      <c r="O1358" s="1319"/>
      <c r="P1358" s="1319"/>
      <c r="Q1358" s="35">
        <v>44300</v>
      </c>
      <c r="R1358" s="36">
        <v>1.6399999999999998E-2</v>
      </c>
      <c r="S1358" s="37">
        <v>8.6999999999999994E-3</v>
      </c>
    </row>
    <row r="1359" spans="1:19" x14ac:dyDescent="0.2">
      <c r="A1359" s="1"/>
      <c r="B1359" s="13">
        <v>43742</v>
      </c>
      <c r="C1359" s="14">
        <v>91.19</v>
      </c>
      <c r="D1359" s="15">
        <v>317793</v>
      </c>
      <c r="E1359" s="14">
        <v>93.93</v>
      </c>
      <c r="F1359" s="14">
        <v>94.42</v>
      </c>
      <c r="G1359" s="16">
        <v>90.62</v>
      </c>
      <c r="H1359" s="69">
        <f t="shared" si="36"/>
        <v>-2.3452559434568365E-2</v>
      </c>
      <c r="O1359" s="1319"/>
      <c r="P1359" s="1319"/>
      <c r="Q1359" s="35">
        <v>44301</v>
      </c>
      <c r="R1359" s="36">
        <v>1.5600000000000001E-2</v>
      </c>
      <c r="S1359" s="37">
        <v>8.1000000000000013E-3</v>
      </c>
    </row>
    <row r="1360" spans="1:19" x14ac:dyDescent="0.2">
      <c r="A1360" s="1"/>
      <c r="B1360" s="13">
        <v>43741</v>
      </c>
      <c r="C1360" s="14">
        <v>93.38</v>
      </c>
      <c r="D1360" s="15">
        <v>307541</v>
      </c>
      <c r="E1360" s="14">
        <v>91.05</v>
      </c>
      <c r="F1360" s="14">
        <v>93.45</v>
      </c>
      <c r="G1360" s="16">
        <v>89.75</v>
      </c>
      <c r="H1360" s="69">
        <f t="shared" si="36"/>
        <v>2.5815665165330071E-2</v>
      </c>
      <c r="O1360" s="1319"/>
      <c r="P1360" s="1319"/>
      <c r="Q1360" s="35">
        <v>44302</v>
      </c>
      <c r="R1360" s="36">
        <v>1.5900000000000001E-2</v>
      </c>
      <c r="S1360" s="37">
        <v>8.3999999999999995E-3</v>
      </c>
    </row>
    <row r="1361" spans="1:19" x14ac:dyDescent="0.2">
      <c r="A1361" s="1"/>
      <c r="B1361" s="13">
        <v>43740</v>
      </c>
      <c r="C1361" s="14">
        <v>91.03</v>
      </c>
      <c r="D1361" s="15">
        <v>490037</v>
      </c>
      <c r="E1361" s="14">
        <v>90.97</v>
      </c>
      <c r="F1361" s="14">
        <v>92.144999999999996</v>
      </c>
      <c r="G1361" s="16">
        <v>89.61</v>
      </c>
      <c r="H1361" s="69">
        <f t="shared" si="36"/>
        <v>-9.8977594083097253E-3</v>
      </c>
      <c r="O1361" s="1319"/>
      <c r="P1361" s="1319"/>
      <c r="Q1361" s="35">
        <v>44305</v>
      </c>
      <c r="R1361" s="36">
        <v>1.61E-2</v>
      </c>
      <c r="S1361" s="37">
        <v>8.5000000000000006E-3</v>
      </c>
    </row>
    <row r="1362" spans="1:19" x14ac:dyDescent="0.2">
      <c r="A1362" s="1"/>
      <c r="B1362" s="13">
        <v>43739</v>
      </c>
      <c r="C1362" s="14">
        <v>91.94</v>
      </c>
      <c r="D1362" s="15">
        <v>408239</v>
      </c>
      <c r="E1362" s="14">
        <v>93.99</v>
      </c>
      <c r="F1362" s="14">
        <v>94.83</v>
      </c>
      <c r="G1362" s="16">
        <v>91.01</v>
      </c>
      <c r="H1362" s="69">
        <f t="shared" si="36"/>
        <v>-1.8783351120597702E-2</v>
      </c>
      <c r="O1362" s="1319"/>
      <c r="P1362" s="1319"/>
      <c r="Q1362" s="35">
        <v>44306</v>
      </c>
      <c r="R1362" s="36">
        <v>1.5800000000000002E-2</v>
      </c>
      <c r="S1362" s="37">
        <v>8.1000000000000013E-3</v>
      </c>
    </row>
    <row r="1363" spans="1:19" x14ac:dyDescent="0.2">
      <c r="A1363" s="1"/>
      <c r="B1363" s="13">
        <v>43738</v>
      </c>
      <c r="C1363" s="14">
        <v>93.7</v>
      </c>
      <c r="D1363" s="15">
        <v>310657</v>
      </c>
      <c r="E1363" s="14">
        <v>94.23</v>
      </c>
      <c r="F1363" s="14">
        <v>95.32</v>
      </c>
      <c r="G1363" s="16">
        <v>93.47</v>
      </c>
      <c r="H1363" s="69">
        <f t="shared" si="36"/>
        <v>-4.885301614273474E-3</v>
      </c>
      <c r="O1363" s="1319"/>
      <c r="P1363" s="1319"/>
      <c r="Q1363" s="35">
        <v>44307</v>
      </c>
      <c r="R1363" s="36">
        <v>1.5700000000000002E-2</v>
      </c>
      <c r="S1363" s="37">
        <v>8.1000000000000013E-3</v>
      </c>
    </row>
    <row r="1364" spans="1:19" x14ac:dyDescent="0.2">
      <c r="A1364" s="1"/>
      <c r="B1364" s="13">
        <v>43735</v>
      </c>
      <c r="C1364" s="14">
        <v>94.16</v>
      </c>
      <c r="D1364" s="15">
        <v>269357</v>
      </c>
      <c r="E1364" s="14">
        <v>95.74</v>
      </c>
      <c r="F1364" s="14">
        <v>96.364999999999995</v>
      </c>
      <c r="G1364" s="16">
        <v>93.63</v>
      </c>
      <c r="H1364" s="69">
        <f t="shared" si="36"/>
        <v>-1.294617118297603E-2</v>
      </c>
      <c r="O1364" s="1319"/>
      <c r="P1364" s="1319"/>
      <c r="Q1364" s="35">
        <v>44308</v>
      </c>
      <c r="R1364" s="36">
        <v>1.5700000000000002E-2</v>
      </c>
      <c r="S1364" s="37">
        <v>8.1000000000000013E-3</v>
      </c>
    </row>
    <row r="1365" spans="1:19" x14ac:dyDescent="0.2">
      <c r="A1365" s="1"/>
      <c r="B1365" s="13">
        <v>43734</v>
      </c>
      <c r="C1365" s="14">
        <v>95.394999999999996</v>
      </c>
      <c r="D1365" s="15">
        <v>247025</v>
      </c>
      <c r="E1365" s="14">
        <v>96.5</v>
      </c>
      <c r="F1365" s="14">
        <v>97.02</v>
      </c>
      <c r="G1365" s="16">
        <v>95.3</v>
      </c>
      <c r="H1365" s="69">
        <f t="shared" si="36"/>
        <v>-8.8831168831169371E-3</v>
      </c>
      <c r="O1365" s="1319"/>
      <c r="P1365" s="1319"/>
      <c r="Q1365" s="35">
        <v>44309</v>
      </c>
      <c r="R1365" s="36">
        <v>1.5800000000000002E-2</v>
      </c>
      <c r="S1365" s="37">
        <v>8.3000000000000001E-3</v>
      </c>
    </row>
    <row r="1366" spans="1:19" x14ac:dyDescent="0.2">
      <c r="A1366" s="1"/>
      <c r="B1366" s="13">
        <v>43733</v>
      </c>
      <c r="C1366" s="14">
        <v>96.25</v>
      </c>
      <c r="D1366" s="15">
        <v>271218</v>
      </c>
      <c r="E1366" s="14">
        <v>94.41</v>
      </c>
      <c r="F1366" s="14">
        <v>97.59</v>
      </c>
      <c r="G1366" s="16">
        <v>94.41</v>
      </c>
      <c r="H1366" s="69">
        <f t="shared" si="36"/>
        <v>2.1762208067940492E-2</v>
      </c>
      <c r="O1366" s="1319"/>
      <c r="P1366" s="1319"/>
      <c r="Q1366" s="35">
        <v>44312</v>
      </c>
      <c r="R1366" s="36">
        <v>1.5800000000000002E-2</v>
      </c>
      <c r="S1366" s="37">
        <v>8.5000000000000006E-3</v>
      </c>
    </row>
    <row r="1367" spans="1:19" x14ac:dyDescent="0.2">
      <c r="A1367" s="1"/>
      <c r="B1367" s="13">
        <v>43732</v>
      </c>
      <c r="C1367" s="14">
        <v>94.2</v>
      </c>
      <c r="D1367" s="15">
        <v>227134</v>
      </c>
      <c r="E1367" s="14">
        <v>95.31</v>
      </c>
      <c r="F1367" s="14">
        <v>95.594999999999999</v>
      </c>
      <c r="G1367" s="16">
        <v>93.61</v>
      </c>
      <c r="H1367" s="69">
        <f t="shared" si="36"/>
        <v>-6.3291139240505556E-3</v>
      </c>
      <c r="O1367" s="1319"/>
      <c r="P1367" s="1319"/>
      <c r="Q1367" s="35">
        <v>44313</v>
      </c>
      <c r="R1367" s="36">
        <v>1.6299999999999999E-2</v>
      </c>
      <c r="S1367" s="37">
        <v>8.8000000000000005E-3</v>
      </c>
    </row>
    <row r="1368" spans="1:19" x14ac:dyDescent="0.2">
      <c r="A1368" s="1"/>
      <c r="B1368" s="13">
        <v>43731</v>
      </c>
      <c r="C1368" s="14">
        <v>94.8</v>
      </c>
      <c r="D1368" s="15">
        <v>240065</v>
      </c>
      <c r="E1368" s="14">
        <v>92.63</v>
      </c>
      <c r="F1368" s="14">
        <v>95.58</v>
      </c>
      <c r="G1368" s="16">
        <v>92</v>
      </c>
      <c r="H1368" s="69">
        <f t="shared" si="36"/>
        <v>1.9245242447048616E-2</v>
      </c>
      <c r="O1368" s="1319"/>
      <c r="P1368" s="1319"/>
      <c r="Q1368" s="35">
        <v>44314</v>
      </c>
      <c r="R1368" s="36">
        <v>1.6299999999999999E-2</v>
      </c>
      <c r="S1368" s="37">
        <v>8.6E-3</v>
      </c>
    </row>
    <row r="1369" spans="1:19" x14ac:dyDescent="0.2">
      <c r="A1369" s="1"/>
      <c r="B1369" s="13">
        <v>43728</v>
      </c>
      <c r="C1369" s="14">
        <v>93.01</v>
      </c>
      <c r="D1369" s="15">
        <v>370251</v>
      </c>
      <c r="E1369" s="14">
        <v>94.79</v>
      </c>
      <c r="F1369" s="14">
        <v>95.85</v>
      </c>
      <c r="G1369" s="16">
        <v>92.88</v>
      </c>
      <c r="H1369" s="69">
        <f t="shared" si="36"/>
        <v>-2.0844299399936705E-2</v>
      </c>
      <c r="O1369" s="1319"/>
      <c r="P1369" s="1319"/>
      <c r="Q1369" s="35">
        <v>44315</v>
      </c>
      <c r="R1369" s="36">
        <v>1.6500000000000001E-2</v>
      </c>
      <c r="S1369" s="37">
        <v>8.6E-3</v>
      </c>
    </row>
    <row r="1370" spans="1:19" x14ac:dyDescent="0.2">
      <c r="A1370" s="1"/>
      <c r="B1370" s="13">
        <v>43727</v>
      </c>
      <c r="C1370" s="14">
        <v>94.99</v>
      </c>
      <c r="D1370" s="15">
        <v>274739</v>
      </c>
      <c r="E1370" s="14">
        <v>95.86</v>
      </c>
      <c r="F1370" s="14">
        <v>96.76</v>
      </c>
      <c r="G1370" s="16">
        <v>94.94</v>
      </c>
      <c r="H1370" s="69">
        <f t="shared" si="36"/>
        <v>-8.9723526343244986E-3</v>
      </c>
      <c r="O1370" s="1319"/>
      <c r="P1370" s="1319"/>
      <c r="Q1370" s="35">
        <v>44316</v>
      </c>
      <c r="R1370" s="36">
        <v>1.6500000000000001E-2</v>
      </c>
      <c r="S1370" s="37">
        <v>8.6E-3</v>
      </c>
    </row>
    <row r="1371" spans="1:19" x14ac:dyDescent="0.2">
      <c r="A1371" s="1"/>
      <c r="B1371" s="13">
        <v>43726</v>
      </c>
      <c r="C1371" s="14">
        <v>95.85</v>
      </c>
      <c r="D1371" s="15">
        <v>231578</v>
      </c>
      <c r="E1371" s="14">
        <v>94.48</v>
      </c>
      <c r="F1371" s="14">
        <v>95.91</v>
      </c>
      <c r="G1371" s="16">
        <v>93.06</v>
      </c>
      <c r="H1371" s="69">
        <f t="shared" si="36"/>
        <v>1.3427786001268815E-2</v>
      </c>
      <c r="O1371" s="1319"/>
      <c r="P1371" s="1319"/>
      <c r="Q1371" s="35">
        <v>44319</v>
      </c>
      <c r="R1371" s="36">
        <v>1.6299999999999999E-2</v>
      </c>
      <c r="S1371" s="37">
        <v>8.3999999999999995E-3</v>
      </c>
    </row>
    <row r="1372" spans="1:19" x14ac:dyDescent="0.2">
      <c r="A1372" s="1"/>
      <c r="B1372" s="13">
        <v>43725</v>
      </c>
      <c r="C1372" s="14">
        <v>94.58</v>
      </c>
      <c r="D1372" s="15">
        <v>163438</v>
      </c>
      <c r="E1372" s="14">
        <v>94.2</v>
      </c>
      <c r="F1372" s="14">
        <v>95.38</v>
      </c>
      <c r="G1372" s="16">
        <v>93.34</v>
      </c>
      <c r="H1372" s="69">
        <f t="shared" si="36"/>
        <v>4.8873778155544834E-3</v>
      </c>
      <c r="O1372" s="1319"/>
      <c r="P1372" s="1319"/>
      <c r="Q1372" s="35">
        <v>44320</v>
      </c>
      <c r="R1372" s="36">
        <v>1.61E-2</v>
      </c>
      <c r="S1372" s="37">
        <v>8.199999999999999E-3</v>
      </c>
    </row>
    <row r="1373" spans="1:19" x14ac:dyDescent="0.2">
      <c r="A1373" s="1"/>
      <c r="B1373" s="13">
        <v>43724</v>
      </c>
      <c r="C1373" s="14">
        <v>94.12</v>
      </c>
      <c r="D1373" s="15">
        <v>146833</v>
      </c>
      <c r="E1373" s="14">
        <v>92.96</v>
      </c>
      <c r="F1373" s="14">
        <v>94.69</v>
      </c>
      <c r="G1373" s="16">
        <v>92.36</v>
      </c>
      <c r="H1373" s="69">
        <f t="shared" si="36"/>
        <v>3.0906959394649824E-3</v>
      </c>
      <c r="O1373" s="1319"/>
      <c r="P1373" s="1319"/>
      <c r="Q1373" s="35">
        <v>44321</v>
      </c>
      <c r="R1373" s="36">
        <v>1.5900000000000001E-2</v>
      </c>
      <c r="S1373" s="37">
        <v>8.0000000000000002E-3</v>
      </c>
    </row>
    <row r="1374" spans="1:19" x14ac:dyDescent="0.2">
      <c r="A1374" s="1"/>
      <c r="B1374" s="13">
        <v>43721</v>
      </c>
      <c r="C1374" s="14">
        <v>93.83</v>
      </c>
      <c r="D1374" s="15">
        <v>286361</v>
      </c>
      <c r="E1374" s="14">
        <v>94.71</v>
      </c>
      <c r="F1374" s="14">
        <v>94.86</v>
      </c>
      <c r="G1374" s="16">
        <v>92.66</v>
      </c>
      <c r="H1374" s="69">
        <f t="shared" si="36"/>
        <v>3.1002779559545779E-3</v>
      </c>
      <c r="O1374" s="1319"/>
      <c r="P1374" s="1319"/>
      <c r="Q1374" s="35">
        <v>44322</v>
      </c>
      <c r="R1374" s="36">
        <v>1.5800000000000002E-2</v>
      </c>
      <c r="S1374" s="37">
        <v>8.1000000000000013E-3</v>
      </c>
    </row>
    <row r="1375" spans="1:19" x14ac:dyDescent="0.2">
      <c r="A1375" s="1"/>
      <c r="B1375" s="13">
        <v>43720</v>
      </c>
      <c r="C1375" s="14">
        <v>93.54</v>
      </c>
      <c r="D1375" s="15">
        <v>291746</v>
      </c>
      <c r="E1375" s="14">
        <v>92.44</v>
      </c>
      <c r="F1375" s="14">
        <v>94.04</v>
      </c>
      <c r="G1375" s="16">
        <v>90.245000000000005</v>
      </c>
      <c r="H1375" s="69">
        <f t="shared" si="36"/>
        <v>1.5855777584709019E-2</v>
      </c>
      <c r="O1375" s="1319"/>
      <c r="P1375" s="1319"/>
      <c r="Q1375" s="35">
        <v>44323</v>
      </c>
      <c r="R1375" s="36">
        <v>1.6E-2</v>
      </c>
      <c r="S1375" s="37">
        <v>7.7000000000000002E-3</v>
      </c>
    </row>
    <row r="1376" spans="1:19" x14ac:dyDescent="0.2">
      <c r="A1376" s="1"/>
      <c r="B1376" s="13">
        <v>43719</v>
      </c>
      <c r="C1376" s="14">
        <v>92.08</v>
      </c>
      <c r="D1376" s="15">
        <v>479246</v>
      </c>
      <c r="E1376" s="14">
        <v>93.67</v>
      </c>
      <c r="F1376" s="14">
        <v>94.241100000000003</v>
      </c>
      <c r="G1376" s="16">
        <v>89.66</v>
      </c>
      <c r="H1376" s="69">
        <f t="shared" si="36"/>
        <v>-1.413276231263394E-2</v>
      </c>
      <c r="O1376" s="1319"/>
      <c r="P1376" s="1319"/>
      <c r="Q1376" s="35">
        <v>44326</v>
      </c>
      <c r="R1376" s="36">
        <v>1.6299999999999999E-2</v>
      </c>
      <c r="S1376" s="37">
        <v>8.0000000000000002E-3</v>
      </c>
    </row>
    <row r="1377" spans="1:19" x14ac:dyDescent="0.2">
      <c r="A1377" s="1"/>
      <c r="B1377" s="13">
        <v>43718</v>
      </c>
      <c r="C1377" s="14">
        <v>93.4</v>
      </c>
      <c r="D1377" s="15">
        <v>302640</v>
      </c>
      <c r="E1377" s="14">
        <v>93.5</v>
      </c>
      <c r="F1377" s="14">
        <v>94.81</v>
      </c>
      <c r="G1377" s="16">
        <v>92.22</v>
      </c>
      <c r="H1377" s="69">
        <f t="shared" si="36"/>
        <v>-1.0695187165774556E-3</v>
      </c>
      <c r="O1377" s="1319"/>
      <c r="P1377" s="1319"/>
      <c r="Q1377" s="35">
        <v>44327</v>
      </c>
      <c r="R1377" s="36">
        <v>1.6399999999999998E-2</v>
      </c>
      <c r="S1377" s="37">
        <v>8.0000000000000002E-3</v>
      </c>
    </row>
    <row r="1378" spans="1:19" x14ac:dyDescent="0.2">
      <c r="A1378" s="1"/>
      <c r="B1378" s="13">
        <v>43717</v>
      </c>
      <c r="C1378" s="14">
        <v>93.5</v>
      </c>
      <c r="D1378" s="15">
        <v>294283</v>
      </c>
      <c r="E1378" s="14">
        <v>89.63</v>
      </c>
      <c r="F1378" s="14">
        <v>93.6</v>
      </c>
      <c r="G1378" s="16">
        <v>89.59</v>
      </c>
      <c r="H1378" s="69">
        <f t="shared" si="36"/>
        <v>4.2944785276073594E-2</v>
      </c>
      <c r="O1378" s="1319"/>
      <c r="P1378" s="1319"/>
      <c r="Q1378" s="35">
        <v>44328</v>
      </c>
      <c r="R1378" s="36">
        <v>1.6899999999999998E-2</v>
      </c>
      <c r="S1378" s="37">
        <v>8.6999999999999994E-3</v>
      </c>
    </row>
    <row r="1379" spans="1:19" x14ac:dyDescent="0.2">
      <c r="A1379" s="1"/>
      <c r="B1379" s="13">
        <v>43714</v>
      </c>
      <c r="C1379" s="14">
        <v>89.65</v>
      </c>
      <c r="D1379" s="15">
        <v>321197</v>
      </c>
      <c r="E1379" s="14">
        <v>91.46</v>
      </c>
      <c r="F1379" s="14">
        <v>93.44</v>
      </c>
      <c r="G1379" s="16">
        <v>88.64</v>
      </c>
      <c r="H1379" s="69">
        <f t="shared" si="36"/>
        <v>-1.7641902257286901E-2</v>
      </c>
      <c r="O1379" s="1319"/>
      <c r="P1379" s="1319"/>
      <c r="Q1379" s="35">
        <v>44329</v>
      </c>
      <c r="R1379" s="36">
        <v>1.66E-2</v>
      </c>
      <c r="S1379" s="37">
        <v>8.3999999999999995E-3</v>
      </c>
    </row>
    <row r="1380" spans="1:19" x14ac:dyDescent="0.2">
      <c r="A1380" s="1"/>
      <c r="B1380" s="13">
        <v>43713</v>
      </c>
      <c r="C1380" s="14">
        <v>91.26</v>
      </c>
      <c r="D1380" s="15">
        <v>609477</v>
      </c>
      <c r="E1380" s="14">
        <v>90.71</v>
      </c>
      <c r="F1380" s="14">
        <v>92.98</v>
      </c>
      <c r="G1380" s="16">
        <v>90.2</v>
      </c>
      <c r="H1380" s="69">
        <f t="shared" si="36"/>
        <v>3.9171031655659494E-2</v>
      </c>
      <c r="O1380" s="1319"/>
      <c r="P1380" s="1319"/>
      <c r="Q1380" s="35">
        <v>44330</v>
      </c>
      <c r="R1380" s="36">
        <v>1.6299999999999999E-2</v>
      </c>
      <c r="S1380" s="37">
        <v>8.199999999999999E-3</v>
      </c>
    </row>
    <row r="1381" spans="1:19" x14ac:dyDescent="0.2">
      <c r="A1381" s="1"/>
      <c r="B1381" s="13">
        <v>43712</v>
      </c>
      <c r="C1381" s="14">
        <v>87.82</v>
      </c>
      <c r="D1381" s="15">
        <v>401346</v>
      </c>
      <c r="E1381" s="14">
        <v>86.55</v>
      </c>
      <c r="F1381" s="14">
        <v>88.86</v>
      </c>
      <c r="G1381" s="16">
        <v>86.41</v>
      </c>
      <c r="H1381" s="69">
        <f t="shared" si="36"/>
        <v>4.0028422548555209E-2</v>
      </c>
      <c r="O1381" s="1319"/>
      <c r="P1381" s="1319"/>
      <c r="Q1381" s="35">
        <v>44333</v>
      </c>
      <c r="R1381" s="36">
        <v>1.6399999999999998E-2</v>
      </c>
      <c r="S1381" s="37">
        <v>8.3999999999999995E-3</v>
      </c>
    </row>
    <row r="1382" spans="1:19" x14ac:dyDescent="0.2">
      <c r="A1382" s="1"/>
      <c r="B1382" s="13">
        <v>43711</v>
      </c>
      <c r="C1382" s="14">
        <v>84.44</v>
      </c>
      <c r="D1382" s="15">
        <v>425197</v>
      </c>
      <c r="E1382" s="14">
        <v>85.09</v>
      </c>
      <c r="F1382" s="14">
        <v>86.71</v>
      </c>
      <c r="G1382" s="16">
        <v>83.57</v>
      </c>
      <c r="H1382" s="69">
        <f t="shared" si="36"/>
        <v>-1.2859480944587443E-2</v>
      </c>
      <c r="O1382" s="1319"/>
      <c r="P1382" s="1319"/>
      <c r="Q1382" s="35">
        <v>44334</v>
      </c>
      <c r="R1382" s="36">
        <v>1.6399999999999998E-2</v>
      </c>
      <c r="S1382" s="37">
        <v>8.3000000000000001E-3</v>
      </c>
    </row>
    <row r="1383" spans="1:19" x14ac:dyDescent="0.2">
      <c r="A1383" s="1"/>
      <c r="B1383" s="13">
        <v>43707</v>
      </c>
      <c r="C1383" s="14">
        <v>85.54</v>
      </c>
      <c r="D1383" s="15">
        <v>259442</v>
      </c>
      <c r="E1383" s="14">
        <v>84.62</v>
      </c>
      <c r="F1383" s="14">
        <v>86.08</v>
      </c>
      <c r="G1383" s="16">
        <v>84.5</v>
      </c>
      <c r="H1383" s="69">
        <f t="shared" si="36"/>
        <v>1.5914489311164015E-2</v>
      </c>
      <c r="O1383" s="1319"/>
      <c r="P1383" s="1319"/>
      <c r="Q1383" s="35">
        <v>44335</v>
      </c>
      <c r="R1383" s="36">
        <v>1.6799999999999999E-2</v>
      </c>
      <c r="S1383" s="37">
        <v>8.6999999999999994E-3</v>
      </c>
    </row>
    <row r="1384" spans="1:19" x14ac:dyDescent="0.2">
      <c r="A1384" s="1"/>
      <c r="B1384" s="13">
        <v>43706</v>
      </c>
      <c r="C1384" s="14">
        <v>84.2</v>
      </c>
      <c r="D1384" s="15">
        <v>232379</v>
      </c>
      <c r="E1384" s="14">
        <v>81.790000000000006</v>
      </c>
      <c r="F1384" s="14">
        <v>84.38</v>
      </c>
      <c r="G1384" s="16">
        <v>80.910600000000002</v>
      </c>
      <c r="H1384" s="69">
        <f t="shared" ref="H1384:H1447" si="37">C1384/C1385-1</f>
        <v>4.1048466864490596E-2</v>
      </c>
      <c r="O1384" s="1319"/>
      <c r="P1384" s="1319"/>
      <c r="Q1384" s="35">
        <v>44336</v>
      </c>
      <c r="R1384" s="36">
        <v>1.6299999999999999E-2</v>
      </c>
      <c r="S1384" s="37">
        <v>8.3000000000000001E-3</v>
      </c>
    </row>
    <row r="1385" spans="1:19" x14ac:dyDescent="0.2">
      <c r="A1385" s="1"/>
      <c r="B1385" s="13">
        <v>43705</v>
      </c>
      <c r="C1385" s="14">
        <v>80.88</v>
      </c>
      <c r="D1385" s="15">
        <v>273735</v>
      </c>
      <c r="E1385" s="14">
        <v>78.599999999999994</v>
      </c>
      <c r="F1385" s="14">
        <v>81.400000000000006</v>
      </c>
      <c r="G1385" s="16">
        <v>75.720500000000001</v>
      </c>
      <c r="H1385" s="69">
        <f t="shared" si="37"/>
        <v>2.7569559141151112E-2</v>
      </c>
      <c r="O1385" s="1319"/>
      <c r="P1385" s="1319"/>
      <c r="Q1385" s="35">
        <v>44337</v>
      </c>
      <c r="R1385" s="36">
        <v>1.6299999999999999E-2</v>
      </c>
      <c r="S1385" s="37">
        <v>8.3999999999999995E-3</v>
      </c>
    </row>
    <row r="1386" spans="1:19" x14ac:dyDescent="0.2">
      <c r="A1386" s="1"/>
      <c r="B1386" s="13">
        <v>43704</v>
      </c>
      <c r="C1386" s="14">
        <v>78.709999999999994</v>
      </c>
      <c r="D1386" s="15">
        <v>266454</v>
      </c>
      <c r="E1386" s="14">
        <v>79.97</v>
      </c>
      <c r="F1386" s="14">
        <v>80.97</v>
      </c>
      <c r="G1386" s="16">
        <v>78.58</v>
      </c>
      <c r="H1386" s="69">
        <f t="shared" si="37"/>
        <v>-9.9371069182391247E-3</v>
      </c>
      <c r="O1386" s="1319"/>
      <c r="P1386" s="1319"/>
      <c r="Q1386" s="35">
        <v>44340</v>
      </c>
      <c r="R1386" s="36">
        <v>1.61E-2</v>
      </c>
      <c r="S1386" s="37">
        <v>8.199999999999999E-3</v>
      </c>
    </row>
    <row r="1387" spans="1:19" x14ac:dyDescent="0.2">
      <c r="A1387" s="1"/>
      <c r="B1387" s="13">
        <v>43703</v>
      </c>
      <c r="C1387" s="14">
        <v>79.5</v>
      </c>
      <c r="D1387" s="15">
        <v>202023</v>
      </c>
      <c r="E1387" s="14">
        <v>80.5</v>
      </c>
      <c r="F1387" s="14">
        <v>80.5</v>
      </c>
      <c r="G1387" s="16">
        <v>77.95</v>
      </c>
      <c r="H1387" s="69">
        <f t="shared" si="37"/>
        <v>-1.8832391713747842E-3</v>
      </c>
      <c r="O1387" s="1319"/>
      <c r="P1387" s="1319"/>
      <c r="Q1387" s="35">
        <v>44341</v>
      </c>
      <c r="R1387" s="36">
        <v>1.5600000000000001E-2</v>
      </c>
      <c r="S1387" s="37">
        <v>7.9000000000000008E-3</v>
      </c>
    </row>
    <row r="1388" spans="1:19" x14ac:dyDescent="0.2">
      <c r="A1388" s="1"/>
      <c r="B1388" s="13">
        <v>43700</v>
      </c>
      <c r="C1388" s="14">
        <v>79.650000000000006</v>
      </c>
      <c r="D1388" s="15">
        <v>239419</v>
      </c>
      <c r="E1388" s="14">
        <v>81.55</v>
      </c>
      <c r="F1388" s="14">
        <v>82.31</v>
      </c>
      <c r="G1388" s="16">
        <v>78.02</v>
      </c>
      <c r="H1388" s="69">
        <f t="shared" si="37"/>
        <v>-2.7353767248748273E-2</v>
      </c>
      <c r="O1388" s="1319"/>
      <c r="P1388" s="1319"/>
      <c r="Q1388" s="35">
        <v>44342</v>
      </c>
      <c r="R1388" s="36">
        <v>1.5800000000000002E-2</v>
      </c>
      <c r="S1388" s="37">
        <v>8.0000000000000002E-3</v>
      </c>
    </row>
    <row r="1389" spans="1:19" x14ac:dyDescent="0.2">
      <c r="A1389" s="1"/>
      <c r="B1389" s="13">
        <v>43699</v>
      </c>
      <c r="C1389" s="14">
        <v>81.89</v>
      </c>
      <c r="D1389" s="15">
        <v>139347</v>
      </c>
      <c r="E1389" s="14">
        <v>84.18</v>
      </c>
      <c r="F1389" s="14">
        <v>84.43</v>
      </c>
      <c r="G1389" s="16">
        <v>81.86</v>
      </c>
      <c r="H1389" s="69">
        <f t="shared" si="37"/>
        <v>-2.4189704480457541E-2</v>
      </c>
      <c r="O1389" s="1319"/>
      <c r="P1389" s="1319"/>
      <c r="Q1389" s="35">
        <v>44343</v>
      </c>
      <c r="R1389" s="36">
        <v>1.61E-2</v>
      </c>
      <c r="S1389" s="37">
        <v>8.1000000000000013E-3</v>
      </c>
    </row>
    <row r="1390" spans="1:19" x14ac:dyDescent="0.2">
      <c r="A1390" s="1"/>
      <c r="B1390" s="13">
        <v>43698</v>
      </c>
      <c r="C1390" s="14">
        <v>83.92</v>
      </c>
      <c r="D1390" s="15">
        <v>176528</v>
      </c>
      <c r="E1390" s="14">
        <v>83</v>
      </c>
      <c r="F1390" s="14">
        <v>84.2</v>
      </c>
      <c r="G1390" s="16">
        <v>83</v>
      </c>
      <c r="H1390" s="69">
        <f t="shared" si="37"/>
        <v>1.6719166464744362E-2</v>
      </c>
      <c r="O1390" s="1319"/>
      <c r="P1390" s="1319"/>
      <c r="Q1390" s="35">
        <v>44344</v>
      </c>
      <c r="R1390" s="36">
        <v>1.5800000000000002E-2</v>
      </c>
      <c r="S1390" s="37">
        <v>7.9000000000000008E-3</v>
      </c>
    </row>
    <row r="1391" spans="1:19" x14ac:dyDescent="0.2">
      <c r="A1391" s="1"/>
      <c r="B1391" s="13">
        <v>43697</v>
      </c>
      <c r="C1391" s="14">
        <v>82.54</v>
      </c>
      <c r="D1391" s="15">
        <v>153277</v>
      </c>
      <c r="E1391" s="14">
        <v>82.45</v>
      </c>
      <c r="F1391" s="14">
        <v>83.26</v>
      </c>
      <c r="G1391" s="16">
        <v>82.44</v>
      </c>
      <c r="H1391" s="69">
        <f t="shared" si="37"/>
        <v>6.0613407685794485E-4</v>
      </c>
      <c r="O1391" s="1319"/>
      <c r="P1391" s="1319"/>
      <c r="Q1391" s="35">
        <v>44348</v>
      </c>
      <c r="R1391" s="36">
        <v>1.6200000000000003E-2</v>
      </c>
      <c r="S1391" s="37">
        <v>8.1000000000000013E-3</v>
      </c>
    </row>
    <row r="1392" spans="1:19" x14ac:dyDescent="0.2">
      <c r="A1392" s="1"/>
      <c r="B1392" s="13">
        <v>43696</v>
      </c>
      <c r="C1392" s="14">
        <v>82.49</v>
      </c>
      <c r="D1392" s="15">
        <v>245227</v>
      </c>
      <c r="E1392" s="14">
        <v>82.43</v>
      </c>
      <c r="F1392" s="14">
        <v>83.575000000000003</v>
      </c>
      <c r="G1392" s="16">
        <v>81.87</v>
      </c>
      <c r="H1392" s="69">
        <f t="shared" si="37"/>
        <v>1.4761963341124229E-2</v>
      </c>
      <c r="O1392" s="1319"/>
      <c r="P1392" s="1319"/>
      <c r="Q1392" s="35">
        <v>44349</v>
      </c>
      <c r="R1392" s="36">
        <v>1.5900000000000001E-2</v>
      </c>
      <c r="S1392" s="37">
        <v>8.0000000000000002E-3</v>
      </c>
    </row>
    <row r="1393" spans="1:19" x14ac:dyDescent="0.2">
      <c r="A1393" s="1"/>
      <c r="B1393" s="13">
        <v>43693</v>
      </c>
      <c r="C1393" s="14">
        <v>81.290000000000006</v>
      </c>
      <c r="D1393" s="15">
        <v>228029</v>
      </c>
      <c r="E1393" s="14">
        <v>79.510000000000005</v>
      </c>
      <c r="F1393" s="14">
        <v>81.8</v>
      </c>
      <c r="G1393" s="16">
        <v>78.83</v>
      </c>
      <c r="H1393" s="69">
        <f t="shared" si="37"/>
        <v>2.9769445148214002E-2</v>
      </c>
      <c r="O1393" s="1319"/>
      <c r="P1393" s="1319"/>
      <c r="Q1393" s="35">
        <v>44350</v>
      </c>
      <c r="R1393" s="36">
        <v>1.6299999999999999E-2</v>
      </c>
      <c r="S1393" s="37">
        <v>8.3999999999999995E-3</v>
      </c>
    </row>
    <row r="1394" spans="1:19" x14ac:dyDescent="0.2">
      <c r="A1394" s="1"/>
      <c r="B1394" s="13">
        <v>43692</v>
      </c>
      <c r="C1394" s="14">
        <v>78.94</v>
      </c>
      <c r="D1394" s="15">
        <v>241098</v>
      </c>
      <c r="E1394" s="14">
        <v>79.17</v>
      </c>
      <c r="F1394" s="14">
        <v>79.17</v>
      </c>
      <c r="G1394" s="16">
        <v>77.73</v>
      </c>
      <c r="H1394" s="69">
        <f t="shared" si="37"/>
        <v>-2.9051408361753239E-3</v>
      </c>
      <c r="O1394" s="1319"/>
      <c r="P1394" s="1319"/>
      <c r="Q1394" s="35">
        <v>44351</v>
      </c>
      <c r="R1394" s="36">
        <v>1.5600000000000001E-2</v>
      </c>
      <c r="S1394" s="37">
        <v>7.8000000000000005E-3</v>
      </c>
    </row>
    <row r="1395" spans="1:19" x14ac:dyDescent="0.2">
      <c r="A1395" s="1"/>
      <c r="B1395" s="13">
        <v>43691</v>
      </c>
      <c r="C1395" s="14">
        <v>79.17</v>
      </c>
      <c r="D1395" s="15">
        <v>298243</v>
      </c>
      <c r="E1395" s="14">
        <v>79.64</v>
      </c>
      <c r="F1395" s="14">
        <v>79.86</v>
      </c>
      <c r="G1395" s="16">
        <v>78.14</v>
      </c>
      <c r="H1395" s="69">
        <f t="shared" si="37"/>
        <v>-2.1868050407709339E-2</v>
      </c>
      <c r="O1395" s="1319"/>
      <c r="P1395" s="1319"/>
      <c r="Q1395" s="35">
        <v>44354</v>
      </c>
      <c r="R1395" s="36">
        <v>1.5700000000000002E-2</v>
      </c>
      <c r="S1395" s="37">
        <v>7.9000000000000008E-3</v>
      </c>
    </row>
    <row r="1396" spans="1:19" x14ac:dyDescent="0.2">
      <c r="A1396" s="1"/>
      <c r="B1396" s="13">
        <v>43690</v>
      </c>
      <c r="C1396" s="14">
        <v>80.94</v>
      </c>
      <c r="D1396" s="15">
        <v>213312</v>
      </c>
      <c r="E1396" s="14">
        <v>80.13</v>
      </c>
      <c r="F1396" s="14">
        <v>81.81</v>
      </c>
      <c r="G1396" s="16">
        <v>79.5</v>
      </c>
      <c r="H1396" s="69">
        <f t="shared" si="37"/>
        <v>9.8565190268244951E-3</v>
      </c>
      <c r="O1396" s="1319"/>
      <c r="P1396" s="1319"/>
      <c r="Q1396" s="35">
        <v>44355</v>
      </c>
      <c r="R1396" s="36">
        <v>1.5300000000000001E-2</v>
      </c>
      <c r="S1396" s="37">
        <v>7.7000000000000002E-3</v>
      </c>
    </row>
    <row r="1397" spans="1:19" x14ac:dyDescent="0.2">
      <c r="A1397" s="1"/>
      <c r="B1397" s="13">
        <v>43689</v>
      </c>
      <c r="C1397" s="14">
        <v>80.150000000000006</v>
      </c>
      <c r="D1397" s="15">
        <v>150473</v>
      </c>
      <c r="E1397" s="14">
        <v>79.650000000000006</v>
      </c>
      <c r="F1397" s="14">
        <v>80.47</v>
      </c>
      <c r="G1397" s="16">
        <v>79.36</v>
      </c>
      <c r="H1397" s="69">
        <f t="shared" si="37"/>
        <v>2.7524083573127189E-3</v>
      </c>
      <c r="O1397" s="1319"/>
      <c r="P1397" s="1319"/>
      <c r="Q1397" s="35">
        <v>44356</v>
      </c>
      <c r="R1397" s="36">
        <v>1.4999999999999999E-2</v>
      </c>
      <c r="S1397" s="37">
        <v>7.4999999999999997E-3</v>
      </c>
    </row>
    <row r="1398" spans="1:19" x14ac:dyDescent="0.2">
      <c r="A1398" s="1"/>
      <c r="B1398" s="13">
        <v>43686</v>
      </c>
      <c r="C1398" s="14">
        <v>79.930000000000007</v>
      </c>
      <c r="D1398" s="15">
        <v>263624</v>
      </c>
      <c r="E1398" s="14">
        <v>80.239999999999995</v>
      </c>
      <c r="F1398" s="14">
        <v>81.814999999999998</v>
      </c>
      <c r="G1398" s="16">
        <v>79.045000000000002</v>
      </c>
      <c r="H1398" s="69">
        <f t="shared" si="37"/>
        <v>-1.1501360375958392E-2</v>
      </c>
      <c r="O1398" s="1319"/>
      <c r="P1398" s="1319"/>
      <c r="Q1398" s="35">
        <v>44357</v>
      </c>
      <c r="R1398" s="36">
        <v>1.4499999999999999E-2</v>
      </c>
      <c r="S1398" s="37">
        <v>7.3000000000000001E-3</v>
      </c>
    </row>
    <row r="1399" spans="1:19" x14ac:dyDescent="0.2">
      <c r="A1399" s="1"/>
      <c r="B1399" s="13">
        <v>43685</v>
      </c>
      <c r="C1399" s="14">
        <v>80.86</v>
      </c>
      <c r="D1399" s="15">
        <v>220492</v>
      </c>
      <c r="E1399" s="14">
        <v>77.64</v>
      </c>
      <c r="F1399" s="14">
        <v>80.959999999999994</v>
      </c>
      <c r="G1399" s="16">
        <v>77.64</v>
      </c>
      <c r="H1399" s="69">
        <f t="shared" si="37"/>
        <v>4.6595909914574074E-2</v>
      </c>
      <c r="O1399" s="1319"/>
      <c r="P1399" s="1319"/>
      <c r="Q1399" s="35">
        <v>44358</v>
      </c>
      <c r="R1399" s="36">
        <v>1.47E-2</v>
      </c>
      <c r="S1399" s="37">
        <v>7.6E-3</v>
      </c>
    </row>
    <row r="1400" spans="1:19" x14ac:dyDescent="0.2">
      <c r="A1400" s="1"/>
      <c r="B1400" s="13">
        <v>43684</v>
      </c>
      <c r="C1400" s="14">
        <v>77.260000000000005</v>
      </c>
      <c r="D1400" s="15">
        <v>214090</v>
      </c>
      <c r="E1400" s="14">
        <v>77.459999999999994</v>
      </c>
      <c r="F1400" s="14">
        <v>77.855000000000004</v>
      </c>
      <c r="G1400" s="16">
        <v>76.010000000000005</v>
      </c>
      <c r="H1400" s="69">
        <f t="shared" si="37"/>
        <v>-1.4415103967342691E-2</v>
      </c>
      <c r="O1400" s="1319"/>
      <c r="P1400" s="1319"/>
      <c r="Q1400" s="35">
        <v>44361</v>
      </c>
      <c r="R1400" s="36">
        <v>1.5100000000000001E-2</v>
      </c>
      <c r="S1400" s="37">
        <v>8.0000000000000002E-3</v>
      </c>
    </row>
    <row r="1401" spans="1:19" x14ac:dyDescent="0.2">
      <c r="A1401" s="1"/>
      <c r="B1401" s="13">
        <v>43683</v>
      </c>
      <c r="C1401" s="14">
        <v>78.39</v>
      </c>
      <c r="D1401" s="15">
        <v>280503</v>
      </c>
      <c r="E1401" s="14">
        <v>76.36</v>
      </c>
      <c r="F1401" s="14">
        <v>78.58</v>
      </c>
      <c r="G1401" s="16">
        <v>75.584999999999994</v>
      </c>
      <c r="H1401" s="69">
        <f t="shared" si="37"/>
        <v>3.0091984231274793E-2</v>
      </c>
      <c r="O1401" s="1319"/>
      <c r="P1401" s="1319"/>
      <c r="Q1401" s="35">
        <v>44362</v>
      </c>
      <c r="R1401" s="36">
        <v>1.5100000000000001E-2</v>
      </c>
      <c r="S1401" s="37">
        <v>7.9000000000000008E-3</v>
      </c>
    </row>
    <row r="1402" spans="1:19" x14ac:dyDescent="0.2">
      <c r="A1402" s="1"/>
      <c r="B1402" s="13">
        <v>43682</v>
      </c>
      <c r="C1402" s="14">
        <v>76.099999999999994</v>
      </c>
      <c r="D1402" s="15">
        <v>436300</v>
      </c>
      <c r="E1402" s="14">
        <v>75.510000000000005</v>
      </c>
      <c r="F1402" s="14">
        <v>77.680000000000007</v>
      </c>
      <c r="G1402" s="16">
        <v>75.12</v>
      </c>
      <c r="H1402" s="69">
        <f t="shared" si="37"/>
        <v>-1.2970168612191912E-2</v>
      </c>
      <c r="O1402" s="1319"/>
      <c r="P1402" s="1319"/>
      <c r="Q1402" s="35">
        <v>44363</v>
      </c>
      <c r="R1402" s="36">
        <v>1.5700000000000002E-2</v>
      </c>
      <c r="S1402" s="37">
        <v>8.8999999999999999E-3</v>
      </c>
    </row>
    <row r="1403" spans="1:19" x14ac:dyDescent="0.2">
      <c r="A1403" s="1"/>
      <c r="B1403" s="13">
        <v>43679</v>
      </c>
      <c r="C1403" s="14">
        <v>77.099999999999994</v>
      </c>
      <c r="D1403" s="15">
        <v>292448</v>
      </c>
      <c r="E1403" s="14">
        <v>74.95</v>
      </c>
      <c r="F1403" s="14">
        <v>77.650000000000006</v>
      </c>
      <c r="G1403" s="16">
        <v>74.22</v>
      </c>
      <c r="H1403" s="69">
        <f t="shared" si="37"/>
        <v>2.4176408076514333E-2</v>
      </c>
      <c r="O1403" s="1319"/>
      <c r="P1403" s="1319"/>
      <c r="Q1403" s="35">
        <v>44364</v>
      </c>
      <c r="R1403" s="36">
        <v>1.52E-2</v>
      </c>
      <c r="S1403" s="37">
        <v>9.0000000000000011E-3</v>
      </c>
    </row>
    <row r="1404" spans="1:19" x14ac:dyDescent="0.2">
      <c r="A1404" s="1"/>
      <c r="B1404" s="13">
        <v>43678</v>
      </c>
      <c r="C1404" s="14">
        <v>75.28</v>
      </c>
      <c r="D1404" s="15">
        <v>469766</v>
      </c>
      <c r="E1404" s="14">
        <v>78.69</v>
      </c>
      <c r="F1404" s="14">
        <v>78.69</v>
      </c>
      <c r="G1404" s="16">
        <v>74.5</v>
      </c>
      <c r="H1404" s="69">
        <f t="shared" si="37"/>
        <v>-1.3368283093053712E-2</v>
      </c>
      <c r="O1404" s="1319"/>
      <c r="P1404" s="1319"/>
      <c r="Q1404" s="35">
        <v>44365</v>
      </c>
      <c r="R1404" s="36">
        <v>1.4499999999999999E-2</v>
      </c>
      <c r="S1404" s="37">
        <v>8.8999999999999999E-3</v>
      </c>
    </row>
    <row r="1405" spans="1:19" x14ac:dyDescent="0.2">
      <c r="A1405" s="1"/>
      <c r="B1405" s="13">
        <v>43677</v>
      </c>
      <c r="C1405" s="14">
        <v>76.3</v>
      </c>
      <c r="D1405" s="15">
        <v>808807</v>
      </c>
      <c r="E1405" s="14">
        <v>74.069999999999993</v>
      </c>
      <c r="F1405" s="14">
        <v>77.8</v>
      </c>
      <c r="G1405" s="16">
        <v>71.52</v>
      </c>
      <c r="H1405" s="69">
        <f t="shared" si="37"/>
        <v>9.5792043659342241E-2</v>
      </c>
      <c r="O1405" s="1319"/>
      <c r="P1405" s="1319"/>
      <c r="Q1405" s="35">
        <v>44368</v>
      </c>
      <c r="R1405" s="36">
        <v>1.4999999999999999E-2</v>
      </c>
      <c r="S1405" s="37">
        <v>9.0000000000000011E-3</v>
      </c>
    </row>
    <row r="1406" spans="1:19" x14ac:dyDescent="0.2">
      <c r="A1406" s="1"/>
      <c r="B1406" s="13">
        <v>43676</v>
      </c>
      <c r="C1406" s="14">
        <v>69.63</v>
      </c>
      <c r="D1406" s="15">
        <v>274756</v>
      </c>
      <c r="E1406" s="14">
        <v>68.2</v>
      </c>
      <c r="F1406" s="14">
        <v>70.14</v>
      </c>
      <c r="G1406" s="16">
        <v>68.17</v>
      </c>
      <c r="H1406" s="69">
        <f t="shared" si="37"/>
        <v>1.1035283868157331E-2</v>
      </c>
      <c r="O1406" s="1319"/>
      <c r="P1406" s="1319"/>
      <c r="Q1406" s="35">
        <v>44369</v>
      </c>
      <c r="R1406" s="36">
        <v>1.4800000000000001E-2</v>
      </c>
      <c r="S1406" s="37">
        <v>8.6999999999999994E-3</v>
      </c>
    </row>
    <row r="1407" spans="1:19" x14ac:dyDescent="0.2">
      <c r="A1407" s="1"/>
      <c r="B1407" s="13">
        <v>43675</v>
      </c>
      <c r="C1407" s="14">
        <v>68.87</v>
      </c>
      <c r="D1407" s="15">
        <v>184038</v>
      </c>
      <c r="E1407" s="14">
        <v>68.25</v>
      </c>
      <c r="F1407" s="14">
        <v>69.06</v>
      </c>
      <c r="G1407" s="16">
        <v>67.67</v>
      </c>
      <c r="H1407" s="69">
        <f t="shared" si="37"/>
        <v>5.4014598540146341E-3</v>
      </c>
      <c r="O1407" s="1319"/>
      <c r="P1407" s="1319"/>
      <c r="Q1407" s="35">
        <v>44370</v>
      </c>
      <c r="R1407" s="36">
        <v>1.4999999999999999E-2</v>
      </c>
      <c r="S1407" s="37">
        <v>9.0000000000000011E-3</v>
      </c>
    </row>
    <row r="1408" spans="1:19" x14ac:dyDescent="0.2">
      <c r="A1408" s="1"/>
      <c r="B1408" s="13">
        <v>43672</v>
      </c>
      <c r="C1408" s="14">
        <v>68.5</v>
      </c>
      <c r="D1408" s="15">
        <v>124229</v>
      </c>
      <c r="E1408" s="14">
        <v>66.88</v>
      </c>
      <c r="F1408" s="14">
        <v>68.66</v>
      </c>
      <c r="G1408" s="16">
        <v>66.58</v>
      </c>
      <c r="H1408" s="69">
        <f t="shared" si="37"/>
        <v>2.5756214435459723E-2</v>
      </c>
      <c r="O1408" s="1319"/>
      <c r="P1408" s="1319"/>
      <c r="Q1408" s="35">
        <v>44371</v>
      </c>
      <c r="R1408" s="36">
        <v>1.49E-2</v>
      </c>
      <c r="S1408" s="37">
        <v>9.0000000000000011E-3</v>
      </c>
    </row>
    <row r="1409" spans="1:19" x14ac:dyDescent="0.2">
      <c r="A1409" s="1"/>
      <c r="B1409" s="13">
        <v>43671</v>
      </c>
      <c r="C1409" s="14">
        <v>66.78</v>
      </c>
      <c r="D1409" s="15">
        <v>194639</v>
      </c>
      <c r="E1409" s="14">
        <v>68.040000000000006</v>
      </c>
      <c r="F1409" s="14">
        <v>69.42</v>
      </c>
      <c r="G1409" s="16">
        <v>66.405000000000001</v>
      </c>
      <c r="H1409" s="69">
        <f t="shared" si="37"/>
        <v>-1.6060114925593116E-2</v>
      </c>
      <c r="O1409" s="1319"/>
      <c r="P1409" s="1319"/>
      <c r="Q1409" s="35">
        <v>44372</v>
      </c>
      <c r="R1409" s="36">
        <v>1.54E-2</v>
      </c>
      <c r="S1409" s="37">
        <v>9.1999999999999998E-3</v>
      </c>
    </row>
    <row r="1410" spans="1:19" x14ac:dyDescent="0.2">
      <c r="A1410" s="1"/>
      <c r="B1410" s="13">
        <v>43670</v>
      </c>
      <c r="C1410" s="14">
        <v>67.87</v>
      </c>
      <c r="D1410" s="15">
        <v>212914</v>
      </c>
      <c r="E1410" s="14">
        <v>66.13</v>
      </c>
      <c r="F1410" s="14">
        <v>68.099999999999994</v>
      </c>
      <c r="G1410" s="16">
        <v>65.685000000000002</v>
      </c>
      <c r="H1410" s="69">
        <f t="shared" si="37"/>
        <v>2.1215768883539043E-2</v>
      </c>
      <c r="O1410" s="1319"/>
      <c r="P1410" s="1319"/>
      <c r="Q1410" s="35">
        <v>44375</v>
      </c>
      <c r="R1410" s="36">
        <v>1.49E-2</v>
      </c>
      <c r="S1410" s="37">
        <v>9.0000000000000011E-3</v>
      </c>
    </row>
    <row r="1411" spans="1:19" x14ac:dyDescent="0.2">
      <c r="A1411" s="1"/>
      <c r="B1411" s="13">
        <v>43669</v>
      </c>
      <c r="C1411" s="14">
        <v>66.459999999999994</v>
      </c>
      <c r="D1411" s="15">
        <v>99076</v>
      </c>
      <c r="E1411" s="14">
        <v>65.91</v>
      </c>
      <c r="F1411" s="14">
        <v>66.569999999999993</v>
      </c>
      <c r="G1411" s="16">
        <v>65.635000000000005</v>
      </c>
      <c r="H1411" s="69">
        <f t="shared" si="37"/>
        <v>1.2183978068839529E-2</v>
      </c>
      <c r="O1411" s="1319"/>
      <c r="P1411" s="1319"/>
      <c r="Q1411" s="35">
        <v>44376</v>
      </c>
      <c r="R1411" s="36">
        <v>1.49E-2</v>
      </c>
      <c r="S1411" s="37">
        <v>8.8999999999999999E-3</v>
      </c>
    </row>
    <row r="1412" spans="1:19" x14ac:dyDescent="0.2">
      <c r="A1412" s="1"/>
      <c r="B1412" s="13">
        <v>43668</v>
      </c>
      <c r="C1412" s="14">
        <v>65.66</v>
      </c>
      <c r="D1412" s="15">
        <v>129549</v>
      </c>
      <c r="E1412" s="14">
        <v>65.47</v>
      </c>
      <c r="F1412" s="14">
        <v>66.38</v>
      </c>
      <c r="G1412" s="16">
        <v>64.98</v>
      </c>
      <c r="H1412" s="69">
        <f t="shared" si="37"/>
        <v>6.5920588686185777E-3</v>
      </c>
      <c r="O1412" s="1319"/>
      <c r="P1412" s="1319"/>
      <c r="Q1412" s="35">
        <v>44377</v>
      </c>
      <c r="R1412" s="36">
        <v>1.4499999999999999E-2</v>
      </c>
      <c r="S1412" s="37">
        <v>8.6999999999999994E-3</v>
      </c>
    </row>
    <row r="1413" spans="1:19" x14ac:dyDescent="0.2">
      <c r="A1413" s="1"/>
      <c r="B1413" s="13">
        <v>43665</v>
      </c>
      <c r="C1413" s="14">
        <v>65.23</v>
      </c>
      <c r="D1413" s="15">
        <v>157095</v>
      </c>
      <c r="E1413" s="14">
        <v>64.650000000000006</v>
      </c>
      <c r="F1413" s="14">
        <v>65.849999999999994</v>
      </c>
      <c r="G1413" s="16">
        <v>63.84</v>
      </c>
      <c r="H1413" s="69">
        <f t="shared" si="37"/>
        <v>1.2573734864948838E-2</v>
      </c>
      <c r="O1413" s="1319"/>
      <c r="P1413" s="1319"/>
      <c r="Q1413" s="35">
        <v>44378</v>
      </c>
      <c r="R1413" s="36">
        <v>1.4800000000000001E-2</v>
      </c>
      <c r="S1413" s="37">
        <v>8.8999999999999999E-3</v>
      </c>
    </row>
    <row r="1414" spans="1:19" x14ac:dyDescent="0.2">
      <c r="A1414" s="1"/>
      <c r="B1414" s="13">
        <v>43664</v>
      </c>
      <c r="C1414" s="14">
        <v>64.42</v>
      </c>
      <c r="D1414" s="15">
        <v>206187</v>
      </c>
      <c r="E1414" s="14">
        <v>64.41</v>
      </c>
      <c r="F1414" s="14">
        <v>64.69</v>
      </c>
      <c r="G1414" s="16">
        <v>63.612499999999997</v>
      </c>
      <c r="H1414" s="69">
        <f t="shared" si="37"/>
        <v>-2.1685254027261625E-3</v>
      </c>
      <c r="O1414" s="1319"/>
      <c r="P1414" s="1319"/>
      <c r="Q1414" s="35">
        <v>44379</v>
      </c>
      <c r="R1414" s="36">
        <v>1.44E-2</v>
      </c>
      <c r="S1414" s="37">
        <v>8.6E-3</v>
      </c>
    </row>
    <row r="1415" spans="1:19" x14ac:dyDescent="0.2">
      <c r="A1415" s="1"/>
      <c r="B1415" s="13">
        <v>43663</v>
      </c>
      <c r="C1415" s="14">
        <v>64.56</v>
      </c>
      <c r="D1415" s="15">
        <v>168194</v>
      </c>
      <c r="E1415" s="14">
        <v>65.650000000000006</v>
      </c>
      <c r="F1415" s="14">
        <v>65.650000000000006</v>
      </c>
      <c r="G1415" s="16">
        <v>64.33</v>
      </c>
      <c r="H1415" s="69">
        <f t="shared" si="37"/>
        <v>-2.3888720895070992E-2</v>
      </c>
      <c r="O1415" s="1319"/>
      <c r="P1415" s="1319"/>
      <c r="Q1415" s="35">
        <v>44383</v>
      </c>
      <c r="R1415" s="36">
        <v>1.37E-2</v>
      </c>
      <c r="S1415" s="37">
        <v>8.1000000000000013E-3</v>
      </c>
    </row>
    <row r="1416" spans="1:19" x14ac:dyDescent="0.2">
      <c r="A1416" s="1"/>
      <c r="B1416" s="13">
        <v>43662</v>
      </c>
      <c r="C1416" s="14">
        <v>66.14</v>
      </c>
      <c r="D1416" s="15">
        <v>241230</v>
      </c>
      <c r="E1416" s="14">
        <v>65.63</v>
      </c>
      <c r="F1416" s="14">
        <v>68.075000000000003</v>
      </c>
      <c r="G1416" s="16">
        <v>65.55</v>
      </c>
      <c r="H1416" s="69">
        <f t="shared" si="37"/>
        <v>1.4884149148381098E-2</v>
      </c>
      <c r="O1416" s="1319"/>
      <c r="P1416" s="1319"/>
      <c r="Q1416" s="35">
        <v>44384</v>
      </c>
      <c r="R1416" s="36">
        <v>1.3300000000000001E-2</v>
      </c>
      <c r="S1416" s="37">
        <v>7.9000000000000008E-3</v>
      </c>
    </row>
    <row r="1417" spans="1:19" x14ac:dyDescent="0.2">
      <c r="A1417" s="1"/>
      <c r="B1417" s="13">
        <v>43661</v>
      </c>
      <c r="C1417" s="14">
        <v>65.17</v>
      </c>
      <c r="D1417" s="15">
        <v>155397</v>
      </c>
      <c r="E1417" s="14">
        <v>65.150000000000006</v>
      </c>
      <c r="F1417" s="14">
        <v>65.47</v>
      </c>
      <c r="G1417" s="16">
        <v>64.42</v>
      </c>
      <c r="H1417" s="69">
        <f t="shared" si="37"/>
        <v>-4.1259168704156357E-3</v>
      </c>
      <c r="O1417" s="1319"/>
      <c r="P1417" s="1319"/>
      <c r="Q1417" s="35">
        <v>44385</v>
      </c>
      <c r="R1417" s="36">
        <v>1.3000000000000001E-2</v>
      </c>
      <c r="S1417" s="37">
        <v>7.4000000000000003E-3</v>
      </c>
    </row>
    <row r="1418" spans="1:19" x14ac:dyDescent="0.2">
      <c r="A1418" s="1"/>
      <c r="B1418" s="13">
        <v>43658</v>
      </c>
      <c r="C1418" s="14">
        <v>65.44</v>
      </c>
      <c r="D1418" s="15">
        <v>140651</v>
      </c>
      <c r="E1418" s="14">
        <v>62.98</v>
      </c>
      <c r="F1418" s="14">
        <v>65.930000000000007</v>
      </c>
      <c r="G1418" s="16">
        <v>62.98</v>
      </c>
      <c r="H1418" s="69">
        <f t="shared" si="37"/>
        <v>4.120922832140006E-2</v>
      </c>
      <c r="O1418" s="1319"/>
      <c r="P1418" s="1319"/>
      <c r="Q1418" s="35">
        <v>44386</v>
      </c>
      <c r="R1418" s="36">
        <v>1.37E-2</v>
      </c>
      <c r="S1418" s="37">
        <v>7.9000000000000008E-3</v>
      </c>
    </row>
    <row r="1419" spans="1:19" x14ac:dyDescent="0.2">
      <c r="A1419" s="1"/>
      <c r="B1419" s="13">
        <v>43657</v>
      </c>
      <c r="C1419" s="14">
        <v>62.85</v>
      </c>
      <c r="D1419" s="15">
        <v>122999</v>
      </c>
      <c r="E1419" s="14">
        <v>62.16</v>
      </c>
      <c r="F1419" s="14">
        <v>63</v>
      </c>
      <c r="G1419" s="16">
        <v>61.13</v>
      </c>
      <c r="H1419" s="69">
        <f t="shared" si="37"/>
        <v>8.6663456909004122E-3</v>
      </c>
      <c r="O1419" s="1319"/>
      <c r="P1419" s="1319"/>
      <c r="Q1419" s="35">
        <v>44389</v>
      </c>
      <c r="R1419" s="36">
        <v>1.38E-2</v>
      </c>
      <c r="S1419" s="37">
        <v>8.1000000000000013E-3</v>
      </c>
    </row>
    <row r="1420" spans="1:19" x14ac:dyDescent="0.2">
      <c r="A1420" s="1"/>
      <c r="B1420" s="13">
        <v>43656</v>
      </c>
      <c r="C1420" s="14">
        <v>62.31</v>
      </c>
      <c r="D1420" s="15">
        <v>122082</v>
      </c>
      <c r="E1420" s="14">
        <v>64.23</v>
      </c>
      <c r="F1420" s="14">
        <v>64.23</v>
      </c>
      <c r="G1420" s="16">
        <v>61.68</v>
      </c>
      <c r="H1420" s="69">
        <f t="shared" si="37"/>
        <v>-2.5340215861098025E-2</v>
      </c>
      <c r="O1420" s="1319"/>
      <c r="P1420" s="1319"/>
      <c r="Q1420" s="35">
        <v>44390</v>
      </c>
      <c r="R1420" s="36">
        <v>1.4199999999999999E-2</v>
      </c>
      <c r="S1420" s="37">
        <v>8.5000000000000006E-3</v>
      </c>
    </row>
    <row r="1421" spans="1:19" x14ac:dyDescent="0.2">
      <c r="A1421" s="1"/>
      <c r="B1421" s="13">
        <v>43655</v>
      </c>
      <c r="C1421" s="14">
        <v>63.93</v>
      </c>
      <c r="D1421" s="15">
        <v>71181</v>
      </c>
      <c r="E1421" s="14">
        <v>63.94</v>
      </c>
      <c r="F1421" s="14">
        <v>64.23</v>
      </c>
      <c r="G1421" s="16">
        <v>63.54</v>
      </c>
      <c r="H1421" s="69">
        <f t="shared" si="37"/>
        <v>-4.6707146193368798E-3</v>
      </c>
      <c r="O1421" s="1319"/>
      <c r="P1421" s="1319"/>
      <c r="Q1421" s="35">
        <v>44391</v>
      </c>
      <c r="R1421" s="36">
        <v>1.37E-2</v>
      </c>
      <c r="S1421" s="37">
        <v>8.0000000000000002E-3</v>
      </c>
    </row>
    <row r="1422" spans="1:19" x14ac:dyDescent="0.2">
      <c r="A1422" s="1"/>
      <c r="B1422" s="13">
        <v>43654</v>
      </c>
      <c r="C1422" s="14">
        <v>64.23</v>
      </c>
      <c r="D1422" s="15">
        <v>120620</v>
      </c>
      <c r="E1422" s="14">
        <v>64.44</v>
      </c>
      <c r="F1422" s="14">
        <v>64.44</v>
      </c>
      <c r="G1422" s="16">
        <v>63.732500000000002</v>
      </c>
      <c r="H1422" s="69">
        <f t="shared" si="37"/>
        <v>-4.8032228075612915E-3</v>
      </c>
      <c r="O1422" s="1319"/>
      <c r="P1422" s="1319"/>
      <c r="Q1422" s="35">
        <v>44392</v>
      </c>
      <c r="R1422" s="36">
        <v>1.3100000000000001E-2</v>
      </c>
      <c r="S1422" s="37">
        <v>7.8000000000000005E-3</v>
      </c>
    </row>
    <row r="1423" spans="1:19" x14ac:dyDescent="0.2">
      <c r="A1423" s="1"/>
      <c r="B1423" s="13">
        <v>43651</v>
      </c>
      <c r="C1423" s="14">
        <v>64.540000000000006</v>
      </c>
      <c r="D1423" s="15">
        <v>107416</v>
      </c>
      <c r="E1423" s="14">
        <v>64.22</v>
      </c>
      <c r="F1423" s="14">
        <v>64.88</v>
      </c>
      <c r="G1423" s="16">
        <v>63.72</v>
      </c>
      <c r="H1423" s="69">
        <f t="shared" si="37"/>
        <v>-1.5470297029701596E-3</v>
      </c>
      <c r="O1423" s="1319"/>
      <c r="P1423" s="1319"/>
      <c r="Q1423" s="35">
        <v>44393</v>
      </c>
      <c r="R1423" s="36">
        <v>1.3100000000000001E-2</v>
      </c>
      <c r="S1423" s="37">
        <v>7.9000000000000008E-3</v>
      </c>
    </row>
    <row r="1424" spans="1:19" x14ac:dyDescent="0.2">
      <c r="A1424" s="1"/>
      <c r="B1424" s="13">
        <v>43649</v>
      </c>
      <c r="C1424" s="14">
        <v>64.64</v>
      </c>
      <c r="D1424" s="15">
        <v>47359</v>
      </c>
      <c r="E1424" s="14">
        <v>64.150000000000006</v>
      </c>
      <c r="F1424" s="14">
        <v>64.92</v>
      </c>
      <c r="G1424" s="16">
        <v>63.8</v>
      </c>
      <c r="H1424" s="69">
        <f t="shared" si="37"/>
        <v>8.8965194318715302E-3</v>
      </c>
      <c r="O1424" s="1319"/>
      <c r="P1424" s="1319"/>
      <c r="Q1424" s="35">
        <v>44396</v>
      </c>
      <c r="R1424" s="36">
        <v>1.1899999999999999E-2</v>
      </c>
      <c r="S1424" s="37">
        <v>6.9999999999999993E-3</v>
      </c>
    </row>
    <row r="1425" spans="1:19" x14ac:dyDescent="0.2">
      <c r="A1425" s="1"/>
      <c r="B1425" s="13">
        <v>43648</v>
      </c>
      <c r="C1425" s="14">
        <v>64.069999999999993</v>
      </c>
      <c r="D1425" s="15">
        <v>103143</v>
      </c>
      <c r="E1425" s="14">
        <v>64.56</v>
      </c>
      <c r="F1425" s="14">
        <v>65.33</v>
      </c>
      <c r="G1425" s="16">
        <v>63.8</v>
      </c>
      <c r="H1425" s="69">
        <f t="shared" si="37"/>
        <v>-8.8180693069308536E-3</v>
      </c>
      <c r="O1425" s="1319"/>
      <c r="P1425" s="1319"/>
      <c r="Q1425" s="35">
        <v>44397</v>
      </c>
      <c r="R1425" s="36">
        <v>1.23E-2</v>
      </c>
      <c r="S1425" s="37">
        <v>6.8999999999999999E-3</v>
      </c>
    </row>
    <row r="1426" spans="1:19" x14ac:dyDescent="0.2">
      <c r="A1426" s="1"/>
      <c r="B1426" s="13">
        <v>43647</v>
      </c>
      <c r="C1426" s="14">
        <v>64.64</v>
      </c>
      <c r="D1426" s="15">
        <v>174775</v>
      </c>
      <c r="E1426" s="14">
        <v>65.88</v>
      </c>
      <c r="F1426" s="14">
        <v>66.254800000000003</v>
      </c>
      <c r="G1426" s="16">
        <v>63.83</v>
      </c>
      <c r="H1426" s="69">
        <f t="shared" si="37"/>
        <v>-4.6389361373122551E-4</v>
      </c>
      <c r="O1426" s="1319"/>
      <c r="P1426" s="1319"/>
      <c r="Q1426" s="35">
        <v>44398</v>
      </c>
      <c r="R1426" s="36">
        <v>1.3000000000000001E-2</v>
      </c>
      <c r="S1426" s="37">
        <v>7.4000000000000003E-3</v>
      </c>
    </row>
    <row r="1427" spans="1:19" x14ac:dyDescent="0.2">
      <c r="A1427" s="1"/>
      <c r="B1427" s="13">
        <v>43644</v>
      </c>
      <c r="C1427" s="14">
        <v>64.67</v>
      </c>
      <c r="D1427" s="15">
        <v>645505</v>
      </c>
      <c r="E1427" s="14">
        <v>62.81</v>
      </c>
      <c r="F1427" s="14">
        <v>65.09</v>
      </c>
      <c r="G1427" s="16">
        <v>62.81</v>
      </c>
      <c r="H1427" s="69">
        <f t="shared" si="37"/>
        <v>3.1748564135290369E-2</v>
      </c>
      <c r="O1427" s="1319"/>
      <c r="P1427" s="1319"/>
      <c r="Q1427" s="35">
        <v>44399</v>
      </c>
      <c r="R1427" s="36">
        <v>1.2699999999999999E-2</v>
      </c>
      <c r="S1427" s="37">
        <v>7.0999999999999995E-3</v>
      </c>
    </row>
    <row r="1428" spans="1:19" x14ac:dyDescent="0.2">
      <c r="A1428" s="1"/>
      <c r="B1428" s="13">
        <v>43643</v>
      </c>
      <c r="C1428" s="14">
        <v>62.68</v>
      </c>
      <c r="D1428" s="15">
        <v>161388</v>
      </c>
      <c r="E1428" s="14">
        <v>60.24</v>
      </c>
      <c r="F1428" s="14">
        <v>62.72</v>
      </c>
      <c r="G1428" s="16">
        <v>59.74</v>
      </c>
      <c r="H1428" s="69">
        <f t="shared" si="37"/>
        <v>4.2061512884455476E-2</v>
      </c>
      <c r="O1428" s="1319"/>
      <c r="P1428" s="1319"/>
      <c r="Q1428" s="35">
        <v>44400</v>
      </c>
      <c r="R1428" s="36">
        <v>1.3000000000000001E-2</v>
      </c>
      <c r="S1428" s="37">
        <v>7.1999999999999998E-3</v>
      </c>
    </row>
    <row r="1429" spans="1:19" x14ac:dyDescent="0.2">
      <c r="A1429" s="1"/>
      <c r="B1429" s="13">
        <v>43642</v>
      </c>
      <c r="C1429" s="14">
        <v>60.15</v>
      </c>
      <c r="D1429" s="15">
        <v>159101</v>
      </c>
      <c r="E1429" s="14">
        <v>59.26</v>
      </c>
      <c r="F1429" s="14">
        <v>60.36</v>
      </c>
      <c r="G1429" s="16">
        <v>59.24</v>
      </c>
      <c r="H1429" s="69">
        <f t="shared" si="37"/>
        <v>1.6047297297297147E-2</v>
      </c>
      <c r="O1429" s="1319"/>
      <c r="P1429" s="1319"/>
      <c r="Q1429" s="35">
        <v>44403</v>
      </c>
      <c r="R1429" s="36">
        <v>1.29E-2</v>
      </c>
      <c r="S1429" s="37">
        <v>7.3000000000000001E-3</v>
      </c>
    </row>
    <row r="1430" spans="1:19" x14ac:dyDescent="0.2">
      <c r="A1430" s="1"/>
      <c r="B1430" s="13">
        <v>43641</v>
      </c>
      <c r="C1430" s="14">
        <v>59.2</v>
      </c>
      <c r="D1430" s="15">
        <v>149687</v>
      </c>
      <c r="E1430" s="14">
        <v>59.92</v>
      </c>
      <c r="F1430" s="14">
        <v>60.04</v>
      </c>
      <c r="G1430" s="16">
        <v>58.96</v>
      </c>
      <c r="H1430" s="69">
        <f t="shared" si="37"/>
        <v>-9.2050209205020161E-3</v>
      </c>
      <c r="O1430" s="1319"/>
      <c r="P1430" s="1319"/>
      <c r="Q1430" s="35">
        <v>44404</v>
      </c>
      <c r="R1430" s="36">
        <v>1.2500000000000001E-2</v>
      </c>
      <c r="S1430" s="37">
        <v>7.0999999999999995E-3</v>
      </c>
    </row>
    <row r="1431" spans="1:19" x14ac:dyDescent="0.2">
      <c r="A1431" s="1"/>
      <c r="B1431" s="13">
        <v>43640</v>
      </c>
      <c r="C1431" s="14">
        <v>59.75</v>
      </c>
      <c r="D1431" s="15">
        <v>126664</v>
      </c>
      <c r="E1431" s="14">
        <v>61.61</v>
      </c>
      <c r="F1431" s="14">
        <v>61.61</v>
      </c>
      <c r="G1431" s="16">
        <v>59.63</v>
      </c>
      <c r="H1431" s="69">
        <f t="shared" si="37"/>
        <v>-2.6555881394591085E-2</v>
      </c>
      <c r="O1431" s="1319"/>
      <c r="P1431" s="1319"/>
      <c r="Q1431" s="35">
        <v>44405</v>
      </c>
      <c r="R1431" s="36">
        <v>1.26E-2</v>
      </c>
      <c r="S1431" s="37">
        <v>7.1999999999999998E-3</v>
      </c>
    </row>
    <row r="1432" spans="1:19" x14ac:dyDescent="0.2">
      <c r="A1432" s="1"/>
      <c r="B1432" s="13">
        <v>43637</v>
      </c>
      <c r="C1432" s="14">
        <v>61.38</v>
      </c>
      <c r="D1432" s="15">
        <v>245129</v>
      </c>
      <c r="E1432" s="14">
        <v>62.59</v>
      </c>
      <c r="F1432" s="14">
        <v>62.6</v>
      </c>
      <c r="G1432" s="16">
        <v>61.11</v>
      </c>
      <c r="H1432" s="69">
        <f t="shared" si="37"/>
        <v>-2.2922636103151817E-2</v>
      </c>
      <c r="O1432" s="1319"/>
      <c r="P1432" s="1319"/>
      <c r="Q1432" s="35">
        <v>44406</v>
      </c>
      <c r="R1432" s="36">
        <v>1.2800000000000001E-2</v>
      </c>
      <c r="S1432" s="37">
        <v>7.3000000000000001E-3</v>
      </c>
    </row>
    <row r="1433" spans="1:19" x14ac:dyDescent="0.2">
      <c r="A1433" s="1"/>
      <c r="B1433" s="13">
        <v>43636</v>
      </c>
      <c r="C1433" s="14">
        <v>62.82</v>
      </c>
      <c r="D1433" s="15">
        <v>93757</v>
      </c>
      <c r="E1433" s="14">
        <v>61.9</v>
      </c>
      <c r="F1433" s="14">
        <v>63.08</v>
      </c>
      <c r="G1433" s="16">
        <v>61.9</v>
      </c>
      <c r="H1433" s="69">
        <f t="shared" si="37"/>
        <v>2.5297861922637388E-2</v>
      </c>
      <c r="O1433" s="1319"/>
      <c r="P1433" s="1319"/>
      <c r="Q1433" s="35">
        <v>44407</v>
      </c>
      <c r="R1433" s="36">
        <v>1.24E-2</v>
      </c>
      <c r="S1433" s="37">
        <v>6.8999999999999999E-3</v>
      </c>
    </row>
    <row r="1434" spans="1:19" x14ac:dyDescent="0.2">
      <c r="A1434" s="1"/>
      <c r="B1434" s="13">
        <v>43635</v>
      </c>
      <c r="C1434" s="14">
        <v>61.27</v>
      </c>
      <c r="D1434" s="15">
        <v>97352</v>
      </c>
      <c r="E1434" s="14">
        <v>61.51</v>
      </c>
      <c r="F1434" s="14">
        <v>62.86</v>
      </c>
      <c r="G1434" s="16">
        <v>60.935000000000002</v>
      </c>
      <c r="H1434" s="69">
        <f t="shared" si="37"/>
        <v>-6.6472114137483551E-3</v>
      </c>
      <c r="O1434" s="1319"/>
      <c r="P1434" s="1319"/>
      <c r="Q1434" s="35">
        <v>44410</v>
      </c>
      <c r="R1434" s="36">
        <v>1.2E-2</v>
      </c>
      <c r="S1434" s="37">
        <v>6.6E-3</v>
      </c>
    </row>
    <row r="1435" spans="1:19" x14ac:dyDescent="0.2">
      <c r="A1435" s="1"/>
      <c r="B1435" s="13">
        <v>43634</v>
      </c>
      <c r="C1435" s="14">
        <v>61.68</v>
      </c>
      <c r="D1435" s="15">
        <v>67347</v>
      </c>
      <c r="E1435" s="14">
        <v>61.04</v>
      </c>
      <c r="F1435" s="14">
        <v>62.33</v>
      </c>
      <c r="G1435" s="16">
        <v>60.774999999999999</v>
      </c>
      <c r="H1435" s="69">
        <f t="shared" si="37"/>
        <v>1.4640565882546586E-2</v>
      </c>
      <c r="O1435" s="1319"/>
      <c r="P1435" s="1319"/>
      <c r="Q1435" s="35">
        <v>44411</v>
      </c>
      <c r="R1435" s="36">
        <v>1.1899999999999999E-2</v>
      </c>
      <c r="S1435" s="37">
        <v>6.5000000000000006E-3</v>
      </c>
    </row>
    <row r="1436" spans="1:19" x14ac:dyDescent="0.2">
      <c r="A1436" s="1"/>
      <c r="B1436" s="13">
        <v>43633</v>
      </c>
      <c r="C1436" s="14">
        <v>60.79</v>
      </c>
      <c r="D1436" s="15">
        <v>166011</v>
      </c>
      <c r="E1436" s="14">
        <v>62.07</v>
      </c>
      <c r="F1436" s="14">
        <v>62.08</v>
      </c>
      <c r="G1436" s="16">
        <v>60.71</v>
      </c>
      <c r="H1436" s="69">
        <f t="shared" si="37"/>
        <v>-2.2668810289389163E-2</v>
      </c>
      <c r="O1436" s="1319"/>
      <c r="P1436" s="1319"/>
      <c r="Q1436" s="35">
        <v>44412</v>
      </c>
      <c r="R1436" s="36">
        <v>1.1899999999999999E-2</v>
      </c>
      <c r="S1436" s="37">
        <v>6.7000000000000002E-3</v>
      </c>
    </row>
    <row r="1437" spans="1:19" x14ac:dyDescent="0.2">
      <c r="A1437" s="1"/>
      <c r="B1437" s="13">
        <v>43630</v>
      </c>
      <c r="C1437" s="14">
        <v>62.2</v>
      </c>
      <c r="D1437" s="15">
        <v>140530</v>
      </c>
      <c r="E1437" s="14">
        <v>61.48</v>
      </c>
      <c r="F1437" s="14">
        <v>62.76</v>
      </c>
      <c r="G1437" s="16">
        <v>60.55</v>
      </c>
      <c r="H1437" s="69">
        <f t="shared" si="37"/>
        <v>6.4724919093852584E-3</v>
      </c>
      <c r="O1437" s="1319"/>
      <c r="P1437" s="1319"/>
      <c r="Q1437" s="35">
        <v>44413</v>
      </c>
      <c r="R1437" s="36">
        <v>1.23E-2</v>
      </c>
      <c r="S1437" s="37">
        <v>7.1999999999999998E-3</v>
      </c>
    </row>
    <row r="1438" spans="1:19" x14ac:dyDescent="0.2">
      <c r="A1438" s="1"/>
      <c r="B1438" s="13">
        <v>43629</v>
      </c>
      <c r="C1438" s="14">
        <v>61.8</v>
      </c>
      <c r="D1438" s="15">
        <v>143176</v>
      </c>
      <c r="E1438" s="14">
        <v>60.92</v>
      </c>
      <c r="F1438" s="14">
        <v>62.41</v>
      </c>
      <c r="G1438" s="16">
        <v>60.5</v>
      </c>
      <c r="H1438" s="69">
        <f t="shared" si="37"/>
        <v>1.7786561264822032E-2</v>
      </c>
      <c r="O1438" s="1319"/>
      <c r="P1438" s="1319"/>
      <c r="Q1438" s="35">
        <v>44414</v>
      </c>
      <c r="R1438" s="36">
        <v>1.3100000000000001E-2</v>
      </c>
      <c r="S1438" s="37">
        <v>7.7000000000000002E-3</v>
      </c>
    </row>
    <row r="1439" spans="1:19" x14ac:dyDescent="0.2">
      <c r="A1439" s="1"/>
      <c r="B1439" s="13">
        <v>43628</v>
      </c>
      <c r="C1439" s="14">
        <v>60.72</v>
      </c>
      <c r="D1439" s="15">
        <v>281907</v>
      </c>
      <c r="E1439" s="14">
        <v>59.25</v>
      </c>
      <c r="F1439" s="14">
        <v>60.92</v>
      </c>
      <c r="G1439" s="16">
        <v>59.13</v>
      </c>
      <c r="H1439" s="69">
        <f t="shared" si="37"/>
        <v>1.8279389569008764E-2</v>
      </c>
      <c r="O1439" s="1319"/>
      <c r="P1439" s="1319"/>
      <c r="Q1439" s="35">
        <v>44417</v>
      </c>
      <c r="R1439" s="36">
        <v>1.3300000000000001E-2</v>
      </c>
      <c r="S1439" s="37">
        <v>7.9000000000000008E-3</v>
      </c>
    </row>
    <row r="1440" spans="1:19" x14ac:dyDescent="0.2">
      <c r="A1440" s="1"/>
      <c r="B1440" s="13">
        <v>43627</v>
      </c>
      <c r="C1440" s="14">
        <v>59.63</v>
      </c>
      <c r="D1440" s="15">
        <v>319539</v>
      </c>
      <c r="E1440" s="14">
        <v>60.99</v>
      </c>
      <c r="F1440" s="14">
        <v>61.42</v>
      </c>
      <c r="G1440" s="16">
        <v>58.63</v>
      </c>
      <c r="H1440" s="69">
        <f t="shared" si="37"/>
        <v>-1.405423280423268E-2</v>
      </c>
      <c r="O1440" s="1319"/>
      <c r="P1440" s="1319"/>
      <c r="Q1440" s="35">
        <v>44418</v>
      </c>
      <c r="R1440" s="36">
        <v>1.3600000000000001E-2</v>
      </c>
      <c r="S1440" s="37">
        <v>8.199999999999999E-3</v>
      </c>
    </row>
    <row r="1441" spans="1:19" x14ac:dyDescent="0.2">
      <c r="A1441" s="1"/>
      <c r="B1441" s="13">
        <v>43626</v>
      </c>
      <c r="C1441" s="14">
        <v>60.48</v>
      </c>
      <c r="D1441" s="15">
        <v>203400</v>
      </c>
      <c r="E1441" s="14">
        <v>58.83</v>
      </c>
      <c r="F1441" s="14">
        <v>60.52</v>
      </c>
      <c r="G1441" s="16">
        <v>58.765000000000001</v>
      </c>
      <c r="H1441" s="69">
        <f t="shared" si="37"/>
        <v>3.3846153846153859E-2</v>
      </c>
      <c r="O1441" s="1319"/>
      <c r="P1441" s="1319"/>
      <c r="Q1441" s="35">
        <v>44419</v>
      </c>
      <c r="R1441" s="36">
        <v>1.3500000000000002E-2</v>
      </c>
      <c r="S1441" s="37">
        <v>8.1000000000000013E-3</v>
      </c>
    </row>
    <row r="1442" spans="1:19" x14ac:dyDescent="0.2">
      <c r="A1442" s="1"/>
      <c r="B1442" s="13">
        <v>43623</v>
      </c>
      <c r="C1442" s="14">
        <v>58.5</v>
      </c>
      <c r="D1442" s="15">
        <v>119637</v>
      </c>
      <c r="E1442" s="14">
        <v>58.43</v>
      </c>
      <c r="F1442" s="14">
        <v>59.19</v>
      </c>
      <c r="G1442" s="16">
        <v>58.36</v>
      </c>
      <c r="H1442" s="69">
        <f t="shared" si="37"/>
        <v>3.0864197530864335E-3</v>
      </c>
      <c r="O1442" s="1319"/>
      <c r="P1442" s="1319"/>
      <c r="Q1442" s="35">
        <v>44420</v>
      </c>
      <c r="R1442" s="36">
        <v>1.3600000000000001E-2</v>
      </c>
      <c r="S1442" s="37">
        <v>8.3000000000000001E-3</v>
      </c>
    </row>
    <row r="1443" spans="1:19" x14ac:dyDescent="0.2">
      <c r="A1443" s="1"/>
      <c r="B1443" s="13">
        <v>43622</v>
      </c>
      <c r="C1443" s="14">
        <v>58.32</v>
      </c>
      <c r="D1443" s="15">
        <v>124117</v>
      </c>
      <c r="E1443" s="14">
        <v>58.57</v>
      </c>
      <c r="F1443" s="14">
        <v>58.57</v>
      </c>
      <c r="G1443" s="16">
        <v>56.92</v>
      </c>
      <c r="H1443" s="69">
        <f t="shared" si="37"/>
        <v>-3.7581141100102577E-3</v>
      </c>
      <c r="O1443" s="1319"/>
      <c r="P1443" s="1319"/>
      <c r="Q1443" s="35">
        <v>44421</v>
      </c>
      <c r="R1443" s="36">
        <v>1.29E-2</v>
      </c>
      <c r="S1443" s="37">
        <v>7.9000000000000008E-3</v>
      </c>
    </row>
    <row r="1444" spans="1:19" x14ac:dyDescent="0.2">
      <c r="A1444" s="1"/>
      <c r="B1444" s="13">
        <v>43621</v>
      </c>
      <c r="C1444" s="14">
        <v>58.54</v>
      </c>
      <c r="D1444" s="15">
        <v>156653</v>
      </c>
      <c r="E1444" s="14">
        <v>59.56</v>
      </c>
      <c r="F1444" s="14">
        <v>59.625</v>
      </c>
      <c r="G1444" s="16">
        <v>58.18</v>
      </c>
      <c r="H1444" s="69">
        <f t="shared" si="37"/>
        <v>-1.7290582507973884E-2</v>
      </c>
      <c r="O1444" s="1319"/>
      <c r="P1444" s="1319"/>
      <c r="Q1444" s="35">
        <v>44424</v>
      </c>
      <c r="R1444" s="36">
        <v>1.26E-2</v>
      </c>
      <c r="S1444" s="37">
        <v>7.4999999999999997E-3</v>
      </c>
    </row>
    <row r="1445" spans="1:19" x14ac:dyDescent="0.2">
      <c r="A1445" s="1"/>
      <c r="B1445" s="13">
        <v>43620</v>
      </c>
      <c r="C1445" s="14">
        <v>59.57</v>
      </c>
      <c r="D1445" s="15">
        <v>164360</v>
      </c>
      <c r="E1445" s="14">
        <v>58.51</v>
      </c>
      <c r="F1445" s="14">
        <v>59.6</v>
      </c>
      <c r="G1445" s="16">
        <v>56.346400000000003</v>
      </c>
      <c r="H1445" s="69">
        <f t="shared" si="37"/>
        <v>3.133656509695304E-2</v>
      </c>
      <c r="O1445" s="1319"/>
      <c r="P1445" s="1319"/>
      <c r="Q1445" s="35">
        <v>44425</v>
      </c>
      <c r="R1445" s="36">
        <v>1.26E-2</v>
      </c>
      <c r="S1445" s="37">
        <v>7.7000000000000002E-3</v>
      </c>
    </row>
    <row r="1446" spans="1:19" x14ac:dyDescent="0.2">
      <c r="A1446" s="1"/>
      <c r="B1446" s="13">
        <v>43619</v>
      </c>
      <c r="C1446" s="14">
        <v>57.76</v>
      </c>
      <c r="D1446" s="15">
        <v>360600</v>
      </c>
      <c r="E1446" s="14">
        <v>58.99</v>
      </c>
      <c r="F1446" s="14">
        <v>60.57</v>
      </c>
      <c r="G1446" s="16">
        <v>57.5</v>
      </c>
      <c r="H1446" s="69">
        <f t="shared" si="37"/>
        <v>-2.1016949152542375E-2</v>
      </c>
      <c r="O1446" s="1319"/>
      <c r="P1446" s="1319"/>
      <c r="Q1446" s="35">
        <v>44426</v>
      </c>
      <c r="R1446" s="36">
        <v>1.2699999999999999E-2</v>
      </c>
      <c r="S1446" s="37">
        <v>7.9000000000000008E-3</v>
      </c>
    </row>
    <row r="1447" spans="1:19" x14ac:dyDescent="0.2">
      <c r="A1447" s="1"/>
      <c r="B1447" s="13">
        <v>43616</v>
      </c>
      <c r="C1447" s="14">
        <v>59</v>
      </c>
      <c r="D1447" s="15">
        <v>209487</v>
      </c>
      <c r="E1447" s="14">
        <v>59.32</v>
      </c>
      <c r="F1447" s="14">
        <v>59.67</v>
      </c>
      <c r="G1447" s="16">
        <v>58.65</v>
      </c>
      <c r="H1447" s="69">
        <f t="shared" si="37"/>
        <v>-1.7976031957390171E-2</v>
      </c>
      <c r="O1447" s="1319"/>
      <c r="P1447" s="1319"/>
      <c r="Q1447" s="35">
        <v>44427</v>
      </c>
      <c r="R1447" s="36">
        <v>1.24E-2</v>
      </c>
      <c r="S1447" s="37">
        <v>7.8000000000000005E-3</v>
      </c>
    </row>
    <row r="1448" spans="1:19" x14ac:dyDescent="0.2">
      <c r="A1448" s="1"/>
      <c r="B1448" s="13">
        <v>43615</v>
      </c>
      <c r="C1448" s="14">
        <v>60.08</v>
      </c>
      <c r="D1448" s="15">
        <v>169185</v>
      </c>
      <c r="E1448" s="14">
        <v>61.17</v>
      </c>
      <c r="F1448" s="14">
        <v>61.55</v>
      </c>
      <c r="G1448" s="16">
        <v>59.38</v>
      </c>
      <c r="H1448" s="69">
        <f t="shared" ref="H1448:H1511" si="38">C1448/C1449-1</f>
        <v>-1.7658600392413293E-2</v>
      </c>
      <c r="O1448" s="1319"/>
      <c r="P1448" s="1319"/>
      <c r="Q1448" s="35">
        <v>44428</v>
      </c>
      <c r="R1448" s="36">
        <v>1.26E-2</v>
      </c>
      <c r="S1448" s="37">
        <v>8.0000000000000002E-3</v>
      </c>
    </row>
    <row r="1449" spans="1:19" x14ac:dyDescent="0.2">
      <c r="A1449" s="1"/>
      <c r="B1449" s="13">
        <v>43614</v>
      </c>
      <c r="C1449" s="14">
        <v>61.16</v>
      </c>
      <c r="D1449" s="15">
        <v>111512</v>
      </c>
      <c r="E1449" s="14">
        <v>61.73</v>
      </c>
      <c r="F1449" s="14">
        <v>62.53</v>
      </c>
      <c r="G1449" s="16">
        <v>61.02</v>
      </c>
      <c r="H1449" s="69">
        <f t="shared" si="38"/>
        <v>-1.9400352733686121E-2</v>
      </c>
      <c r="O1449" s="1319"/>
      <c r="P1449" s="1319"/>
      <c r="Q1449" s="35">
        <v>44431</v>
      </c>
      <c r="R1449" s="36">
        <v>1.2500000000000001E-2</v>
      </c>
      <c r="S1449" s="37">
        <v>7.8000000000000005E-3</v>
      </c>
    </row>
    <row r="1450" spans="1:19" x14ac:dyDescent="0.2">
      <c r="A1450" s="1"/>
      <c r="B1450" s="13">
        <v>43613</v>
      </c>
      <c r="C1450" s="14">
        <v>62.37</v>
      </c>
      <c r="D1450" s="15">
        <v>160336</v>
      </c>
      <c r="E1450" s="14">
        <v>64.010000000000005</v>
      </c>
      <c r="F1450" s="14">
        <v>64.08</v>
      </c>
      <c r="G1450" s="16">
        <v>62.33</v>
      </c>
      <c r="H1450" s="69">
        <f t="shared" si="38"/>
        <v>-2.5773195876288679E-2</v>
      </c>
      <c r="O1450" s="1319"/>
      <c r="P1450" s="1319"/>
      <c r="Q1450" s="35">
        <v>44432</v>
      </c>
      <c r="R1450" s="36">
        <v>1.29E-2</v>
      </c>
      <c r="S1450" s="37">
        <v>8.0000000000000002E-3</v>
      </c>
    </row>
    <row r="1451" spans="1:19" x14ac:dyDescent="0.2">
      <c r="A1451" s="1"/>
      <c r="B1451" s="13">
        <v>43609</v>
      </c>
      <c r="C1451" s="14">
        <v>64.02</v>
      </c>
      <c r="D1451" s="15">
        <v>95604</v>
      </c>
      <c r="E1451" s="14">
        <v>64.42</v>
      </c>
      <c r="F1451" s="14">
        <v>64.42</v>
      </c>
      <c r="G1451" s="16">
        <v>63.27</v>
      </c>
      <c r="H1451" s="69">
        <f t="shared" si="38"/>
        <v>0</v>
      </c>
      <c r="O1451" s="1319"/>
      <c r="P1451" s="1319"/>
      <c r="Q1451" s="35">
        <v>44433</v>
      </c>
      <c r="R1451" s="36">
        <v>1.3500000000000002E-2</v>
      </c>
      <c r="S1451" s="37">
        <v>8.3999999999999995E-3</v>
      </c>
    </row>
    <row r="1452" spans="1:19" x14ac:dyDescent="0.2">
      <c r="A1452" s="1"/>
      <c r="B1452" s="13">
        <v>43608</v>
      </c>
      <c r="C1452" s="14">
        <v>64.02</v>
      </c>
      <c r="D1452" s="15">
        <v>161925</v>
      </c>
      <c r="E1452" s="14">
        <v>64.930000000000007</v>
      </c>
      <c r="F1452" s="14">
        <v>64.930000000000007</v>
      </c>
      <c r="G1452" s="16">
        <v>63.35</v>
      </c>
      <c r="H1452" s="69">
        <f t="shared" si="38"/>
        <v>-1.7495395948434633E-2</v>
      </c>
      <c r="O1452" s="1319"/>
      <c r="P1452" s="1319"/>
      <c r="Q1452" s="35">
        <v>44434</v>
      </c>
      <c r="R1452" s="36">
        <v>1.34E-2</v>
      </c>
      <c r="S1452" s="37">
        <v>8.3999999999999995E-3</v>
      </c>
    </row>
    <row r="1453" spans="1:19" x14ac:dyDescent="0.2">
      <c r="A1453" s="1"/>
      <c r="B1453" s="13">
        <v>43607</v>
      </c>
      <c r="C1453" s="14">
        <v>65.16</v>
      </c>
      <c r="D1453" s="15">
        <v>199049</v>
      </c>
      <c r="E1453" s="14">
        <v>67</v>
      </c>
      <c r="F1453" s="14">
        <v>67.25</v>
      </c>
      <c r="G1453" s="16">
        <v>64.37</v>
      </c>
      <c r="H1453" s="69">
        <f t="shared" si="38"/>
        <v>-3.380782918149472E-2</v>
      </c>
      <c r="O1453" s="1319"/>
      <c r="P1453" s="1319"/>
      <c r="Q1453" s="35">
        <v>44435</v>
      </c>
      <c r="R1453" s="36">
        <v>1.3100000000000001E-2</v>
      </c>
      <c r="S1453" s="37">
        <v>7.9000000000000008E-3</v>
      </c>
    </row>
    <row r="1454" spans="1:19" x14ac:dyDescent="0.2">
      <c r="A1454" s="1"/>
      <c r="B1454" s="13">
        <v>43606</v>
      </c>
      <c r="C1454" s="14">
        <v>67.44</v>
      </c>
      <c r="D1454" s="15">
        <v>116318</v>
      </c>
      <c r="E1454" s="14">
        <v>67.34</v>
      </c>
      <c r="F1454" s="14">
        <v>68.510000000000005</v>
      </c>
      <c r="G1454" s="16">
        <v>66.982500000000002</v>
      </c>
      <c r="H1454" s="69">
        <f t="shared" si="38"/>
        <v>7.4693755602031064E-3</v>
      </c>
      <c r="O1454" s="1319"/>
      <c r="P1454" s="1319"/>
      <c r="Q1454" s="35">
        <v>44438</v>
      </c>
      <c r="R1454" s="36">
        <v>1.29E-2</v>
      </c>
      <c r="S1454" s="37">
        <v>7.7000000000000002E-3</v>
      </c>
    </row>
    <row r="1455" spans="1:19" x14ac:dyDescent="0.2">
      <c r="A1455" s="1"/>
      <c r="B1455" s="13">
        <v>43605</v>
      </c>
      <c r="C1455" s="14">
        <v>66.94</v>
      </c>
      <c r="D1455" s="15">
        <v>101100</v>
      </c>
      <c r="E1455" s="14">
        <v>65.75</v>
      </c>
      <c r="F1455" s="14">
        <v>67.05</v>
      </c>
      <c r="G1455" s="16">
        <v>65.19</v>
      </c>
      <c r="H1455" s="69">
        <f t="shared" si="38"/>
        <v>9.5008294374905322E-3</v>
      </c>
      <c r="O1455" s="1319"/>
      <c r="P1455" s="1319"/>
      <c r="Q1455" s="35">
        <v>44439</v>
      </c>
      <c r="R1455" s="36">
        <v>1.3000000000000001E-2</v>
      </c>
      <c r="S1455" s="37">
        <v>7.7000000000000002E-3</v>
      </c>
    </row>
    <row r="1456" spans="1:19" x14ac:dyDescent="0.2">
      <c r="A1456" s="1"/>
      <c r="B1456" s="13">
        <v>43602</v>
      </c>
      <c r="C1456" s="14">
        <v>66.31</v>
      </c>
      <c r="D1456" s="15">
        <v>138727</v>
      </c>
      <c r="E1456" s="14">
        <v>66.540000000000006</v>
      </c>
      <c r="F1456" s="14">
        <v>67.86</v>
      </c>
      <c r="G1456" s="16">
        <v>66.17</v>
      </c>
      <c r="H1456" s="69">
        <f t="shared" si="38"/>
        <v>-1.4563828206271445E-2</v>
      </c>
      <c r="O1456" s="1319"/>
      <c r="P1456" s="1319"/>
      <c r="Q1456" s="35">
        <v>44440</v>
      </c>
      <c r="R1456" s="36">
        <v>1.3100000000000001E-2</v>
      </c>
      <c r="S1456" s="37">
        <v>7.8000000000000005E-3</v>
      </c>
    </row>
    <row r="1457" spans="1:19" x14ac:dyDescent="0.2">
      <c r="A1457" s="1"/>
      <c r="B1457" s="13">
        <v>43601</v>
      </c>
      <c r="C1457" s="14">
        <v>67.290000000000006</v>
      </c>
      <c r="D1457" s="15">
        <v>92596</v>
      </c>
      <c r="E1457" s="14">
        <v>66.22</v>
      </c>
      <c r="F1457" s="14">
        <v>67.33</v>
      </c>
      <c r="G1457" s="16">
        <v>66.180000000000007</v>
      </c>
      <c r="H1457" s="69">
        <f t="shared" si="38"/>
        <v>1.5085231558304324E-2</v>
      </c>
      <c r="O1457" s="1319"/>
      <c r="P1457" s="1319"/>
      <c r="Q1457" s="35">
        <v>44441</v>
      </c>
      <c r="R1457" s="36">
        <v>1.29E-2</v>
      </c>
      <c r="S1457" s="37">
        <v>7.8000000000000005E-3</v>
      </c>
    </row>
    <row r="1458" spans="1:19" x14ac:dyDescent="0.2">
      <c r="A1458" s="1"/>
      <c r="B1458" s="13">
        <v>43600</v>
      </c>
      <c r="C1458" s="14">
        <v>66.290000000000006</v>
      </c>
      <c r="D1458" s="15">
        <v>119822</v>
      </c>
      <c r="E1458" s="14">
        <v>65.56</v>
      </c>
      <c r="F1458" s="14">
        <v>66.33</v>
      </c>
      <c r="G1458" s="16">
        <v>64.97</v>
      </c>
      <c r="H1458" s="69">
        <f t="shared" si="38"/>
        <v>2.8744326777612184E-3</v>
      </c>
      <c r="O1458" s="1319"/>
      <c r="P1458" s="1319"/>
      <c r="Q1458" s="35">
        <v>44442</v>
      </c>
      <c r="R1458" s="36">
        <v>1.3300000000000001E-2</v>
      </c>
      <c r="S1458" s="37">
        <v>7.8000000000000005E-3</v>
      </c>
    </row>
    <row r="1459" spans="1:19" x14ac:dyDescent="0.2">
      <c r="A1459" s="1"/>
      <c r="B1459" s="13">
        <v>43599</v>
      </c>
      <c r="C1459" s="14">
        <v>66.099999999999994</v>
      </c>
      <c r="D1459" s="15">
        <v>103716</v>
      </c>
      <c r="E1459" s="14">
        <v>65.27</v>
      </c>
      <c r="F1459" s="14">
        <v>66.305000000000007</v>
      </c>
      <c r="G1459" s="16">
        <v>64.959999999999994</v>
      </c>
      <c r="H1459" s="69">
        <f t="shared" si="38"/>
        <v>1.4270369802056093E-2</v>
      </c>
      <c r="O1459" s="1319"/>
      <c r="P1459" s="1319"/>
      <c r="Q1459" s="35">
        <v>44446</v>
      </c>
      <c r="R1459" s="36">
        <v>1.38E-2</v>
      </c>
      <c r="S1459" s="37">
        <v>8.199999999999999E-3</v>
      </c>
    </row>
    <row r="1460" spans="1:19" x14ac:dyDescent="0.2">
      <c r="A1460" s="1"/>
      <c r="B1460" s="13">
        <v>43598</v>
      </c>
      <c r="C1460" s="14">
        <v>65.17</v>
      </c>
      <c r="D1460" s="15">
        <v>215821</v>
      </c>
      <c r="E1460" s="14">
        <v>65.12</v>
      </c>
      <c r="F1460" s="14">
        <v>65.719300000000004</v>
      </c>
      <c r="G1460" s="16">
        <v>64.290000000000006</v>
      </c>
      <c r="H1460" s="69">
        <f t="shared" si="38"/>
        <v>-2.103049421661396E-2</v>
      </c>
      <c r="O1460" s="1319"/>
      <c r="P1460" s="1319"/>
      <c r="Q1460" s="35">
        <v>44447</v>
      </c>
      <c r="R1460" s="36">
        <v>1.3500000000000002E-2</v>
      </c>
      <c r="S1460" s="37">
        <v>8.1000000000000013E-3</v>
      </c>
    </row>
    <row r="1461" spans="1:19" x14ac:dyDescent="0.2">
      <c r="A1461" s="1"/>
      <c r="B1461" s="13">
        <v>43595</v>
      </c>
      <c r="C1461" s="14">
        <v>66.569999999999993</v>
      </c>
      <c r="D1461" s="15">
        <v>165021</v>
      </c>
      <c r="E1461" s="14">
        <v>66.87</v>
      </c>
      <c r="F1461" s="14">
        <v>66.87</v>
      </c>
      <c r="G1461" s="16">
        <v>65.540000000000006</v>
      </c>
      <c r="H1461" s="69">
        <f t="shared" si="38"/>
        <v>-9.0800833581424767E-3</v>
      </c>
      <c r="O1461" s="1319"/>
      <c r="P1461" s="1319"/>
      <c r="Q1461" s="35">
        <v>44448</v>
      </c>
      <c r="R1461" s="36">
        <v>1.3000000000000001E-2</v>
      </c>
      <c r="S1461" s="37">
        <v>7.9000000000000008E-3</v>
      </c>
    </row>
    <row r="1462" spans="1:19" x14ac:dyDescent="0.2">
      <c r="A1462" s="1"/>
      <c r="B1462" s="13">
        <v>43594</v>
      </c>
      <c r="C1462" s="14">
        <v>67.180000000000007</v>
      </c>
      <c r="D1462" s="15">
        <v>121733</v>
      </c>
      <c r="E1462" s="14">
        <v>66.27</v>
      </c>
      <c r="F1462" s="14">
        <v>67.42</v>
      </c>
      <c r="G1462" s="16">
        <v>65.510000000000005</v>
      </c>
      <c r="H1462" s="69">
        <f t="shared" si="38"/>
        <v>4.9364248317129711E-3</v>
      </c>
      <c r="O1462" s="1319"/>
      <c r="P1462" s="1319"/>
      <c r="Q1462" s="35">
        <v>44449</v>
      </c>
      <c r="R1462" s="36">
        <v>1.3500000000000002E-2</v>
      </c>
      <c r="S1462" s="37">
        <v>8.199999999999999E-3</v>
      </c>
    </row>
    <row r="1463" spans="1:19" x14ac:dyDescent="0.2">
      <c r="A1463" s="1"/>
      <c r="B1463" s="13">
        <v>43593</v>
      </c>
      <c r="C1463" s="14">
        <v>66.849999999999994</v>
      </c>
      <c r="D1463" s="15">
        <v>192792</v>
      </c>
      <c r="E1463" s="14">
        <v>67.75</v>
      </c>
      <c r="F1463" s="14">
        <v>68.599999999999994</v>
      </c>
      <c r="G1463" s="16">
        <v>66.599999999999994</v>
      </c>
      <c r="H1463" s="69">
        <f t="shared" si="38"/>
        <v>-1.2555391432791829E-2</v>
      </c>
      <c r="O1463" s="1319"/>
      <c r="P1463" s="1319"/>
      <c r="Q1463" s="35">
        <v>44452</v>
      </c>
      <c r="R1463" s="36">
        <v>1.3300000000000001E-2</v>
      </c>
      <c r="S1463" s="37">
        <v>8.1000000000000013E-3</v>
      </c>
    </row>
    <row r="1464" spans="1:19" x14ac:dyDescent="0.2">
      <c r="A1464" s="1"/>
      <c r="B1464" s="13">
        <v>43592</v>
      </c>
      <c r="C1464" s="14">
        <v>67.7</v>
      </c>
      <c r="D1464" s="15">
        <v>309461</v>
      </c>
      <c r="E1464" s="14">
        <v>67.959999999999994</v>
      </c>
      <c r="F1464" s="14">
        <v>68.260000000000005</v>
      </c>
      <c r="G1464" s="16">
        <v>66.739999999999995</v>
      </c>
      <c r="H1464" s="69">
        <f t="shared" si="38"/>
        <v>-1.7416545718432541E-2</v>
      </c>
      <c r="O1464" s="1319"/>
      <c r="P1464" s="1319"/>
      <c r="Q1464" s="35">
        <v>44453</v>
      </c>
      <c r="R1464" s="36">
        <v>1.2800000000000001E-2</v>
      </c>
      <c r="S1464" s="37">
        <v>7.9000000000000008E-3</v>
      </c>
    </row>
    <row r="1465" spans="1:19" x14ac:dyDescent="0.2">
      <c r="A1465" s="1"/>
      <c r="B1465" s="13">
        <v>43591</v>
      </c>
      <c r="C1465" s="14">
        <v>68.900000000000006</v>
      </c>
      <c r="D1465" s="15">
        <v>218092</v>
      </c>
      <c r="E1465" s="14">
        <v>66.83</v>
      </c>
      <c r="F1465" s="14">
        <v>69.260000000000005</v>
      </c>
      <c r="G1465" s="16">
        <v>63.53</v>
      </c>
      <c r="H1465" s="69">
        <f t="shared" si="38"/>
        <v>9.2280650358871341E-3</v>
      </c>
      <c r="O1465" s="1319"/>
      <c r="P1465" s="1319"/>
      <c r="Q1465" s="35">
        <v>44454</v>
      </c>
      <c r="R1465" s="36">
        <v>1.3100000000000001E-2</v>
      </c>
      <c r="S1465" s="37">
        <v>8.1000000000000013E-3</v>
      </c>
    </row>
    <row r="1466" spans="1:19" x14ac:dyDescent="0.2">
      <c r="A1466" s="1"/>
      <c r="B1466" s="13">
        <v>43588</v>
      </c>
      <c r="C1466" s="14">
        <v>68.27</v>
      </c>
      <c r="D1466" s="15">
        <v>190517</v>
      </c>
      <c r="E1466" s="14">
        <v>66.38</v>
      </c>
      <c r="F1466" s="14">
        <v>68.45</v>
      </c>
      <c r="G1466" s="16">
        <v>65.760000000000005</v>
      </c>
      <c r="H1466" s="69">
        <f t="shared" si="38"/>
        <v>3.8959062547557544E-2</v>
      </c>
      <c r="O1466" s="1319"/>
      <c r="P1466" s="1319"/>
      <c r="Q1466" s="35">
        <v>44455</v>
      </c>
      <c r="R1466" s="36">
        <v>1.34E-2</v>
      </c>
      <c r="S1466" s="37">
        <v>8.3999999999999995E-3</v>
      </c>
    </row>
    <row r="1467" spans="1:19" x14ac:dyDescent="0.2">
      <c r="A1467" s="1"/>
      <c r="B1467" s="13">
        <v>43587</v>
      </c>
      <c r="C1467" s="14">
        <v>65.709999999999994</v>
      </c>
      <c r="D1467" s="15">
        <v>247974</v>
      </c>
      <c r="E1467" s="14">
        <v>63.04</v>
      </c>
      <c r="F1467" s="14">
        <v>65.89</v>
      </c>
      <c r="G1467" s="16">
        <v>62.22</v>
      </c>
      <c r="H1467" s="69">
        <f t="shared" si="38"/>
        <v>2.1610696517412986E-2</v>
      </c>
      <c r="O1467" s="1319"/>
      <c r="P1467" s="1319"/>
      <c r="Q1467" s="35">
        <v>44456</v>
      </c>
      <c r="R1467" s="36">
        <v>1.37E-2</v>
      </c>
      <c r="S1467" s="37">
        <v>8.8000000000000005E-3</v>
      </c>
    </row>
    <row r="1468" spans="1:19" x14ac:dyDescent="0.2">
      <c r="A1468" s="1"/>
      <c r="B1468" s="13">
        <v>43586</v>
      </c>
      <c r="C1468" s="14">
        <v>64.319999999999993</v>
      </c>
      <c r="D1468" s="15">
        <v>690593</v>
      </c>
      <c r="E1468" s="14">
        <v>62.47</v>
      </c>
      <c r="F1468" s="14">
        <v>65.69</v>
      </c>
      <c r="G1468" s="16">
        <v>62.47</v>
      </c>
      <c r="H1468" s="69">
        <f t="shared" si="38"/>
        <v>-1.087125330020311E-3</v>
      </c>
      <c r="O1468" s="1319"/>
      <c r="P1468" s="1319"/>
      <c r="Q1468" s="35">
        <v>44459</v>
      </c>
      <c r="R1468" s="36">
        <v>1.3100000000000001E-2</v>
      </c>
      <c r="S1468" s="37">
        <v>8.3000000000000001E-3</v>
      </c>
    </row>
    <row r="1469" spans="1:19" x14ac:dyDescent="0.2">
      <c r="A1469" s="1"/>
      <c r="B1469" s="13">
        <v>43585</v>
      </c>
      <c r="C1469" s="14">
        <v>64.39</v>
      </c>
      <c r="D1469" s="15">
        <v>259845</v>
      </c>
      <c r="E1469" s="14">
        <v>65.099999999999994</v>
      </c>
      <c r="F1469" s="14">
        <v>65.540000000000006</v>
      </c>
      <c r="G1469" s="16">
        <v>63.879899999999999</v>
      </c>
      <c r="H1469" s="69">
        <f t="shared" si="38"/>
        <v>-1.1665387567152852E-2</v>
      </c>
      <c r="O1469" s="1319"/>
      <c r="P1469" s="1319"/>
      <c r="Q1469" s="35">
        <v>44460</v>
      </c>
      <c r="R1469" s="36">
        <v>1.3300000000000001E-2</v>
      </c>
      <c r="S1469" s="37">
        <v>8.3999999999999995E-3</v>
      </c>
    </row>
    <row r="1470" spans="1:19" x14ac:dyDescent="0.2">
      <c r="A1470" s="1"/>
      <c r="B1470" s="13">
        <v>43584</v>
      </c>
      <c r="C1470" s="14">
        <v>65.150000000000006</v>
      </c>
      <c r="D1470" s="15">
        <v>163088</v>
      </c>
      <c r="E1470" s="14">
        <v>66.069999999999993</v>
      </c>
      <c r="F1470" s="14">
        <v>66.894999999999996</v>
      </c>
      <c r="G1470" s="16">
        <v>64.67</v>
      </c>
      <c r="H1470" s="69">
        <f t="shared" si="38"/>
        <v>-1.4819295327385351E-2</v>
      </c>
      <c r="O1470" s="1319"/>
      <c r="P1470" s="1319"/>
      <c r="Q1470" s="35">
        <v>44461</v>
      </c>
      <c r="R1470" s="36">
        <v>1.32E-2</v>
      </c>
      <c r="S1470" s="37">
        <v>8.6E-3</v>
      </c>
    </row>
    <row r="1471" spans="1:19" x14ac:dyDescent="0.2">
      <c r="A1471" s="1"/>
      <c r="B1471" s="13">
        <v>43581</v>
      </c>
      <c r="C1471" s="14">
        <v>66.13</v>
      </c>
      <c r="D1471" s="15">
        <v>178681</v>
      </c>
      <c r="E1471" s="14">
        <v>64.739999999999995</v>
      </c>
      <c r="F1471" s="14">
        <v>66.680000000000007</v>
      </c>
      <c r="G1471" s="16">
        <v>64.709999999999994</v>
      </c>
      <c r="H1471" s="69">
        <f t="shared" si="38"/>
        <v>1.3176037996016632E-2</v>
      </c>
      <c r="O1471" s="1319"/>
      <c r="P1471" s="1319"/>
      <c r="Q1471" s="35">
        <v>44462</v>
      </c>
      <c r="R1471" s="36">
        <v>1.41E-2</v>
      </c>
      <c r="S1471" s="37">
        <v>9.3999999999999986E-3</v>
      </c>
    </row>
    <row r="1472" spans="1:19" x14ac:dyDescent="0.2">
      <c r="A1472" s="1"/>
      <c r="B1472" s="13">
        <v>43580</v>
      </c>
      <c r="C1472" s="14">
        <v>65.27</v>
      </c>
      <c r="D1472" s="15">
        <v>436315</v>
      </c>
      <c r="E1472" s="14">
        <v>70.47</v>
      </c>
      <c r="F1472" s="14">
        <v>70.754999999999995</v>
      </c>
      <c r="G1472" s="16">
        <v>64.59</v>
      </c>
      <c r="H1472" s="69">
        <f t="shared" si="38"/>
        <v>-7.2737604773405407E-2</v>
      </c>
      <c r="O1472" s="1319"/>
      <c r="P1472" s="1319"/>
      <c r="Q1472" s="35">
        <v>44463</v>
      </c>
      <c r="R1472" s="36">
        <v>1.47E-2</v>
      </c>
      <c r="S1472" s="37">
        <v>9.7000000000000003E-3</v>
      </c>
    </row>
    <row r="1473" spans="1:19" x14ac:dyDescent="0.2">
      <c r="A1473" s="1"/>
      <c r="B1473" s="13">
        <v>43579</v>
      </c>
      <c r="C1473" s="14">
        <v>70.39</v>
      </c>
      <c r="D1473" s="15">
        <v>222026</v>
      </c>
      <c r="E1473" s="14">
        <v>68.44</v>
      </c>
      <c r="F1473" s="14">
        <v>70.77</v>
      </c>
      <c r="G1473" s="16">
        <v>68.44</v>
      </c>
      <c r="H1473" s="69">
        <f t="shared" si="38"/>
        <v>3.0147812088394677E-2</v>
      </c>
      <c r="O1473" s="1319"/>
      <c r="P1473" s="1319"/>
      <c r="Q1473" s="35">
        <v>44466</v>
      </c>
      <c r="R1473" s="36">
        <v>1.4800000000000001E-2</v>
      </c>
      <c r="S1473" s="37">
        <v>9.7999999999999997E-3</v>
      </c>
    </row>
    <row r="1474" spans="1:19" x14ac:dyDescent="0.2">
      <c r="A1474" s="1"/>
      <c r="B1474" s="13">
        <v>43578</v>
      </c>
      <c r="C1474" s="14">
        <v>68.33</v>
      </c>
      <c r="D1474" s="15">
        <v>181477</v>
      </c>
      <c r="E1474" s="14">
        <v>68.59</v>
      </c>
      <c r="F1474" s="14">
        <v>68.75</v>
      </c>
      <c r="G1474" s="16">
        <v>67.86</v>
      </c>
      <c r="H1474" s="69">
        <f t="shared" si="38"/>
        <v>-3.5000729181857704E-3</v>
      </c>
      <c r="O1474" s="1319"/>
      <c r="P1474" s="1319"/>
      <c r="Q1474" s="35">
        <v>44467</v>
      </c>
      <c r="R1474" s="36">
        <v>1.54E-2</v>
      </c>
      <c r="S1474" s="37">
        <v>1.0200000000000001E-2</v>
      </c>
    </row>
    <row r="1475" spans="1:19" x14ac:dyDescent="0.2">
      <c r="A1475" s="1"/>
      <c r="B1475" s="13">
        <v>43577</v>
      </c>
      <c r="C1475" s="14">
        <v>68.569999999999993</v>
      </c>
      <c r="D1475" s="15">
        <v>135388</v>
      </c>
      <c r="E1475" s="14">
        <v>68.180000000000007</v>
      </c>
      <c r="F1475" s="14">
        <v>70.25</v>
      </c>
      <c r="G1475" s="16">
        <v>68.02</v>
      </c>
      <c r="H1475" s="69">
        <f t="shared" si="38"/>
        <v>1.6067776803974088E-3</v>
      </c>
      <c r="O1475" s="1319"/>
      <c r="P1475" s="1319"/>
      <c r="Q1475" s="35">
        <v>44468</v>
      </c>
      <c r="R1475" s="36">
        <v>1.55E-2</v>
      </c>
      <c r="S1475" s="37">
        <v>1.01E-2</v>
      </c>
    </row>
    <row r="1476" spans="1:19" x14ac:dyDescent="0.2">
      <c r="A1476" s="1"/>
      <c r="B1476" s="13">
        <v>43573</v>
      </c>
      <c r="C1476" s="14">
        <v>68.459999999999994</v>
      </c>
      <c r="D1476" s="15">
        <v>130919</v>
      </c>
      <c r="E1476" s="14">
        <v>69.14</v>
      </c>
      <c r="F1476" s="14">
        <v>70.03</v>
      </c>
      <c r="G1476" s="16">
        <v>67.099999999999994</v>
      </c>
      <c r="H1476" s="69">
        <f t="shared" si="38"/>
        <v>-6.6744051073709398E-3</v>
      </c>
      <c r="O1476" s="1319"/>
      <c r="P1476" s="1319"/>
      <c r="Q1476" s="35">
        <v>44469</v>
      </c>
      <c r="R1476" s="36">
        <v>1.52E-2</v>
      </c>
      <c r="S1476" s="37">
        <v>9.7999999999999997E-3</v>
      </c>
    </row>
    <row r="1477" spans="1:19" x14ac:dyDescent="0.2">
      <c r="A1477" s="1"/>
      <c r="B1477" s="13">
        <v>43572</v>
      </c>
      <c r="C1477" s="14">
        <v>68.92</v>
      </c>
      <c r="D1477" s="15">
        <v>146111</v>
      </c>
      <c r="E1477" s="14">
        <v>68.17</v>
      </c>
      <c r="F1477" s="14">
        <v>69.28</v>
      </c>
      <c r="G1477" s="16">
        <v>67.95</v>
      </c>
      <c r="H1477" s="69">
        <f t="shared" si="38"/>
        <v>1.78703293457394E-2</v>
      </c>
      <c r="O1477" s="1319"/>
      <c r="P1477" s="1319"/>
      <c r="Q1477" s="35">
        <v>44470</v>
      </c>
      <c r="R1477" s="36">
        <v>1.4800000000000001E-2</v>
      </c>
      <c r="S1477" s="37">
        <v>9.300000000000001E-3</v>
      </c>
    </row>
    <row r="1478" spans="1:19" x14ac:dyDescent="0.2">
      <c r="A1478" s="1"/>
      <c r="B1478" s="13">
        <v>43571</v>
      </c>
      <c r="C1478" s="14">
        <v>67.709999999999994</v>
      </c>
      <c r="D1478" s="15">
        <v>149907</v>
      </c>
      <c r="E1478" s="14">
        <v>67.010000000000005</v>
      </c>
      <c r="F1478" s="14">
        <v>68</v>
      </c>
      <c r="G1478" s="16">
        <v>66.75</v>
      </c>
      <c r="H1478" s="69">
        <f t="shared" si="38"/>
        <v>7.7392469117427698E-3</v>
      </c>
      <c r="O1478" s="1319"/>
      <c r="P1478" s="1319"/>
      <c r="Q1478" s="35">
        <v>44473</v>
      </c>
      <c r="R1478" s="36">
        <v>1.49E-2</v>
      </c>
      <c r="S1478" s="37">
        <v>9.4999999999999998E-3</v>
      </c>
    </row>
    <row r="1479" spans="1:19" x14ac:dyDescent="0.2">
      <c r="A1479" s="1"/>
      <c r="B1479" s="13">
        <v>43570</v>
      </c>
      <c r="C1479" s="14">
        <v>67.19</v>
      </c>
      <c r="D1479" s="15">
        <v>326907</v>
      </c>
      <c r="E1479" s="14">
        <v>67.17</v>
      </c>
      <c r="F1479" s="14">
        <v>67.790000000000006</v>
      </c>
      <c r="G1479" s="16">
        <v>66.95</v>
      </c>
      <c r="H1479" s="69">
        <f t="shared" si="38"/>
        <v>1.4885382554319371E-4</v>
      </c>
      <c r="O1479" s="1319"/>
      <c r="P1479" s="1319"/>
      <c r="Q1479" s="35">
        <v>44474</v>
      </c>
      <c r="R1479" s="36">
        <v>1.54E-2</v>
      </c>
      <c r="S1479" s="37">
        <v>9.7999999999999997E-3</v>
      </c>
    </row>
    <row r="1480" spans="1:19" x14ac:dyDescent="0.2">
      <c r="A1480" s="1"/>
      <c r="B1480" s="13">
        <v>43567</v>
      </c>
      <c r="C1480" s="14">
        <v>67.180000000000007</v>
      </c>
      <c r="D1480" s="15">
        <v>235724</v>
      </c>
      <c r="E1480" s="14">
        <v>66.709999999999994</v>
      </c>
      <c r="F1480" s="14">
        <v>67.739999999999995</v>
      </c>
      <c r="G1480" s="16">
        <v>66.489999999999995</v>
      </c>
      <c r="H1480" s="69">
        <f t="shared" si="38"/>
        <v>1.9423368740515867E-2</v>
      </c>
      <c r="O1480" s="1319"/>
      <c r="P1480" s="1319"/>
      <c r="Q1480" s="35">
        <v>44475</v>
      </c>
      <c r="R1480" s="36">
        <v>1.5300000000000001E-2</v>
      </c>
      <c r="S1480" s="37">
        <v>9.8999999999999991E-3</v>
      </c>
    </row>
    <row r="1481" spans="1:19" x14ac:dyDescent="0.2">
      <c r="A1481" s="1"/>
      <c r="B1481" s="13">
        <v>43566</v>
      </c>
      <c r="C1481" s="14">
        <v>65.900000000000006</v>
      </c>
      <c r="D1481" s="15">
        <v>261355</v>
      </c>
      <c r="E1481" s="14">
        <v>63.83</v>
      </c>
      <c r="F1481" s="14">
        <v>66.33</v>
      </c>
      <c r="G1481" s="16">
        <v>63.83</v>
      </c>
      <c r="H1481" s="69">
        <f t="shared" si="38"/>
        <v>4.3877712656423373E-2</v>
      </c>
      <c r="O1481" s="1319"/>
      <c r="P1481" s="1319"/>
      <c r="Q1481" s="35">
        <v>44476</v>
      </c>
      <c r="R1481" s="36">
        <v>1.5800000000000002E-2</v>
      </c>
      <c r="S1481" s="37">
        <v>1.0200000000000001E-2</v>
      </c>
    </row>
    <row r="1482" spans="1:19" x14ac:dyDescent="0.2">
      <c r="A1482" s="1"/>
      <c r="B1482" s="13">
        <v>43565</v>
      </c>
      <c r="C1482" s="14">
        <v>63.13</v>
      </c>
      <c r="D1482" s="15">
        <v>113209</v>
      </c>
      <c r="E1482" s="14">
        <v>63.63</v>
      </c>
      <c r="F1482" s="14">
        <v>64.28</v>
      </c>
      <c r="G1482" s="16">
        <v>62.88</v>
      </c>
      <c r="H1482" s="69">
        <f t="shared" si="38"/>
        <v>-8.1696779261586361E-3</v>
      </c>
      <c r="O1482" s="1319"/>
      <c r="P1482" s="1319"/>
      <c r="Q1482" s="35">
        <v>44477</v>
      </c>
      <c r="R1482" s="36">
        <v>1.61E-2</v>
      </c>
      <c r="S1482" s="37">
        <v>1.0500000000000001E-2</v>
      </c>
    </row>
    <row r="1483" spans="1:19" x14ac:dyDescent="0.2">
      <c r="A1483" s="1"/>
      <c r="B1483" s="13">
        <v>43564</v>
      </c>
      <c r="C1483" s="14">
        <v>63.65</v>
      </c>
      <c r="D1483" s="15">
        <v>106748</v>
      </c>
      <c r="E1483" s="14">
        <v>64.459999999999994</v>
      </c>
      <c r="F1483" s="14">
        <v>65</v>
      </c>
      <c r="G1483" s="16">
        <v>63.46</v>
      </c>
      <c r="H1483" s="69">
        <f t="shared" si="38"/>
        <v>-1.8049984572662714E-2</v>
      </c>
      <c r="O1483" s="1319"/>
      <c r="P1483" s="1319"/>
      <c r="Q1483" s="35">
        <v>44481</v>
      </c>
      <c r="R1483" s="36">
        <v>1.5900000000000001E-2</v>
      </c>
      <c r="S1483" s="37">
        <v>1.0800000000000001E-2</v>
      </c>
    </row>
    <row r="1484" spans="1:19" x14ac:dyDescent="0.2">
      <c r="A1484" s="1"/>
      <c r="B1484" s="13">
        <v>43563</v>
      </c>
      <c r="C1484" s="14">
        <v>64.819999999999993</v>
      </c>
      <c r="D1484" s="15">
        <v>86372</v>
      </c>
      <c r="E1484" s="14">
        <v>64.05</v>
      </c>
      <c r="F1484" s="14">
        <v>65.09</v>
      </c>
      <c r="G1484" s="16">
        <v>63.71</v>
      </c>
      <c r="H1484" s="69">
        <f t="shared" si="38"/>
        <v>7.3038073038071971E-3</v>
      </c>
      <c r="O1484" s="1319"/>
      <c r="P1484" s="1319"/>
      <c r="Q1484" s="35">
        <v>44482</v>
      </c>
      <c r="R1484" s="36">
        <v>1.5600000000000001E-2</v>
      </c>
      <c r="S1484" s="37">
        <v>1.09E-2</v>
      </c>
    </row>
    <row r="1485" spans="1:19" x14ac:dyDescent="0.2">
      <c r="A1485" s="1"/>
      <c r="B1485" s="13">
        <v>43560</v>
      </c>
      <c r="C1485" s="14">
        <v>64.349999999999994</v>
      </c>
      <c r="D1485" s="15">
        <v>176788</v>
      </c>
      <c r="E1485" s="14">
        <v>63.93</v>
      </c>
      <c r="F1485" s="14">
        <v>64.64</v>
      </c>
      <c r="G1485" s="16">
        <v>63.81</v>
      </c>
      <c r="H1485" s="69">
        <f t="shared" si="38"/>
        <v>8.9369708372528667E-3</v>
      </c>
      <c r="O1485" s="1319"/>
      <c r="P1485" s="1319"/>
      <c r="Q1485" s="35">
        <v>44483</v>
      </c>
      <c r="R1485" s="36">
        <v>1.52E-2</v>
      </c>
      <c r="S1485" s="37">
        <v>1.0500000000000001E-2</v>
      </c>
    </row>
    <row r="1486" spans="1:19" x14ac:dyDescent="0.2">
      <c r="A1486" s="1"/>
      <c r="B1486" s="13">
        <v>43559</v>
      </c>
      <c r="C1486" s="14">
        <v>63.78</v>
      </c>
      <c r="D1486" s="15">
        <v>109689</v>
      </c>
      <c r="E1486" s="14">
        <v>62.96</v>
      </c>
      <c r="F1486" s="14">
        <v>63.81</v>
      </c>
      <c r="G1486" s="16">
        <v>62.78</v>
      </c>
      <c r="H1486" s="69">
        <f t="shared" si="38"/>
        <v>1.6738402678144526E-2</v>
      </c>
      <c r="O1486" s="1319"/>
      <c r="P1486" s="1319"/>
      <c r="Q1486" s="35">
        <v>44484</v>
      </c>
      <c r="R1486" s="36">
        <v>1.5900000000000001E-2</v>
      </c>
      <c r="S1486" s="37">
        <v>1.1299999999999999E-2</v>
      </c>
    </row>
    <row r="1487" spans="1:19" x14ac:dyDescent="0.2">
      <c r="A1487" s="1"/>
      <c r="B1487" s="13">
        <v>43558</v>
      </c>
      <c r="C1487" s="14">
        <v>62.73</v>
      </c>
      <c r="D1487" s="15">
        <v>130150</v>
      </c>
      <c r="E1487" s="14">
        <v>62.37</v>
      </c>
      <c r="F1487" s="14">
        <v>63.32</v>
      </c>
      <c r="G1487" s="16">
        <v>62.18</v>
      </c>
      <c r="H1487" s="69">
        <f t="shared" si="38"/>
        <v>1.5212817608027063E-2</v>
      </c>
      <c r="O1487" s="1319"/>
      <c r="P1487" s="1319"/>
      <c r="Q1487" s="35">
        <v>44487</v>
      </c>
      <c r="R1487" s="36">
        <v>1.5900000000000001E-2</v>
      </c>
      <c r="S1487" s="37">
        <v>1.1599999999999999E-2</v>
      </c>
    </row>
    <row r="1488" spans="1:19" x14ac:dyDescent="0.2">
      <c r="A1488" s="1"/>
      <c r="B1488" s="13">
        <v>43557</v>
      </c>
      <c r="C1488" s="14">
        <v>61.79</v>
      </c>
      <c r="D1488" s="15">
        <v>161250</v>
      </c>
      <c r="E1488" s="14">
        <v>63.27</v>
      </c>
      <c r="F1488" s="14">
        <v>63.73</v>
      </c>
      <c r="G1488" s="16">
        <v>61.564999999999998</v>
      </c>
      <c r="H1488" s="69">
        <f t="shared" si="38"/>
        <v>-2.4162981680353801E-2</v>
      </c>
      <c r="O1488" s="1319"/>
      <c r="P1488" s="1319"/>
      <c r="Q1488" s="35">
        <v>44488</v>
      </c>
      <c r="R1488" s="36">
        <v>1.6500000000000001E-2</v>
      </c>
      <c r="S1488" s="37">
        <v>1.1699999999999999E-2</v>
      </c>
    </row>
    <row r="1489" spans="1:19" x14ac:dyDescent="0.2">
      <c r="A1489" s="1"/>
      <c r="B1489" s="13">
        <v>43556</v>
      </c>
      <c r="C1489" s="14">
        <v>63.32</v>
      </c>
      <c r="D1489" s="15">
        <v>152197</v>
      </c>
      <c r="E1489" s="14">
        <v>61.77</v>
      </c>
      <c r="F1489" s="14">
        <v>63.74</v>
      </c>
      <c r="G1489" s="16">
        <v>61.704999999999998</v>
      </c>
      <c r="H1489" s="69">
        <f t="shared" si="38"/>
        <v>3.6333878887070403E-2</v>
      </c>
      <c r="O1489" s="1319"/>
      <c r="P1489" s="1319"/>
      <c r="Q1489" s="35">
        <v>44489</v>
      </c>
      <c r="R1489" s="36">
        <v>1.6500000000000001E-2</v>
      </c>
      <c r="S1489" s="37">
        <v>1.1599999999999999E-2</v>
      </c>
    </row>
    <row r="1490" spans="1:19" x14ac:dyDescent="0.2">
      <c r="A1490" s="1"/>
      <c r="B1490" s="13">
        <v>43553</v>
      </c>
      <c r="C1490" s="14">
        <v>61.1</v>
      </c>
      <c r="D1490" s="15">
        <v>174824</v>
      </c>
      <c r="E1490" s="14">
        <v>62.11</v>
      </c>
      <c r="F1490" s="14">
        <v>62.47</v>
      </c>
      <c r="G1490" s="16">
        <v>61.04</v>
      </c>
      <c r="H1490" s="69">
        <f t="shared" si="38"/>
        <v>-1.467505241090139E-2</v>
      </c>
      <c r="O1490" s="1319"/>
      <c r="P1490" s="1319"/>
      <c r="Q1490" s="35">
        <v>44490</v>
      </c>
      <c r="R1490" s="36">
        <v>1.6799999999999999E-2</v>
      </c>
      <c r="S1490" s="37">
        <v>1.23E-2</v>
      </c>
    </row>
    <row r="1491" spans="1:19" x14ac:dyDescent="0.2">
      <c r="A1491" s="1"/>
      <c r="B1491" s="13">
        <v>43552</v>
      </c>
      <c r="C1491" s="14">
        <v>62.01</v>
      </c>
      <c r="D1491" s="15">
        <v>220003</v>
      </c>
      <c r="E1491" s="14">
        <v>61.1</v>
      </c>
      <c r="F1491" s="14">
        <v>62.17</v>
      </c>
      <c r="G1491" s="16">
        <v>60.93</v>
      </c>
      <c r="H1491" s="69">
        <f t="shared" si="38"/>
        <v>1.6890783863561909E-2</v>
      </c>
      <c r="O1491" s="1319"/>
      <c r="P1491" s="1319"/>
      <c r="Q1491" s="35">
        <v>44491</v>
      </c>
      <c r="R1491" s="36">
        <v>1.66E-2</v>
      </c>
      <c r="S1491" s="37">
        <v>1.2199999999999999E-2</v>
      </c>
    </row>
    <row r="1492" spans="1:19" x14ac:dyDescent="0.2">
      <c r="A1492" s="1"/>
      <c r="B1492" s="13">
        <v>43551</v>
      </c>
      <c r="C1492" s="14">
        <v>60.98</v>
      </c>
      <c r="D1492" s="15">
        <v>104823</v>
      </c>
      <c r="E1492" s="14">
        <v>60.5</v>
      </c>
      <c r="F1492" s="14">
        <v>61.41</v>
      </c>
      <c r="G1492" s="16">
        <v>60.28</v>
      </c>
      <c r="H1492" s="69">
        <f t="shared" si="38"/>
        <v>4.7783819410116557E-3</v>
      </c>
      <c r="O1492" s="1319"/>
      <c r="P1492" s="1319"/>
      <c r="Q1492" s="35">
        <v>44494</v>
      </c>
      <c r="R1492" s="36">
        <v>1.6399999999999998E-2</v>
      </c>
      <c r="S1492" s="37">
        <v>1.1899999999999999E-2</v>
      </c>
    </row>
    <row r="1493" spans="1:19" x14ac:dyDescent="0.2">
      <c r="A1493" s="1"/>
      <c r="B1493" s="13">
        <v>43550</v>
      </c>
      <c r="C1493" s="14">
        <v>60.69</v>
      </c>
      <c r="D1493" s="15">
        <v>177264</v>
      </c>
      <c r="E1493" s="14">
        <v>59.1</v>
      </c>
      <c r="F1493" s="14">
        <v>60.92</v>
      </c>
      <c r="G1493" s="16">
        <v>58.79</v>
      </c>
      <c r="H1493" s="69">
        <f t="shared" si="38"/>
        <v>3.4959072305593475E-2</v>
      </c>
      <c r="O1493" s="1319"/>
      <c r="P1493" s="1319"/>
      <c r="Q1493" s="35">
        <v>44495</v>
      </c>
      <c r="R1493" s="36">
        <v>1.6299999999999999E-2</v>
      </c>
      <c r="S1493" s="37">
        <v>1.2E-2</v>
      </c>
    </row>
    <row r="1494" spans="1:19" x14ac:dyDescent="0.2">
      <c r="A1494" s="1"/>
      <c r="B1494" s="13">
        <v>43549</v>
      </c>
      <c r="C1494" s="14">
        <v>58.64</v>
      </c>
      <c r="D1494" s="15">
        <v>144115</v>
      </c>
      <c r="E1494" s="14">
        <v>59</v>
      </c>
      <c r="F1494" s="14">
        <v>60.1</v>
      </c>
      <c r="G1494" s="16">
        <v>58.46</v>
      </c>
      <c r="H1494" s="69">
        <f t="shared" si="38"/>
        <v>-7.1114121232644933E-3</v>
      </c>
      <c r="O1494" s="1319"/>
      <c r="P1494" s="1319"/>
      <c r="Q1494" s="35">
        <v>44496</v>
      </c>
      <c r="R1494" s="36">
        <v>1.54E-2</v>
      </c>
      <c r="S1494" s="37">
        <v>1.1599999999999999E-2</v>
      </c>
    </row>
    <row r="1495" spans="1:19" x14ac:dyDescent="0.2">
      <c r="A1495" s="1"/>
      <c r="B1495" s="13">
        <v>43546</v>
      </c>
      <c r="C1495" s="14">
        <v>59.06</v>
      </c>
      <c r="D1495" s="15">
        <v>164809</v>
      </c>
      <c r="E1495" s="14">
        <v>60.61</v>
      </c>
      <c r="F1495" s="14">
        <v>60.64</v>
      </c>
      <c r="G1495" s="16">
        <v>59.02</v>
      </c>
      <c r="H1495" s="69">
        <f t="shared" si="38"/>
        <v>-3.0213464696223213E-2</v>
      </c>
      <c r="O1495" s="1319"/>
      <c r="P1495" s="1319"/>
      <c r="Q1495" s="35">
        <v>44497</v>
      </c>
      <c r="R1495" s="36">
        <v>1.5700000000000002E-2</v>
      </c>
      <c r="S1495" s="37">
        <v>1.18E-2</v>
      </c>
    </row>
    <row r="1496" spans="1:19" x14ac:dyDescent="0.2">
      <c r="A1496" s="1"/>
      <c r="B1496" s="13">
        <v>43545</v>
      </c>
      <c r="C1496" s="14">
        <v>60.9</v>
      </c>
      <c r="D1496" s="15">
        <v>178336</v>
      </c>
      <c r="E1496" s="14">
        <v>59.69</v>
      </c>
      <c r="F1496" s="14">
        <v>61.25</v>
      </c>
      <c r="G1496" s="16">
        <v>59.18</v>
      </c>
      <c r="H1496" s="69">
        <f t="shared" si="38"/>
        <v>1.9417475728155331E-2</v>
      </c>
      <c r="O1496" s="1319"/>
      <c r="P1496" s="1319"/>
      <c r="Q1496" s="35">
        <v>44498</v>
      </c>
      <c r="R1496" s="36">
        <v>1.55E-2</v>
      </c>
      <c r="S1496" s="37">
        <v>1.18E-2</v>
      </c>
    </row>
    <row r="1497" spans="1:19" x14ac:dyDescent="0.2">
      <c r="A1497" s="1"/>
      <c r="B1497" s="13">
        <v>43544</v>
      </c>
      <c r="C1497" s="14">
        <v>59.74</v>
      </c>
      <c r="D1497" s="15">
        <v>269832</v>
      </c>
      <c r="E1497" s="14">
        <v>60.25</v>
      </c>
      <c r="F1497" s="14">
        <v>61.09</v>
      </c>
      <c r="G1497" s="16">
        <v>59</v>
      </c>
      <c r="H1497" s="69">
        <f t="shared" si="38"/>
        <v>-9.2868988391375806E-3</v>
      </c>
      <c r="O1497" s="1319"/>
      <c r="P1497" s="1319"/>
      <c r="Q1497" s="35">
        <v>44501</v>
      </c>
      <c r="R1497" s="36">
        <v>1.5800000000000002E-2</v>
      </c>
      <c r="S1497" s="37">
        <v>1.2E-2</v>
      </c>
    </row>
    <row r="1498" spans="1:19" x14ac:dyDescent="0.2">
      <c r="A1498" s="1"/>
      <c r="B1498" s="13">
        <v>43543</v>
      </c>
      <c r="C1498" s="14">
        <v>60.3</v>
      </c>
      <c r="D1498" s="15">
        <v>156888</v>
      </c>
      <c r="E1498" s="14">
        <v>63.15</v>
      </c>
      <c r="F1498" s="14">
        <v>63.15</v>
      </c>
      <c r="G1498" s="16">
        <v>60.11</v>
      </c>
      <c r="H1498" s="69">
        <f t="shared" si="38"/>
        <v>-4.5281823939201993E-2</v>
      </c>
      <c r="O1498" s="1319"/>
      <c r="P1498" s="1319"/>
      <c r="Q1498" s="35">
        <v>44502</v>
      </c>
      <c r="R1498" s="36">
        <v>1.5600000000000001E-2</v>
      </c>
      <c r="S1498" s="37">
        <v>1.15E-2</v>
      </c>
    </row>
    <row r="1499" spans="1:19" x14ac:dyDescent="0.2">
      <c r="A1499" s="1"/>
      <c r="B1499" s="13">
        <v>43542</v>
      </c>
      <c r="C1499" s="14">
        <v>63.16</v>
      </c>
      <c r="D1499" s="15">
        <v>122595</v>
      </c>
      <c r="E1499" s="14">
        <v>62.55</v>
      </c>
      <c r="F1499" s="14">
        <v>63.44</v>
      </c>
      <c r="G1499" s="16">
        <v>62.4</v>
      </c>
      <c r="H1499" s="69">
        <f t="shared" si="38"/>
        <v>7.3365231259967523E-3</v>
      </c>
      <c r="O1499" s="1319"/>
      <c r="P1499" s="1319"/>
      <c r="Q1499" s="35">
        <v>44503</v>
      </c>
      <c r="R1499" s="36">
        <v>1.6E-2</v>
      </c>
      <c r="S1499" s="37">
        <v>1.1899999999999999E-2</v>
      </c>
    </row>
    <row r="1500" spans="1:19" x14ac:dyDescent="0.2">
      <c r="A1500" s="1"/>
      <c r="B1500" s="13">
        <v>43539</v>
      </c>
      <c r="C1500" s="14">
        <v>62.7</v>
      </c>
      <c r="D1500" s="15">
        <v>287357</v>
      </c>
      <c r="E1500" s="14">
        <v>63.98</v>
      </c>
      <c r="F1500" s="14">
        <v>64.61</v>
      </c>
      <c r="G1500" s="16">
        <v>62.61</v>
      </c>
      <c r="H1500" s="69">
        <f t="shared" si="38"/>
        <v>-1.8164735358596862E-2</v>
      </c>
      <c r="O1500" s="1319"/>
      <c r="P1500" s="1319"/>
      <c r="Q1500" s="35">
        <v>44504</v>
      </c>
      <c r="R1500" s="36">
        <v>1.5300000000000001E-2</v>
      </c>
      <c r="S1500" s="37">
        <v>1.1000000000000001E-2</v>
      </c>
    </row>
    <row r="1501" spans="1:19" x14ac:dyDescent="0.2">
      <c r="A1501" s="1"/>
      <c r="B1501" s="13">
        <v>43538</v>
      </c>
      <c r="C1501" s="14">
        <v>63.86</v>
      </c>
      <c r="D1501" s="15">
        <v>170092</v>
      </c>
      <c r="E1501" s="14">
        <v>63.67</v>
      </c>
      <c r="F1501" s="14">
        <v>64.11</v>
      </c>
      <c r="G1501" s="16">
        <v>62.62</v>
      </c>
      <c r="H1501" s="69">
        <f t="shared" si="38"/>
        <v>7.0966724491405841E-3</v>
      </c>
      <c r="O1501" s="1319"/>
      <c r="P1501" s="1319"/>
      <c r="Q1501" s="35">
        <v>44505</v>
      </c>
      <c r="R1501" s="36">
        <v>1.4499999999999999E-2</v>
      </c>
      <c r="S1501" s="37">
        <v>1.04E-2</v>
      </c>
    </row>
    <row r="1502" spans="1:19" x14ac:dyDescent="0.2">
      <c r="A1502" s="1"/>
      <c r="B1502" s="13">
        <v>43537</v>
      </c>
      <c r="C1502" s="14">
        <v>63.41</v>
      </c>
      <c r="D1502" s="15">
        <v>186587</v>
      </c>
      <c r="E1502" s="14">
        <v>62.13</v>
      </c>
      <c r="F1502" s="14">
        <v>64.290000000000006</v>
      </c>
      <c r="G1502" s="16">
        <v>62.13</v>
      </c>
      <c r="H1502" s="69">
        <f t="shared" si="38"/>
        <v>2.2741935483870934E-2</v>
      </c>
      <c r="O1502" s="1319"/>
      <c r="P1502" s="1319"/>
      <c r="Q1502" s="35">
        <v>44508</v>
      </c>
      <c r="R1502" s="36">
        <v>1.5100000000000001E-2</v>
      </c>
      <c r="S1502" s="37">
        <v>1.1299999999999999E-2</v>
      </c>
    </row>
    <row r="1503" spans="1:19" x14ac:dyDescent="0.2">
      <c r="A1503" s="1"/>
      <c r="B1503" s="13">
        <v>43536</v>
      </c>
      <c r="C1503" s="14">
        <v>62</v>
      </c>
      <c r="D1503" s="15">
        <v>147414</v>
      </c>
      <c r="E1503" s="14">
        <v>62.63</v>
      </c>
      <c r="F1503" s="14">
        <v>62.63</v>
      </c>
      <c r="G1503" s="16">
        <v>61.52</v>
      </c>
      <c r="H1503" s="69">
        <f t="shared" si="38"/>
        <v>-1.3367281985996238E-2</v>
      </c>
      <c r="O1503" s="1319"/>
      <c r="P1503" s="1319"/>
      <c r="Q1503" s="35">
        <v>44509</v>
      </c>
      <c r="R1503" s="36">
        <v>1.46E-2</v>
      </c>
      <c r="S1503" s="37">
        <v>1.0800000000000001E-2</v>
      </c>
    </row>
    <row r="1504" spans="1:19" x14ac:dyDescent="0.2">
      <c r="A1504" s="1"/>
      <c r="B1504" s="13">
        <v>43535</v>
      </c>
      <c r="C1504" s="14">
        <v>62.84</v>
      </c>
      <c r="D1504" s="15">
        <v>223944</v>
      </c>
      <c r="E1504" s="14">
        <v>61.11</v>
      </c>
      <c r="F1504" s="14">
        <v>63.295000000000002</v>
      </c>
      <c r="G1504" s="16">
        <v>61.11</v>
      </c>
      <c r="H1504" s="69">
        <f t="shared" si="38"/>
        <v>2.9995082773315973E-2</v>
      </c>
      <c r="O1504" s="1319"/>
      <c r="P1504" s="1319"/>
      <c r="Q1504" s="35">
        <v>44510</v>
      </c>
      <c r="R1504" s="36">
        <v>1.5600000000000001E-2</v>
      </c>
      <c r="S1504" s="37">
        <v>1.23E-2</v>
      </c>
    </row>
    <row r="1505" spans="1:19" x14ac:dyDescent="0.2">
      <c r="A1505" s="1"/>
      <c r="B1505" s="13">
        <v>43532</v>
      </c>
      <c r="C1505" s="14">
        <v>61.01</v>
      </c>
      <c r="D1505" s="15">
        <v>184668</v>
      </c>
      <c r="E1505" s="14">
        <v>60.8</v>
      </c>
      <c r="F1505" s="14">
        <v>61.21</v>
      </c>
      <c r="G1505" s="16">
        <v>59.958300000000001</v>
      </c>
      <c r="H1505" s="69">
        <f t="shared" si="38"/>
        <v>-3.9183673469388447E-3</v>
      </c>
      <c r="O1505" s="1319"/>
      <c r="P1505" s="1319"/>
      <c r="Q1505" s="35">
        <v>44512</v>
      </c>
      <c r="R1505" s="36">
        <v>1.5800000000000002E-2</v>
      </c>
      <c r="S1505" s="37">
        <v>1.24E-2</v>
      </c>
    </row>
    <row r="1506" spans="1:19" x14ac:dyDescent="0.2">
      <c r="A1506" s="1"/>
      <c r="B1506" s="13">
        <v>43531</v>
      </c>
      <c r="C1506" s="14">
        <v>61.25</v>
      </c>
      <c r="D1506" s="15">
        <v>224643</v>
      </c>
      <c r="E1506" s="14">
        <v>62.11</v>
      </c>
      <c r="F1506" s="14">
        <v>62.17</v>
      </c>
      <c r="G1506" s="16">
        <v>60.325000000000003</v>
      </c>
      <c r="H1506" s="69">
        <f t="shared" si="38"/>
        <v>-1.384640154564476E-2</v>
      </c>
      <c r="O1506" s="1319"/>
      <c r="P1506" s="1319"/>
      <c r="Q1506" s="35">
        <v>44515</v>
      </c>
      <c r="R1506" s="36">
        <v>1.6299999999999999E-2</v>
      </c>
      <c r="S1506" s="37">
        <v>1.26E-2</v>
      </c>
    </row>
    <row r="1507" spans="1:19" x14ac:dyDescent="0.2">
      <c r="A1507" s="1"/>
      <c r="B1507" s="13">
        <v>43530</v>
      </c>
      <c r="C1507" s="14">
        <v>62.11</v>
      </c>
      <c r="D1507" s="15">
        <v>157505</v>
      </c>
      <c r="E1507" s="14">
        <v>63.1</v>
      </c>
      <c r="F1507" s="14">
        <v>63.58</v>
      </c>
      <c r="G1507" s="16">
        <v>62.06</v>
      </c>
      <c r="H1507" s="69">
        <f t="shared" si="38"/>
        <v>-1.9264171798515695E-2</v>
      </c>
      <c r="O1507" s="1319"/>
      <c r="P1507" s="1319"/>
      <c r="Q1507" s="35">
        <v>44516</v>
      </c>
      <c r="R1507" s="36">
        <v>1.6299999999999999E-2</v>
      </c>
      <c r="S1507" s="37">
        <v>1.2699999999999999E-2</v>
      </c>
    </row>
    <row r="1508" spans="1:19" x14ac:dyDescent="0.2">
      <c r="A1508" s="1"/>
      <c r="B1508" s="13">
        <v>43529</v>
      </c>
      <c r="C1508" s="14">
        <v>63.33</v>
      </c>
      <c r="D1508" s="15">
        <v>182086</v>
      </c>
      <c r="E1508" s="14">
        <v>64.52</v>
      </c>
      <c r="F1508" s="14">
        <v>64.52</v>
      </c>
      <c r="G1508" s="16">
        <v>63.28</v>
      </c>
      <c r="H1508" s="69">
        <f t="shared" si="38"/>
        <v>-1.8596001859600197E-2</v>
      </c>
      <c r="O1508" s="1319"/>
      <c r="P1508" s="1319"/>
      <c r="Q1508" s="35">
        <v>44517</v>
      </c>
      <c r="R1508" s="36">
        <v>1.6E-2</v>
      </c>
      <c r="S1508" s="37">
        <v>1.24E-2</v>
      </c>
    </row>
    <row r="1509" spans="1:19" x14ac:dyDescent="0.2">
      <c r="A1509" s="1"/>
      <c r="B1509" s="13">
        <v>43528</v>
      </c>
      <c r="C1509" s="14">
        <v>64.53</v>
      </c>
      <c r="D1509" s="15">
        <v>272939</v>
      </c>
      <c r="E1509" s="14">
        <v>67.599999999999994</v>
      </c>
      <c r="F1509" s="14">
        <v>68.215000000000003</v>
      </c>
      <c r="G1509" s="16">
        <v>64.45</v>
      </c>
      <c r="H1509" s="69">
        <f t="shared" si="38"/>
        <v>-4.1443850267379512E-2</v>
      </c>
      <c r="O1509" s="1319"/>
      <c r="P1509" s="1319"/>
      <c r="Q1509" s="35">
        <v>44518</v>
      </c>
      <c r="R1509" s="36">
        <v>1.5900000000000001E-2</v>
      </c>
      <c r="S1509" s="37">
        <v>1.2199999999999999E-2</v>
      </c>
    </row>
    <row r="1510" spans="1:19" x14ac:dyDescent="0.2">
      <c r="A1510" s="1"/>
      <c r="B1510" s="13">
        <v>43525</v>
      </c>
      <c r="C1510" s="14">
        <v>67.319999999999993</v>
      </c>
      <c r="D1510" s="15">
        <v>207028</v>
      </c>
      <c r="E1510" s="14">
        <v>66.53</v>
      </c>
      <c r="F1510" s="14">
        <v>67.680000000000007</v>
      </c>
      <c r="G1510" s="16">
        <v>66.53</v>
      </c>
      <c r="H1510" s="69">
        <f t="shared" si="38"/>
        <v>1.7533252720677073E-2</v>
      </c>
      <c r="O1510" s="1319"/>
      <c r="P1510" s="1319"/>
      <c r="Q1510" s="35">
        <v>44519</v>
      </c>
      <c r="R1510" s="36">
        <v>1.54E-2</v>
      </c>
      <c r="S1510" s="37">
        <v>1.2199999999999999E-2</v>
      </c>
    </row>
    <row r="1511" spans="1:19" x14ac:dyDescent="0.2">
      <c r="A1511" s="1"/>
      <c r="B1511" s="13">
        <v>43524</v>
      </c>
      <c r="C1511" s="14">
        <v>66.16</v>
      </c>
      <c r="D1511" s="15">
        <v>282092</v>
      </c>
      <c r="E1511" s="14">
        <v>67.17</v>
      </c>
      <c r="F1511" s="14">
        <v>67.17</v>
      </c>
      <c r="G1511" s="16">
        <v>65.67</v>
      </c>
      <c r="H1511" s="69">
        <f t="shared" si="38"/>
        <v>-1.6208178438661736E-2</v>
      </c>
      <c r="O1511" s="1319"/>
      <c r="P1511" s="1319"/>
      <c r="Q1511" s="35">
        <v>44522</v>
      </c>
      <c r="R1511" s="36">
        <v>1.6299999999999999E-2</v>
      </c>
      <c r="S1511" s="37">
        <v>1.3300000000000001E-2</v>
      </c>
    </row>
    <row r="1512" spans="1:19" x14ac:dyDescent="0.2">
      <c r="A1512" s="1"/>
      <c r="B1512" s="13">
        <v>43523</v>
      </c>
      <c r="C1512" s="14">
        <v>67.25</v>
      </c>
      <c r="D1512" s="15">
        <v>72424</v>
      </c>
      <c r="E1512" s="14">
        <v>67.180000000000007</v>
      </c>
      <c r="F1512" s="14">
        <v>67.569999999999993</v>
      </c>
      <c r="G1512" s="16">
        <v>66.849999999999994</v>
      </c>
      <c r="H1512" s="69">
        <f t="shared" ref="H1512:H1575" si="39">C1512/C1513-1</f>
        <v>-3.8512812916605688E-3</v>
      </c>
      <c r="O1512" s="1319"/>
      <c r="P1512" s="1319"/>
      <c r="Q1512" s="35">
        <v>44523</v>
      </c>
      <c r="R1512" s="36">
        <v>1.67E-2</v>
      </c>
      <c r="S1512" s="37">
        <v>1.3300000000000001E-2</v>
      </c>
    </row>
    <row r="1513" spans="1:19" x14ac:dyDescent="0.2">
      <c r="A1513" s="1"/>
      <c r="B1513" s="13">
        <v>43522</v>
      </c>
      <c r="C1513" s="14">
        <v>67.510000000000005</v>
      </c>
      <c r="D1513" s="15">
        <v>141360</v>
      </c>
      <c r="E1513" s="14">
        <v>68.55</v>
      </c>
      <c r="F1513" s="14">
        <v>69.42</v>
      </c>
      <c r="G1513" s="16">
        <v>67.305000000000007</v>
      </c>
      <c r="H1513" s="69">
        <f t="shared" si="39"/>
        <v>-1.6032648301996688E-2</v>
      </c>
      <c r="O1513" s="1319"/>
      <c r="P1513" s="1319"/>
      <c r="Q1513" s="35">
        <v>44524</v>
      </c>
      <c r="R1513" s="36">
        <v>1.6399999999999998E-2</v>
      </c>
      <c r="S1513" s="37">
        <v>1.34E-2</v>
      </c>
    </row>
    <row r="1514" spans="1:19" x14ac:dyDescent="0.2">
      <c r="A1514" s="1"/>
      <c r="B1514" s="13">
        <v>43521</v>
      </c>
      <c r="C1514" s="14">
        <v>68.61</v>
      </c>
      <c r="D1514" s="15">
        <v>128499</v>
      </c>
      <c r="E1514" s="14">
        <v>69.099999999999994</v>
      </c>
      <c r="F1514" s="14">
        <v>69.709999999999994</v>
      </c>
      <c r="G1514" s="16">
        <v>68.540000000000006</v>
      </c>
      <c r="H1514" s="69">
        <f t="shared" si="39"/>
        <v>-4.4979686593151769E-3</v>
      </c>
      <c r="O1514" s="1319"/>
      <c r="P1514" s="1319"/>
      <c r="Q1514" s="35">
        <v>44526</v>
      </c>
      <c r="R1514" s="36">
        <v>1.4800000000000001E-2</v>
      </c>
      <c r="S1514" s="37">
        <v>1.1599999999999999E-2</v>
      </c>
    </row>
    <row r="1515" spans="1:19" x14ac:dyDescent="0.2">
      <c r="A1515" s="1"/>
      <c r="B1515" s="13">
        <v>43518</v>
      </c>
      <c r="C1515" s="14">
        <v>68.92</v>
      </c>
      <c r="D1515" s="15">
        <v>146718</v>
      </c>
      <c r="E1515" s="14">
        <v>69.22</v>
      </c>
      <c r="F1515" s="14">
        <v>69.260000000000005</v>
      </c>
      <c r="G1515" s="16">
        <v>66.17</v>
      </c>
      <c r="H1515" s="69">
        <f t="shared" si="39"/>
        <v>-2.7492403414846045E-3</v>
      </c>
      <c r="O1515" s="1319"/>
      <c r="P1515" s="1319"/>
      <c r="Q1515" s="35">
        <v>44529</v>
      </c>
      <c r="R1515" s="36">
        <v>1.52E-2</v>
      </c>
      <c r="S1515" s="37">
        <v>1.18E-2</v>
      </c>
    </row>
    <row r="1516" spans="1:19" x14ac:dyDescent="0.2">
      <c r="A1516" s="1"/>
      <c r="B1516" s="13">
        <v>43517</v>
      </c>
      <c r="C1516" s="14">
        <v>69.11</v>
      </c>
      <c r="D1516" s="15">
        <v>171314</v>
      </c>
      <c r="E1516" s="14">
        <v>70.3</v>
      </c>
      <c r="F1516" s="14">
        <v>70.3</v>
      </c>
      <c r="G1516" s="16">
        <v>68.52</v>
      </c>
      <c r="H1516" s="69">
        <f t="shared" si="39"/>
        <v>-1.7765776009096124E-2</v>
      </c>
      <c r="O1516" s="1319"/>
      <c r="P1516" s="1319"/>
      <c r="Q1516" s="35">
        <v>44530</v>
      </c>
      <c r="R1516" s="36">
        <v>1.43E-2</v>
      </c>
      <c r="S1516" s="37">
        <v>1.1399999999999999E-2</v>
      </c>
    </row>
    <row r="1517" spans="1:19" x14ac:dyDescent="0.2">
      <c r="A1517" s="1"/>
      <c r="B1517" s="13">
        <v>43516</v>
      </c>
      <c r="C1517" s="14">
        <v>70.36</v>
      </c>
      <c r="D1517" s="15">
        <v>197470</v>
      </c>
      <c r="E1517" s="14">
        <v>70.73</v>
      </c>
      <c r="F1517" s="14">
        <v>71.84</v>
      </c>
      <c r="G1517" s="16">
        <v>70.23</v>
      </c>
      <c r="H1517" s="69">
        <f t="shared" si="39"/>
        <v>-2.5517436915226677E-3</v>
      </c>
      <c r="O1517" s="1319"/>
      <c r="P1517" s="1319"/>
      <c r="Q1517" s="35">
        <v>44531</v>
      </c>
      <c r="R1517" s="36">
        <v>1.43E-2</v>
      </c>
      <c r="S1517" s="37">
        <v>1.15E-2</v>
      </c>
    </row>
    <row r="1518" spans="1:19" x14ac:dyDescent="0.2">
      <c r="A1518" s="1"/>
      <c r="B1518" s="13">
        <v>43515</v>
      </c>
      <c r="C1518" s="14">
        <v>70.540000000000006</v>
      </c>
      <c r="D1518" s="15">
        <v>335628</v>
      </c>
      <c r="E1518" s="14">
        <v>69.319999999999993</v>
      </c>
      <c r="F1518" s="14">
        <v>71.59</v>
      </c>
      <c r="G1518" s="16">
        <v>68.631500000000003</v>
      </c>
      <c r="H1518" s="69">
        <f t="shared" si="39"/>
        <v>1.4672036823935697E-2</v>
      </c>
      <c r="O1518" s="1319"/>
      <c r="P1518" s="1319"/>
      <c r="Q1518" s="35">
        <v>44532</v>
      </c>
      <c r="R1518" s="36">
        <v>1.44E-2</v>
      </c>
      <c r="S1518" s="37">
        <v>1.21E-2</v>
      </c>
    </row>
    <row r="1519" spans="1:19" x14ac:dyDescent="0.2">
      <c r="A1519" s="1"/>
      <c r="B1519" s="13">
        <v>43511</v>
      </c>
      <c r="C1519" s="14">
        <v>69.52</v>
      </c>
      <c r="D1519" s="15">
        <v>257169</v>
      </c>
      <c r="E1519" s="14">
        <v>69.17</v>
      </c>
      <c r="F1519" s="14">
        <v>69.765000000000001</v>
      </c>
      <c r="G1519" s="16">
        <v>68.39</v>
      </c>
      <c r="H1519" s="69">
        <f t="shared" si="39"/>
        <v>8.5594080951687523E-3</v>
      </c>
      <c r="O1519" s="1319"/>
      <c r="P1519" s="1319"/>
      <c r="Q1519" s="35">
        <v>44533</v>
      </c>
      <c r="R1519" s="36">
        <v>1.3500000000000002E-2</v>
      </c>
      <c r="S1519" s="37">
        <v>1.1299999999999999E-2</v>
      </c>
    </row>
    <row r="1520" spans="1:19" x14ac:dyDescent="0.2">
      <c r="A1520" s="1"/>
      <c r="B1520" s="13">
        <v>43510</v>
      </c>
      <c r="C1520" s="14">
        <v>68.930000000000007</v>
      </c>
      <c r="D1520" s="15">
        <v>289530</v>
      </c>
      <c r="E1520" s="14">
        <v>67.37</v>
      </c>
      <c r="F1520" s="14">
        <v>69.81</v>
      </c>
      <c r="G1520" s="16">
        <v>63.930100000000003</v>
      </c>
      <c r="H1520" s="69">
        <f t="shared" si="39"/>
        <v>1.5917464996315633E-2</v>
      </c>
      <c r="O1520" s="1319"/>
      <c r="P1520" s="1319"/>
      <c r="Q1520" s="35">
        <v>44536</v>
      </c>
      <c r="R1520" s="36">
        <v>1.43E-2</v>
      </c>
      <c r="S1520" s="37">
        <v>1.21E-2</v>
      </c>
    </row>
    <row r="1521" spans="1:19" x14ac:dyDescent="0.2">
      <c r="A1521" s="1"/>
      <c r="B1521" s="13">
        <v>43509</v>
      </c>
      <c r="C1521" s="14">
        <v>67.849999999999994</v>
      </c>
      <c r="D1521" s="15">
        <v>230760</v>
      </c>
      <c r="E1521" s="14">
        <v>68.2</v>
      </c>
      <c r="F1521" s="14">
        <v>68.239999999999995</v>
      </c>
      <c r="G1521" s="16">
        <v>67.265000000000001</v>
      </c>
      <c r="H1521" s="69">
        <f t="shared" si="39"/>
        <v>-1.324698263173385E-3</v>
      </c>
      <c r="O1521" s="1319"/>
      <c r="P1521" s="1319"/>
      <c r="Q1521" s="35">
        <v>44537</v>
      </c>
      <c r="R1521" s="36">
        <v>1.4800000000000001E-2</v>
      </c>
      <c r="S1521" s="37">
        <v>1.26E-2</v>
      </c>
    </row>
    <row r="1522" spans="1:19" x14ac:dyDescent="0.2">
      <c r="A1522" s="1"/>
      <c r="B1522" s="13">
        <v>43508</v>
      </c>
      <c r="C1522" s="14">
        <v>67.94</v>
      </c>
      <c r="D1522" s="15">
        <v>435361</v>
      </c>
      <c r="E1522" s="14">
        <v>66.569999999999993</v>
      </c>
      <c r="F1522" s="14">
        <v>68.7</v>
      </c>
      <c r="G1522" s="16">
        <v>66.31</v>
      </c>
      <c r="H1522" s="69">
        <f t="shared" si="39"/>
        <v>3.867910105488459E-2</v>
      </c>
      <c r="O1522" s="1319"/>
      <c r="P1522" s="1319"/>
      <c r="Q1522" s="35">
        <v>44538</v>
      </c>
      <c r="R1522" s="36">
        <v>1.52E-2</v>
      </c>
      <c r="S1522" s="37">
        <v>1.2699999999999999E-2</v>
      </c>
    </row>
    <row r="1523" spans="1:19" x14ac:dyDescent="0.2">
      <c r="A1523" s="1"/>
      <c r="B1523" s="13">
        <v>43507</v>
      </c>
      <c r="C1523" s="14">
        <v>65.41</v>
      </c>
      <c r="D1523" s="15">
        <v>324135</v>
      </c>
      <c r="E1523" s="14">
        <v>65.22</v>
      </c>
      <c r="F1523" s="14">
        <v>65.66</v>
      </c>
      <c r="G1523" s="16">
        <v>64.13</v>
      </c>
      <c r="H1523" s="69">
        <f t="shared" si="39"/>
        <v>4.6075871601904961E-3</v>
      </c>
      <c r="O1523" s="1319"/>
      <c r="P1523" s="1319"/>
      <c r="Q1523" s="35">
        <v>44539</v>
      </c>
      <c r="R1523" s="36">
        <v>1.49E-2</v>
      </c>
      <c r="S1523" s="37">
        <v>1.26E-2</v>
      </c>
    </row>
    <row r="1524" spans="1:19" x14ac:dyDescent="0.2">
      <c r="A1524" s="1"/>
      <c r="B1524" s="13">
        <v>43504</v>
      </c>
      <c r="C1524" s="14">
        <v>65.11</v>
      </c>
      <c r="D1524" s="15">
        <v>230144</v>
      </c>
      <c r="E1524" s="14">
        <v>65.47</v>
      </c>
      <c r="F1524" s="14">
        <v>66.41</v>
      </c>
      <c r="G1524" s="16">
        <v>63.82</v>
      </c>
      <c r="H1524" s="69">
        <f t="shared" si="39"/>
        <v>-1.3933060729971247E-2</v>
      </c>
      <c r="O1524" s="1319"/>
      <c r="P1524" s="1319"/>
      <c r="Q1524" s="35">
        <v>44540</v>
      </c>
      <c r="R1524" s="36">
        <v>1.4800000000000001E-2</v>
      </c>
      <c r="S1524" s="37">
        <v>1.2500000000000001E-2</v>
      </c>
    </row>
    <row r="1525" spans="1:19" x14ac:dyDescent="0.2">
      <c r="A1525" s="1"/>
      <c r="B1525" s="13">
        <v>43503</v>
      </c>
      <c r="C1525" s="14">
        <v>66.03</v>
      </c>
      <c r="D1525" s="15">
        <v>289688</v>
      </c>
      <c r="E1525" s="14">
        <v>66.819999999999993</v>
      </c>
      <c r="F1525" s="14">
        <v>67.13</v>
      </c>
      <c r="G1525" s="16">
        <v>65.2</v>
      </c>
      <c r="H1525" s="69">
        <f t="shared" si="39"/>
        <v>1.8352868599629923E-2</v>
      </c>
      <c r="O1525" s="1319"/>
      <c r="P1525" s="1319"/>
      <c r="Q1525" s="35">
        <v>44543</v>
      </c>
      <c r="R1525" s="36">
        <v>1.4199999999999999E-2</v>
      </c>
      <c r="S1525" s="37">
        <v>1.21E-2</v>
      </c>
    </row>
    <row r="1526" spans="1:19" x14ac:dyDescent="0.2">
      <c r="A1526" s="1"/>
      <c r="B1526" s="13">
        <v>43502</v>
      </c>
      <c r="C1526" s="14">
        <v>64.84</v>
      </c>
      <c r="D1526" s="15">
        <v>315034</v>
      </c>
      <c r="E1526" s="14">
        <v>67.17</v>
      </c>
      <c r="F1526" s="14">
        <v>67.618700000000004</v>
      </c>
      <c r="G1526" s="16">
        <v>64.58</v>
      </c>
      <c r="H1526" s="69">
        <f t="shared" si="39"/>
        <v>-3.4688104808694331E-2</v>
      </c>
      <c r="O1526" s="1319"/>
      <c r="P1526" s="1319"/>
      <c r="Q1526" s="35">
        <v>44544</v>
      </c>
      <c r="R1526" s="36">
        <v>1.44E-2</v>
      </c>
      <c r="S1526" s="37">
        <v>1.23E-2</v>
      </c>
    </row>
    <row r="1527" spans="1:19" x14ac:dyDescent="0.2">
      <c r="A1527" s="1"/>
      <c r="B1527" s="13">
        <v>43501</v>
      </c>
      <c r="C1527" s="14">
        <v>67.17</v>
      </c>
      <c r="D1527" s="15">
        <v>313169</v>
      </c>
      <c r="E1527" s="14">
        <v>66.790000000000006</v>
      </c>
      <c r="F1527" s="14">
        <v>67.489999999999995</v>
      </c>
      <c r="G1527" s="16">
        <v>66.08</v>
      </c>
      <c r="H1527" s="69">
        <f t="shared" si="39"/>
        <v>2.3153084539223157E-2</v>
      </c>
      <c r="O1527" s="1319"/>
      <c r="P1527" s="1319"/>
      <c r="Q1527" s="35">
        <v>44545</v>
      </c>
      <c r="R1527" s="36">
        <v>1.47E-2</v>
      </c>
      <c r="S1527" s="37">
        <v>1.26E-2</v>
      </c>
    </row>
    <row r="1528" spans="1:19" x14ac:dyDescent="0.2">
      <c r="A1528" s="1"/>
      <c r="B1528" s="13">
        <v>43500</v>
      </c>
      <c r="C1528" s="14">
        <v>65.650000000000006</v>
      </c>
      <c r="D1528" s="15">
        <v>574158</v>
      </c>
      <c r="E1528" s="14">
        <v>64.739999999999995</v>
      </c>
      <c r="F1528" s="14">
        <v>65.77</v>
      </c>
      <c r="G1528" s="16">
        <v>59.04</v>
      </c>
      <c r="H1528" s="69">
        <f t="shared" si="39"/>
        <v>7.9947359763119064E-2</v>
      </c>
      <c r="O1528" s="1319"/>
      <c r="P1528" s="1319"/>
      <c r="Q1528" s="35">
        <v>44546</v>
      </c>
      <c r="R1528" s="36">
        <v>1.44E-2</v>
      </c>
      <c r="S1528" s="37">
        <v>1.1899999999999999E-2</v>
      </c>
    </row>
    <row r="1529" spans="1:19" x14ac:dyDescent="0.2">
      <c r="A1529" s="1"/>
      <c r="B1529" s="13">
        <v>43497</v>
      </c>
      <c r="C1529" s="14">
        <v>60.79</v>
      </c>
      <c r="D1529" s="15">
        <v>274271</v>
      </c>
      <c r="E1529" s="14">
        <v>60.13</v>
      </c>
      <c r="F1529" s="14">
        <v>61.45</v>
      </c>
      <c r="G1529" s="16">
        <v>59.92</v>
      </c>
      <c r="H1529" s="69">
        <f t="shared" si="39"/>
        <v>1.3673503418375921E-2</v>
      </c>
      <c r="O1529" s="1319"/>
      <c r="P1529" s="1319"/>
      <c r="Q1529" s="35">
        <v>44547</v>
      </c>
      <c r="R1529" s="36">
        <v>1.41E-2</v>
      </c>
      <c r="S1529" s="37">
        <v>1.18E-2</v>
      </c>
    </row>
    <row r="1530" spans="1:19" x14ac:dyDescent="0.2">
      <c r="A1530" s="1"/>
      <c r="B1530" s="13">
        <v>43496</v>
      </c>
      <c r="C1530" s="14">
        <v>59.97</v>
      </c>
      <c r="D1530" s="15">
        <v>404468</v>
      </c>
      <c r="E1530" s="14">
        <v>61.57</v>
      </c>
      <c r="F1530" s="14">
        <v>61.57</v>
      </c>
      <c r="G1530" s="16">
        <v>59.45</v>
      </c>
      <c r="H1530" s="69">
        <f t="shared" si="39"/>
        <v>-2.5986681825564406E-2</v>
      </c>
      <c r="O1530" s="1319"/>
      <c r="P1530" s="1319"/>
      <c r="Q1530" s="35">
        <v>44550</v>
      </c>
      <c r="R1530" s="36">
        <v>1.43E-2</v>
      </c>
      <c r="S1530" s="37">
        <v>1.1699999999999999E-2</v>
      </c>
    </row>
    <row r="1531" spans="1:19" x14ac:dyDescent="0.2">
      <c r="A1531" s="1"/>
      <c r="B1531" s="13">
        <v>43495</v>
      </c>
      <c r="C1531" s="14">
        <v>61.57</v>
      </c>
      <c r="D1531" s="15">
        <v>243482</v>
      </c>
      <c r="E1531" s="14">
        <v>61.01</v>
      </c>
      <c r="F1531" s="14">
        <v>61.73</v>
      </c>
      <c r="G1531" s="16">
        <v>60.44</v>
      </c>
      <c r="H1531" s="69">
        <f t="shared" si="39"/>
        <v>9.3442622950818954E-3</v>
      </c>
      <c r="O1531" s="1319"/>
      <c r="P1531" s="1319"/>
      <c r="Q1531" s="35">
        <v>44551</v>
      </c>
      <c r="R1531" s="36">
        <v>1.4800000000000001E-2</v>
      </c>
      <c r="S1531" s="37">
        <v>1.24E-2</v>
      </c>
    </row>
    <row r="1532" spans="1:19" x14ac:dyDescent="0.2">
      <c r="A1532" s="1"/>
      <c r="B1532" s="13">
        <v>43494</v>
      </c>
      <c r="C1532" s="14">
        <v>61</v>
      </c>
      <c r="D1532" s="15">
        <v>387376</v>
      </c>
      <c r="E1532" s="14">
        <v>60.31</v>
      </c>
      <c r="F1532" s="14">
        <v>61.16</v>
      </c>
      <c r="G1532" s="16">
        <v>59.12</v>
      </c>
      <c r="H1532" s="69">
        <f t="shared" si="39"/>
        <v>2.1262347229198175E-2</v>
      </c>
      <c r="O1532" s="1319"/>
      <c r="P1532" s="1319"/>
      <c r="Q1532" s="35">
        <v>44552</v>
      </c>
      <c r="R1532" s="36">
        <v>1.46E-2</v>
      </c>
      <c r="S1532" s="37">
        <v>1.23E-2</v>
      </c>
    </row>
    <row r="1533" spans="1:19" x14ac:dyDescent="0.2">
      <c r="A1533" s="1"/>
      <c r="B1533" s="13">
        <v>43493</v>
      </c>
      <c r="C1533" s="14">
        <v>59.73</v>
      </c>
      <c r="D1533" s="15">
        <v>182456</v>
      </c>
      <c r="E1533" s="14">
        <v>59.25</v>
      </c>
      <c r="F1533" s="14">
        <v>60.29</v>
      </c>
      <c r="G1533" s="16">
        <v>59.16</v>
      </c>
      <c r="H1533" s="69">
        <f t="shared" si="39"/>
        <v>8.378016085790474E-4</v>
      </c>
      <c r="O1533" s="1319"/>
      <c r="P1533" s="1319"/>
      <c r="Q1533" s="35">
        <v>44553</v>
      </c>
      <c r="R1533" s="36">
        <v>1.4999999999999999E-2</v>
      </c>
      <c r="S1533" s="37">
        <v>1.2500000000000001E-2</v>
      </c>
    </row>
    <row r="1534" spans="1:19" x14ac:dyDescent="0.2">
      <c r="A1534" s="1"/>
      <c r="B1534" s="13">
        <v>43490</v>
      </c>
      <c r="C1534" s="14">
        <v>59.68</v>
      </c>
      <c r="D1534" s="15">
        <v>249217</v>
      </c>
      <c r="E1534" s="14">
        <v>57.83</v>
      </c>
      <c r="F1534" s="14">
        <v>59.78</v>
      </c>
      <c r="G1534" s="16">
        <v>57.53</v>
      </c>
      <c r="H1534" s="69">
        <f t="shared" si="39"/>
        <v>4.1717577238610692E-2</v>
      </c>
      <c r="O1534" s="1319"/>
      <c r="P1534" s="1319"/>
      <c r="Q1534" s="35">
        <v>44557</v>
      </c>
      <c r="R1534" s="36">
        <v>1.4800000000000001E-2</v>
      </c>
      <c r="S1534" s="37">
        <v>1.26E-2</v>
      </c>
    </row>
    <row r="1535" spans="1:19" x14ac:dyDescent="0.2">
      <c r="A1535" s="1"/>
      <c r="B1535" s="13">
        <v>43489</v>
      </c>
      <c r="C1535" s="14">
        <v>57.29</v>
      </c>
      <c r="D1535" s="15">
        <v>147732</v>
      </c>
      <c r="E1535" s="14">
        <v>56.89</v>
      </c>
      <c r="F1535" s="14">
        <v>57.31</v>
      </c>
      <c r="G1535" s="16">
        <v>56.46</v>
      </c>
      <c r="H1535" s="69">
        <f t="shared" si="39"/>
        <v>1.0583877227024141E-2</v>
      </c>
      <c r="O1535" s="1319"/>
      <c r="P1535" s="1319"/>
      <c r="Q1535" s="35">
        <v>44558</v>
      </c>
      <c r="R1535" s="36">
        <v>1.49E-2</v>
      </c>
      <c r="S1535" s="37">
        <v>1.2699999999999999E-2</v>
      </c>
    </row>
    <row r="1536" spans="1:19" x14ac:dyDescent="0.2">
      <c r="A1536" s="1"/>
      <c r="B1536" s="13">
        <v>43488</v>
      </c>
      <c r="C1536" s="14">
        <v>56.69</v>
      </c>
      <c r="D1536" s="15">
        <v>116389</v>
      </c>
      <c r="E1536" s="14">
        <v>57.91</v>
      </c>
      <c r="F1536" s="14">
        <v>57.91</v>
      </c>
      <c r="G1536" s="16">
        <v>55.86</v>
      </c>
      <c r="H1536" s="69">
        <f t="shared" si="39"/>
        <v>-1.4943527367506482E-2</v>
      </c>
      <c r="O1536" s="1319"/>
      <c r="P1536" s="1319"/>
      <c r="Q1536" s="35">
        <v>44559</v>
      </c>
      <c r="R1536" s="36">
        <v>1.55E-2</v>
      </c>
      <c r="S1536" s="37">
        <v>1.29E-2</v>
      </c>
    </row>
    <row r="1537" spans="1:19" x14ac:dyDescent="0.2">
      <c r="A1537" s="1"/>
      <c r="B1537" s="13">
        <v>43487</v>
      </c>
      <c r="C1537" s="14">
        <v>57.55</v>
      </c>
      <c r="D1537" s="15">
        <v>208815</v>
      </c>
      <c r="E1537" s="14">
        <v>58.57</v>
      </c>
      <c r="F1537" s="14">
        <v>58.92</v>
      </c>
      <c r="G1537" s="16">
        <v>57.18</v>
      </c>
      <c r="H1537" s="69">
        <f t="shared" si="39"/>
        <v>-2.6556156968876921E-2</v>
      </c>
      <c r="O1537" s="1319"/>
      <c r="P1537" s="1319"/>
      <c r="Q1537" s="35">
        <v>44560</v>
      </c>
      <c r="R1537" s="36">
        <v>1.52E-2</v>
      </c>
      <c r="S1537" s="37">
        <v>1.2699999999999999E-2</v>
      </c>
    </row>
    <row r="1538" spans="1:19" x14ac:dyDescent="0.2">
      <c r="A1538" s="1"/>
      <c r="B1538" s="13">
        <v>43483</v>
      </c>
      <c r="C1538" s="14">
        <v>59.12</v>
      </c>
      <c r="D1538" s="15">
        <v>310490</v>
      </c>
      <c r="E1538" s="14">
        <v>56.78</v>
      </c>
      <c r="F1538" s="14">
        <v>59.81</v>
      </c>
      <c r="G1538" s="16">
        <v>56.78</v>
      </c>
      <c r="H1538" s="69">
        <f t="shared" si="39"/>
        <v>5.064865825484266E-2</v>
      </c>
      <c r="O1538" s="1319"/>
      <c r="P1538" s="1319"/>
      <c r="Q1538" s="35">
        <v>44561</v>
      </c>
      <c r="R1538" s="36">
        <v>1.52E-2</v>
      </c>
      <c r="S1538" s="37">
        <v>1.26E-2</v>
      </c>
    </row>
    <row r="1539" spans="1:19" x14ac:dyDescent="0.2">
      <c r="A1539" s="1"/>
      <c r="B1539" s="13">
        <v>43482</v>
      </c>
      <c r="C1539" s="14">
        <v>56.27</v>
      </c>
      <c r="D1539" s="15">
        <v>360752</v>
      </c>
      <c r="E1539" s="14">
        <v>55.46</v>
      </c>
      <c r="F1539" s="14">
        <v>57.22</v>
      </c>
      <c r="G1539" s="16">
        <v>55.33</v>
      </c>
      <c r="H1539" s="69">
        <f t="shared" si="39"/>
        <v>1.4605120807789529E-2</v>
      </c>
      <c r="O1539" s="1319"/>
      <c r="P1539" s="1319"/>
      <c r="Q1539" s="35">
        <v>44564</v>
      </c>
      <c r="R1539" s="36">
        <v>1.6299999999999999E-2</v>
      </c>
      <c r="S1539" s="37">
        <v>1.37E-2</v>
      </c>
    </row>
    <row r="1540" spans="1:19" x14ac:dyDescent="0.2">
      <c r="A1540" s="1"/>
      <c r="B1540" s="13">
        <v>43481</v>
      </c>
      <c r="C1540" s="14">
        <v>55.46</v>
      </c>
      <c r="D1540" s="15">
        <v>98012</v>
      </c>
      <c r="E1540" s="14">
        <v>55.13</v>
      </c>
      <c r="F1540" s="14">
        <v>56.25</v>
      </c>
      <c r="G1540" s="16">
        <v>55.13</v>
      </c>
      <c r="H1540" s="69">
        <f t="shared" si="39"/>
        <v>5.9858516234354564E-3</v>
      </c>
      <c r="O1540" s="1319"/>
      <c r="P1540" s="1319"/>
      <c r="Q1540" s="35">
        <v>44565</v>
      </c>
      <c r="R1540" s="36">
        <v>1.66E-2</v>
      </c>
      <c r="S1540" s="37">
        <v>1.37E-2</v>
      </c>
    </row>
    <row r="1541" spans="1:19" x14ac:dyDescent="0.2">
      <c r="A1541" s="1"/>
      <c r="B1541" s="13">
        <v>43480</v>
      </c>
      <c r="C1541" s="14">
        <v>55.13</v>
      </c>
      <c r="D1541" s="15">
        <v>118705</v>
      </c>
      <c r="E1541" s="14">
        <v>55.53</v>
      </c>
      <c r="F1541" s="14">
        <v>55.67</v>
      </c>
      <c r="G1541" s="16">
        <v>54.43</v>
      </c>
      <c r="H1541" s="69">
        <f t="shared" si="39"/>
        <v>-1.6298442593262186E-3</v>
      </c>
      <c r="O1541" s="1319"/>
      <c r="P1541" s="1319"/>
      <c r="Q1541" s="35">
        <v>44566</v>
      </c>
      <c r="R1541" s="36">
        <v>1.7100000000000001E-2</v>
      </c>
      <c r="S1541" s="37">
        <v>1.43E-2</v>
      </c>
    </row>
    <row r="1542" spans="1:19" x14ac:dyDescent="0.2">
      <c r="A1542" s="1"/>
      <c r="B1542" s="13">
        <v>43479</v>
      </c>
      <c r="C1542" s="14">
        <v>55.22</v>
      </c>
      <c r="D1542" s="15">
        <v>178330</v>
      </c>
      <c r="E1542" s="14">
        <v>56.09</v>
      </c>
      <c r="F1542" s="14">
        <v>56.54</v>
      </c>
      <c r="G1542" s="16">
        <v>54.65</v>
      </c>
      <c r="H1542" s="69">
        <f t="shared" si="39"/>
        <v>-2.4036762106751541E-2</v>
      </c>
      <c r="O1542" s="1319"/>
      <c r="P1542" s="1319"/>
      <c r="Q1542" s="35">
        <v>44567</v>
      </c>
      <c r="R1542" s="36">
        <v>1.7299999999999999E-2</v>
      </c>
      <c r="S1542" s="37">
        <v>1.47E-2</v>
      </c>
    </row>
    <row r="1543" spans="1:19" x14ac:dyDescent="0.2">
      <c r="A1543" s="1"/>
      <c r="B1543" s="13">
        <v>43476</v>
      </c>
      <c r="C1543" s="14">
        <v>56.58</v>
      </c>
      <c r="D1543" s="15">
        <v>221482</v>
      </c>
      <c r="E1543" s="14">
        <v>57.01</v>
      </c>
      <c r="F1543" s="14">
        <v>57.06</v>
      </c>
      <c r="G1543" s="16">
        <v>55.79</v>
      </c>
      <c r="H1543" s="69">
        <f t="shared" si="39"/>
        <v>-9.8004900245012294E-3</v>
      </c>
      <c r="O1543" s="1319"/>
      <c r="P1543" s="1319"/>
      <c r="Q1543" s="35">
        <v>44568</v>
      </c>
      <c r="R1543" s="36">
        <v>1.7600000000000001E-2</v>
      </c>
      <c r="S1543" s="37">
        <v>1.4999999999999999E-2</v>
      </c>
    </row>
    <row r="1544" spans="1:19" x14ac:dyDescent="0.2">
      <c r="A1544" s="1"/>
      <c r="B1544" s="13">
        <v>43475</v>
      </c>
      <c r="C1544" s="14">
        <v>57.14</v>
      </c>
      <c r="D1544" s="15">
        <v>130419</v>
      </c>
      <c r="E1544" s="14">
        <v>56.87</v>
      </c>
      <c r="F1544" s="14">
        <v>57.88</v>
      </c>
      <c r="G1544" s="16">
        <v>56.45</v>
      </c>
      <c r="H1544" s="69">
        <f t="shared" si="39"/>
        <v>0</v>
      </c>
      <c r="O1544" s="1319"/>
      <c r="P1544" s="1319"/>
      <c r="Q1544" s="35">
        <v>44571</v>
      </c>
      <c r="R1544" s="36">
        <v>1.78E-2</v>
      </c>
      <c r="S1544" s="37">
        <v>1.5300000000000001E-2</v>
      </c>
    </row>
    <row r="1545" spans="1:19" x14ac:dyDescent="0.2">
      <c r="A1545" s="1"/>
      <c r="B1545" s="13">
        <v>43474</v>
      </c>
      <c r="C1545" s="14">
        <v>57.14</v>
      </c>
      <c r="D1545" s="15">
        <v>198758</v>
      </c>
      <c r="E1545" s="14">
        <v>56.53</v>
      </c>
      <c r="F1545" s="14">
        <v>57.5</v>
      </c>
      <c r="G1545" s="16">
        <v>55.86</v>
      </c>
      <c r="H1545" s="69">
        <f t="shared" si="39"/>
        <v>1.4739833066950814E-2</v>
      </c>
      <c r="O1545" s="1319"/>
      <c r="P1545" s="1319"/>
      <c r="Q1545" s="35">
        <v>44572</v>
      </c>
      <c r="R1545" s="36">
        <v>1.7500000000000002E-2</v>
      </c>
      <c r="S1545" s="37">
        <v>1.5100000000000001E-2</v>
      </c>
    </row>
    <row r="1546" spans="1:19" x14ac:dyDescent="0.2">
      <c r="A1546" s="1"/>
      <c r="B1546" s="13">
        <v>43473</v>
      </c>
      <c r="C1546" s="14">
        <v>56.31</v>
      </c>
      <c r="D1546" s="15">
        <v>200863</v>
      </c>
      <c r="E1546" s="14">
        <v>55.59</v>
      </c>
      <c r="F1546" s="14">
        <v>57.26</v>
      </c>
      <c r="G1546" s="16">
        <v>55.24</v>
      </c>
      <c r="H1546" s="69">
        <f t="shared" si="39"/>
        <v>2.6056851311953455E-2</v>
      </c>
      <c r="O1546" s="1319"/>
      <c r="P1546" s="1319"/>
      <c r="Q1546" s="35">
        <v>44573</v>
      </c>
      <c r="R1546" s="36">
        <v>1.7399999999999999E-2</v>
      </c>
      <c r="S1546" s="37">
        <v>1.4999999999999999E-2</v>
      </c>
    </row>
    <row r="1547" spans="1:19" x14ac:dyDescent="0.2">
      <c r="A1547" s="1"/>
      <c r="B1547" s="13">
        <v>43472</v>
      </c>
      <c r="C1547" s="14">
        <v>54.88</v>
      </c>
      <c r="D1547" s="15">
        <v>306158</v>
      </c>
      <c r="E1547" s="14">
        <v>55.21</v>
      </c>
      <c r="F1547" s="14">
        <v>55.88</v>
      </c>
      <c r="G1547" s="16">
        <v>54.77</v>
      </c>
      <c r="H1547" s="69">
        <f t="shared" si="39"/>
        <v>-3.4501543490103037E-3</v>
      </c>
      <c r="O1547" s="1319"/>
      <c r="P1547" s="1319"/>
      <c r="Q1547" s="35">
        <v>44574</v>
      </c>
      <c r="R1547" s="36">
        <v>1.7000000000000001E-2</v>
      </c>
      <c r="S1547" s="37">
        <v>1.47E-2</v>
      </c>
    </row>
    <row r="1548" spans="1:19" x14ac:dyDescent="0.2">
      <c r="A1548" s="1"/>
      <c r="B1548" s="13">
        <v>43469</v>
      </c>
      <c r="C1548" s="14">
        <v>55.07</v>
      </c>
      <c r="D1548" s="15">
        <v>221150</v>
      </c>
      <c r="E1548" s="14">
        <v>54.7</v>
      </c>
      <c r="F1548" s="14">
        <v>55.91</v>
      </c>
      <c r="G1548" s="16">
        <v>54.7</v>
      </c>
      <c r="H1548" s="69">
        <f t="shared" si="39"/>
        <v>1.981481481481473E-2</v>
      </c>
      <c r="O1548" s="1319"/>
      <c r="P1548" s="1319"/>
      <c r="Q1548" s="35">
        <v>44575</v>
      </c>
      <c r="R1548" s="36">
        <v>1.78E-2</v>
      </c>
      <c r="S1548" s="37">
        <v>1.55E-2</v>
      </c>
    </row>
    <row r="1549" spans="1:19" x14ac:dyDescent="0.2">
      <c r="A1549" s="1"/>
      <c r="B1549" s="13">
        <v>43468</v>
      </c>
      <c r="C1549" s="14">
        <v>54</v>
      </c>
      <c r="D1549" s="15">
        <v>242006</v>
      </c>
      <c r="E1549" s="14">
        <v>54.33</v>
      </c>
      <c r="F1549" s="14">
        <v>55.39</v>
      </c>
      <c r="G1549" s="16">
        <v>53.35</v>
      </c>
      <c r="H1549" s="69">
        <f t="shared" si="39"/>
        <v>-9.9009900990099098E-3</v>
      </c>
      <c r="O1549" s="1319"/>
      <c r="P1549" s="1319"/>
      <c r="Q1549" s="35">
        <v>44579</v>
      </c>
      <c r="R1549" s="36">
        <v>1.8700000000000001E-2</v>
      </c>
      <c r="S1549" s="37">
        <v>1.6500000000000001E-2</v>
      </c>
    </row>
    <row r="1550" spans="1:19" x14ac:dyDescent="0.2">
      <c r="A1550" s="1"/>
      <c r="B1550" s="13">
        <v>43467</v>
      </c>
      <c r="C1550" s="14">
        <v>54.54</v>
      </c>
      <c r="D1550" s="15">
        <v>608514</v>
      </c>
      <c r="E1550" s="14">
        <v>54.98</v>
      </c>
      <c r="F1550" s="14">
        <v>55.93</v>
      </c>
      <c r="G1550" s="16">
        <v>53.65</v>
      </c>
      <c r="H1550" s="69">
        <f t="shared" si="39"/>
        <v>-2.2930849158007915E-2</v>
      </c>
      <c r="O1550" s="1319"/>
      <c r="P1550" s="1319"/>
      <c r="Q1550" s="35">
        <v>44580</v>
      </c>
      <c r="R1550" s="36">
        <v>1.83E-2</v>
      </c>
      <c r="S1550" s="37">
        <v>1.6200000000000003E-2</v>
      </c>
    </row>
    <row r="1551" spans="1:19" x14ac:dyDescent="0.2">
      <c r="A1551" s="1"/>
      <c r="B1551" s="13">
        <v>43465</v>
      </c>
      <c r="C1551" s="14">
        <v>55.82</v>
      </c>
      <c r="D1551" s="15">
        <v>225322</v>
      </c>
      <c r="E1551" s="14">
        <v>55.78</v>
      </c>
      <c r="F1551" s="14">
        <v>55.98</v>
      </c>
      <c r="G1551" s="16">
        <v>54.9</v>
      </c>
      <c r="H1551" s="69">
        <f t="shared" si="39"/>
        <v>7.3993863923480507E-3</v>
      </c>
      <c r="O1551" s="1319"/>
      <c r="P1551" s="1319"/>
      <c r="Q1551" s="35">
        <v>44581</v>
      </c>
      <c r="R1551" s="36">
        <v>1.83E-2</v>
      </c>
      <c r="S1551" s="37">
        <v>1.6200000000000003E-2</v>
      </c>
    </row>
    <row r="1552" spans="1:19" x14ac:dyDescent="0.2">
      <c r="A1552" s="1"/>
      <c r="B1552" s="13">
        <v>43462</v>
      </c>
      <c r="C1552" s="14">
        <v>55.41</v>
      </c>
      <c r="D1552" s="15">
        <v>159708</v>
      </c>
      <c r="E1552" s="14">
        <v>55.42</v>
      </c>
      <c r="F1552" s="14">
        <v>56.725000000000001</v>
      </c>
      <c r="G1552" s="16">
        <v>54.69</v>
      </c>
      <c r="H1552" s="69">
        <f t="shared" si="39"/>
        <v>2.1703743895822303E-3</v>
      </c>
      <c r="O1552" s="1319"/>
      <c r="P1552" s="1319"/>
      <c r="Q1552" s="35">
        <v>44582</v>
      </c>
      <c r="R1552" s="36">
        <v>1.7500000000000002E-2</v>
      </c>
      <c r="S1552" s="37">
        <v>1.54E-2</v>
      </c>
    </row>
    <row r="1553" spans="1:19" x14ac:dyDescent="0.2">
      <c r="A1553" s="1"/>
      <c r="B1553" s="13">
        <v>43461</v>
      </c>
      <c r="C1553" s="14">
        <v>55.29</v>
      </c>
      <c r="D1553" s="15">
        <v>183090</v>
      </c>
      <c r="E1553" s="14">
        <v>53.86</v>
      </c>
      <c r="F1553" s="14">
        <v>55.34</v>
      </c>
      <c r="G1553" s="16">
        <v>53.29</v>
      </c>
      <c r="H1553" s="69">
        <f t="shared" si="39"/>
        <v>9.1257528746122585E-3</v>
      </c>
      <c r="O1553" s="1319"/>
      <c r="P1553" s="1319"/>
      <c r="Q1553" s="35">
        <v>44585</v>
      </c>
      <c r="R1553" s="36">
        <v>1.7500000000000002E-2</v>
      </c>
      <c r="S1553" s="37">
        <v>1.5300000000000001E-2</v>
      </c>
    </row>
    <row r="1554" spans="1:19" x14ac:dyDescent="0.2">
      <c r="A1554" s="1"/>
      <c r="B1554" s="13">
        <v>43460</v>
      </c>
      <c r="C1554" s="14">
        <v>54.79</v>
      </c>
      <c r="D1554" s="15">
        <v>239846</v>
      </c>
      <c r="E1554" s="14">
        <v>53.04</v>
      </c>
      <c r="F1554" s="14">
        <v>54.95</v>
      </c>
      <c r="G1554" s="16">
        <v>52.23</v>
      </c>
      <c r="H1554" s="69">
        <f t="shared" si="39"/>
        <v>4.4613918017159193E-2</v>
      </c>
      <c r="O1554" s="1319"/>
      <c r="P1554" s="1319"/>
      <c r="Q1554" s="35">
        <v>44586</v>
      </c>
      <c r="R1554" s="36">
        <v>1.78E-2</v>
      </c>
      <c r="S1554" s="37">
        <v>1.5600000000000001E-2</v>
      </c>
    </row>
    <row r="1555" spans="1:19" x14ac:dyDescent="0.2">
      <c r="A1555" s="1"/>
      <c r="B1555" s="13">
        <v>43458</v>
      </c>
      <c r="C1555" s="14">
        <v>52.45</v>
      </c>
      <c r="D1555" s="15">
        <v>257907</v>
      </c>
      <c r="E1555" s="14">
        <v>52.73</v>
      </c>
      <c r="F1555" s="14">
        <v>54.272500000000001</v>
      </c>
      <c r="G1555" s="16">
        <v>52.1</v>
      </c>
      <c r="H1555" s="69">
        <f t="shared" si="39"/>
        <v>-5.687203791469142E-3</v>
      </c>
      <c r="O1555" s="1319"/>
      <c r="P1555" s="1319"/>
      <c r="Q1555" s="35">
        <v>44587</v>
      </c>
      <c r="R1555" s="36">
        <v>1.8500000000000003E-2</v>
      </c>
      <c r="S1555" s="37">
        <v>1.66E-2</v>
      </c>
    </row>
    <row r="1556" spans="1:19" x14ac:dyDescent="0.2">
      <c r="A1556" s="1"/>
      <c r="B1556" s="13">
        <v>43455</v>
      </c>
      <c r="C1556" s="14">
        <v>52.75</v>
      </c>
      <c r="D1556" s="15">
        <v>755607</v>
      </c>
      <c r="E1556" s="14">
        <v>52.49</v>
      </c>
      <c r="F1556" s="14">
        <v>53.6</v>
      </c>
      <c r="G1556" s="16">
        <v>52.04</v>
      </c>
      <c r="H1556" s="69">
        <f t="shared" si="39"/>
        <v>6.8715403702996891E-3</v>
      </c>
      <c r="O1556" s="1319"/>
      <c r="P1556" s="1319"/>
      <c r="Q1556" s="35">
        <v>44588</v>
      </c>
      <c r="R1556" s="36">
        <v>1.8100000000000002E-2</v>
      </c>
      <c r="S1556" s="37">
        <v>1.66E-2</v>
      </c>
    </row>
    <row r="1557" spans="1:19" x14ac:dyDescent="0.2">
      <c r="A1557" s="1"/>
      <c r="B1557" s="13">
        <v>43454</v>
      </c>
      <c r="C1557" s="14">
        <v>52.39</v>
      </c>
      <c r="D1557" s="15">
        <v>375250</v>
      </c>
      <c r="E1557" s="14">
        <v>54.05</v>
      </c>
      <c r="F1557" s="14">
        <v>55.83</v>
      </c>
      <c r="G1557" s="16">
        <v>52.23</v>
      </c>
      <c r="H1557" s="69">
        <f t="shared" si="39"/>
        <v>-3.5174953959484334E-2</v>
      </c>
      <c r="O1557" s="1319"/>
      <c r="P1557" s="1319"/>
      <c r="Q1557" s="35">
        <v>44589</v>
      </c>
      <c r="R1557" s="36">
        <v>1.78E-2</v>
      </c>
      <c r="S1557" s="37">
        <v>1.61E-2</v>
      </c>
    </row>
    <row r="1558" spans="1:19" x14ac:dyDescent="0.2">
      <c r="A1558" s="1"/>
      <c r="B1558" s="13">
        <v>43453</v>
      </c>
      <c r="C1558" s="14">
        <v>54.3</v>
      </c>
      <c r="D1558" s="15">
        <v>285673</v>
      </c>
      <c r="E1558" s="14">
        <v>55</v>
      </c>
      <c r="F1558" s="14">
        <v>56.15</v>
      </c>
      <c r="G1558" s="16">
        <v>53.67</v>
      </c>
      <c r="H1558" s="69">
        <f t="shared" si="39"/>
        <v>-1.8083182640144635E-2</v>
      </c>
      <c r="O1558" s="1319"/>
      <c r="P1558" s="1319"/>
      <c r="Q1558" s="35">
        <v>44592</v>
      </c>
      <c r="R1558" s="36">
        <v>1.7899999999999999E-2</v>
      </c>
      <c r="S1558" s="37">
        <v>1.6200000000000003E-2</v>
      </c>
    </row>
    <row r="1559" spans="1:19" x14ac:dyDescent="0.2">
      <c r="A1559" s="1"/>
      <c r="B1559" s="13">
        <v>43452</v>
      </c>
      <c r="C1559" s="14">
        <v>55.3</v>
      </c>
      <c r="D1559" s="15">
        <v>373025</v>
      </c>
      <c r="E1559" s="14">
        <v>54.94</v>
      </c>
      <c r="F1559" s="14">
        <v>57.11</v>
      </c>
      <c r="G1559" s="16">
        <v>54.38</v>
      </c>
      <c r="H1559" s="69">
        <f t="shared" si="39"/>
        <v>1.8416206261510082E-2</v>
      </c>
      <c r="O1559" s="1319"/>
      <c r="P1559" s="1319"/>
      <c r="Q1559" s="35">
        <v>44593</v>
      </c>
      <c r="R1559" s="36">
        <v>1.8100000000000002E-2</v>
      </c>
      <c r="S1559" s="37">
        <v>1.6299999999999999E-2</v>
      </c>
    </row>
    <row r="1560" spans="1:19" x14ac:dyDescent="0.2">
      <c r="A1560" s="1"/>
      <c r="B1560" s="13">
        <v>43451</v>
      </c>
      <c r="C1560" s="14">
        <v>54.3</v>
      </c>
      <c r="D1560" s="15">
        <v>303652</v>
      </c>
      <c r="E1560" s="14">
        <v>53.67</v>
      </c>
      <c r="F1560" s="14">
        <v>55.34</v>
      </c>
      <c r="G1560" s="16">
        <v>52.93</v>
      </c>
      <c r="H1560" s="69">
        <f t="shared" si="39"/>
        <v>8.9186176142697082E-3</v>
      </c>
      <c r="O1560" s="1319"/>
      <c r="P1560" s="1319"/>
      <c r="Q1560" s="35">
        <v>44594</v>
      </c>
      <c r="R1560" s="36">
        <v>1.78E-2</v>
      </c>
      <c r="S1560" s="37">
        <v>1.6E-2</v>
      </c>
    </row>
    <row r="1561" spans="1:19" x14ac:dyDescent="0.2">
      <c r="A1561" s="1"/>
      <c r="B1561" s="13">
        <v>43448</v>
      </c>
      <c r="C1561" s="14">
        <v>53.82</v>
      </c>
      <c r="D1561" s="15">
        <v>144561</v>
      </c>
      <c r="E1561" s="14">
        <v>53.95</v>
      </c>
      <c r="F1561" s="14">
        <v>54.72</v>
      </c>
      <c r="G1561" s="16">
        <v>53.35</v>
      </c>
      <c r="H1561" s="69">
        <f t="shared" si="39"/>
        <v>-1.2477064220183465E-2</v>
      </c>
      <c r="O1561" s="1319"/>
      <c r="P1561" s="1319"/>
      <c r="Q1561" s="35">
        <v>44595</v>
      </c>
      <c r="R1561" s="36">
        <v>1.8200000000000001E-2</v>
      </c>
      <c r="S1561" s="37">
        <v>1.66E-2</v>
      </c>
    </row>
    <row r="1562" spans="1:19" x14ac:dyDescent="0.2">
      <c r="A1562" s="1"/>
      <c r="B1562" s="13">
        <v>43447</v>
      </c>
      <c r="C1562" s="14">
        <v>54.5</v>
      </c>
      <c r="D1562" s="15">
        <v>305925</v>
      </c>
      <c r="E1562" s="14">
        <v>56.02</v>
      </c>
      <c r="F1562" s="14">
        <v>56.55</v>
      </c>
      <c r="G1562" s="16">
        <v>53.75</v>
      </c>
      <c r="H1562" s="69">
        <f t="shared" si="39"/>
        <v>-1.464472970529751E-2</v>
      </c>
      <c r="O1562" s="1319"/>
      <c r="P1562" s="1319"/>
      <c r="Q1562" s="35">
        <v>44596</v>
      </c>
      <c r="R1562" s="36">
        <v>1.9299999999999998E-2</v>
      </c>
      <c r="S1562" s="37">
        <v>1.78E-2</v>
      </c>
    </row>
    <row r="1563" spans="1:19" x14ac:dyDescent="0.2">
      <c r="A1563" s="1"/>
      <c r="B1563" s="13">
        <v>43446</v>
      </c>
      <c r="C1563" s="14">
        <v>55.31</v>
      </c>
      <c r="D1563" s="15">
        <v>194814</v>
      </c>
      <c r="E1563" s="14">
        <v>55.9</v>
      </c>
      <c r="F1563" s="14">
        <v>56.3</v>
      </c>
      <c r="G1563" s="16">
        <v>54.92</v>
      </c>
      <c r="H1563" s="69">
        <f t="shared" si="39"/>
        <v>1.2671976828384501E-3</v>
      </c>
      <c r="O1563" s="1319"/>
      <c r="P1563" s="1319"/>
      <c r="Q1563" s="35">
        <v>44599</v>
      </c>
      <c r="R1563" s="36">
        <v>1.9199999999999998E-2</v>
      </c>
      <c r="S1563" s="37">
        <v>1.7600000000000001E-2</v>
      </c>
    </row>
    <row r="1564" spans="1:19" x14ac:dyDescent="0.2">
      <c r="A1564" s="1"/>
      <c r="B1564" s="13">
        <v>43445</v>
      </c>
      <c r="C1564" s="14">
        <v>55.24</v>
      </c>
      <c r="D1564" s="15">
        <v>223057</v>
      </c>
      <c r="E1564" s="14">
        <v>56.19</v>
      </c>
      <c r="F1564" s="14">
        <v>57.17</v>
      </c>
      <c r="G1564" s="16">
        <v>55.1676</v>
      </c>
      <c r="H1564" s="69">
        <f t="shared" si="39"/>
        <v>3.2691609153649992E-3</v>
      </c>
      <c r="O1564" s="1319"/>
      <c r="P1564" s="1319"/>
      <c r="Q1564" s="35">
        <v>44600</v>
      </c>
      <c r="R1564" s="36">
        <v>1.9599999999999999E-2</v>
      </c>
      <c r="S1564" s="37">
        <v>1.8100000000000002E-2</v>
      </c>
    </row>
    <row r="1565" spans="1:19" x14ac:dyDescent="0.2">
      <c r="A1565" s="1"/>
      <c r="B1565" s="13">
        <v>43444</v>
      </c>
      <c r="C1565" s="14">
        <v>55.06</v>
      </c>
      <c r="D1565" s="15">
        <v>212098</v>
      </c>
      <c r="E1565" s="14">
        <v>54.75</v>
      </c>
      <c r="F1565" s="14">
        <v>55.84</v>
      </c>
      <c r="G1565" s="16">
        <v>53.600099999999998</v>
      </c>
      <c r="H1565" s="69">
        <f t="shared" si="39"/>
        <v>5.8458165875046042E-3</v>
      </c>
      <c r="O1565" s="1319"/>
      <c r="P1565" s="1319"/>
      <c r="Q1565" s="35">
        <v>44601</v>
      </c>
      <c r="R1565" s="36">
        <v>1.9400000000000001E-2</v>
      </c>
      <c r="S1565" s="37">
        <v>1.8200000000000001E-2</v>
      </c>
    </row>
    <row r="1566" spans="1:19" x14ac:dyDescent="0.2">
      <c r="A1566" s="1"/>
      <c r="B1566" s="13">
        <v>43441</v>
      </c>
      <c r="C1566" s="14">
        <v>54.74</v>
      </c>
      <c r="D1566" s="15">
        <v>429461</v>
      </c>
      <c r="E1566" s="14">
        <v>55.09</v>
      </c>
      <c r="F1566" s="14">
        <v>55.75</v>
      </c>
      <c r="G1566" s="16">
        <v>54.27</v>
      </c>
      <c r="H1566" s="69">
        <f t="shared" si="39"/>
        <v>-9.4100615273252641E-3</v>
      </c>
      <c r="O1566" s="1319"/>
      <c r="P1566" s="1319"/>
      <c r="Q1566" s="35">
        <v>44602</v>
      </c>
      <c r="R1566" s="36">
        <v>2.0299999999999999E-2</v>
      </c>
      <c r="S1566" s="37">
        <v>1.9599999999999999E-2</v>
      </c>
    </row>
    <row r="1567" spans="1:19" x14ac:dyDescent="0.2">
      <c r="A1567" s="1"/>
      <c r="B1567" s="13">
        <v>43440</v>
      </c>
      <c r="C1567" s="14">
        <v>55.26</v>
      </c>
      <c r="D1567" s="15">
        <v>395475</v>
      </c>
      <c r="E1567" s="14">
        <v>53.37</v>
      </c>
      <c r="F1567" s="14">
        <v>55.26</v>
      </c>
      <c r="G1567" s="16">
        <v>52.54</v>
      </c>
      <c r="H1567" s="69">
        <f t="shared" si="39"/>
        <v>3.2679738562091387E-3</v>
      </c>
      <c r="O1567" s="1319"/>
      <c r="P1567" s="1319"/>
      <c r="Q1567" s="35">
        <v>44603</v>
      </c>
      <c r="R1567" s="36">
        <v>1.9199999999999998E-2</v>
      </c>
      <c r="S1567" s="37">
        <v>1.84E-2</v>
      </c>
    </row>
    <row r="1568" spans="1:19" x14ac:dyDescent="0.2">
      <c r="A1568" s="1"/>
      <c r="B1568" s="13">
        <v>43438</v>
      </c>
      <c r="C1568" s="14">
        <v>55.08</v>
      </c>
      <c r="D1568" s="15">
        <v>235898</v>
      </c>
      <c r="E1568" s="14">
        <v>58.19</v>
      </c>
      <c r="F1568" s="14">
        <v>59.505000000000003</v>
      </c>
      <c r="G1568" s="16">
        <v>53.83</v>
      </c>
      <c r="H1568" s="69">
        <f t="shared" si="39"/>
        <v>-6.0068259385665623E-2</v>
      </c>
      <c r="O1568" s="1319"/>
      <c r="P1568" s="1319"/>
      <c r="Q1568" s="35">
        <v>44606</v>
      </c>
      <c r="R1568" s="36">
        <v>1.9799999999999998E-2</v>
      </c>
      <c r="S1568" s="37">
        <v>1.9E-2</v>
      </c>
    </row>
    <row r="1569" spans="1:19" x14ac:dyDescent="0.2">
      <c r="A1569" s="1"/>
      <c r="B1569" s="13">
        <v>43437</v>
      </c>
      <c r="C1569" s="14">
        <v>58.6</v>
      </c>
      <c r="D1569" s="15">
        <v>178202</v>
      </c>
      <c r="E1569" s="14">
        <v>61.41</v>
      </c>
      <c r="F1569" s="14">
        <v>61.97</v>
      </c>
      <c r="G1569" s="16">
        <v>58.3</v>
      </c>
      <c r="H1569" s="69">
        <f t="shared" si="39"/>
        <v>-2.8353506881114265E-2</v>
      </c>
      <c r="O1569" s="1319"/>
      <c r="P1569" s="1319"/>
      <c r="Q1569" s="35">
        <v>44607</v>
      </c>
      <c r="R1569" s="36">
        <v>2.0499999999999997E-2</v>
      </c>
      <c r="S1569" s="37">
        <v>1.9400000000000001E-2</v>
      </c>
    </row>
    <row r="1570" spans="1:19" x14ac:dyDescent="0.2">
      <c r="A1570" s="1"/>
      <c r="B1570" s="13">
        <v>43434</v>
      </c>
      <c r="C1570" s="14">
        <v>60.31</v>
      </c>
      <c r="D1570" s="15">
        <v>225603</v>
      </c>
      <c r="E1570" s="14">
        <v>58.28</v>
      </c>
      <c r="F1570" s="14">
        <v>60.84</v>
      </c>
      <c r="G1570" s="16">
        <v>58.25</v>
      </c>
      <c r="H1570" s="69">
        <f t="shared" si="39"/>
        <v>3.5542582417582347E-2</v>
      </c>
      <c r="O1570" s="1319"/>
      <c r="P1570" s="1319"/>
      <c r="Q1570" s="35">
        <v>44608</v>
      </c>
      <c r="R1570" s="36">
        <v>2.0299999999999999E-2</v>
      </c>
      <c r="S1570" s="37">
        <v>1.9E-2</v>
      </c>
    </row>
    <row r="1571" spans="1:19" x14ac:dyDescent="0.2">
      <c r="A1571" s="1"/>
      <c r="B1571" s="13">
        <v>43433</v>
      </c>
      <c r="C1571" s="14">
        <v>58.24</v>
      </c>
      <c r="D1571" s="15">
        <v>365785</v>
      </c>
      <c r="E1571" s="14">
        <v>60.94</v>
      </c>
      <c r="F1571" s="14">
        <v>61.25</v>
      </c>
      <c r="G1571" s="16">
        <v>57.46</v>
      </c>
      <c r="H1571" s="69">
        <f t="shared" si="39"/>
        <v>-6.5318568448082148E-2</v>
      </c>
      <c r="O1571" s="1319"/>
      <c r="P1571" s="1319"/>
      <c r="Q1571" s="35">
        <v>44609</v>
      </c>
      <c r="R1571" s="36">
        <v>1.9699999999999999E-2</v>
      </c>
      <c r="S1571" s="37">
        <v>1.8500000000000003E-2</v>
      </c>
    </row>
    <row r="1572" spans="1:19" x14ac:dyDescent="0.2">
      <c r="A1572" s="1"/>
      <c r="B1572" s="13">
        <v>43432</v>
      </c>
      <c r="C1572" s="14">
        <v>62.31</v>
      </c>
      <c r="D1572" s="15">
        <v>203871</v>
      </c>
      <c r="E1572" s="14">
        <v>59.55</v>
      </c>
      <c r="F1572" s="14">
        <v>62.48</v>
      </c>
      <c r="G1572" s="16">
        <v>58.787700000000001</v>
      </c>
      <c r="H1572" s="69">
        <f t="shared" si="39"/>
        <v>4.9696765498652429E-2</v>
      </c>
      <c r="O1572" s="1319"/>
      <c r="P1572" s="1319"/>
      <c r="Q1572" s="35">
        <v>44610</v>
      </c>
      <c r="R1572" s="36">
        <v>1.9199999999999998E-2</v>
      </c>
      <c r="S1572" s="37">
        <v>1.8200000000000001E-2</v>
      </c>
    </row>
    <row r="1573" spans="1:19" x14ac:dyDescent="0.2">
      <c r="A1573" s="1"/>
      <c r="B1573" s="13">
        <v>43431</v>
      </c>
      <c r="C1573" s="14">
        <v>59.36</v>
      </c>
      <c r="D1573" s="15">
        <v>128473</v>
      </c>
      <c r="E1573" s="14">
        <v>61.58</v>
      </c>
      <c r="F1573" s="14">
        <v>62.15</v>
      </c>
      <c r="G1573" s="16">
        <v>59.2</v>
      </c>
      <c r="H1573" s="69">
        <f t="shared" si="39"/>
        <v>-4.1962556488056801E-2</v>
      </c>
      <c r="O1573" s="1319"/>
      <c r="P1573" s="1319"/>
      <c r="Q1573" s="35">
        <v>44614</v>
      </c>
      <c r="R1573" s="36">
        <v>1.9400000000000001E-2</v>
      </c>
      <c r="S1573" s="37">
        <v>1.8500000000000003E-2</v>
      </c>
    </row>
    <row r="1574" spans="1:19" x14ac:dyDescent="0.2">
      <c r="A1574" s="1"/>
      <c r="B1574" s="13">
        <v>43430</v>
      </c>
      <c r="C1574" s="14">
        <v>61.96</v>
      </c>
      <c r="D1574" s="15">
        <v>149574</v>
      </c>
      <c r="E1574" s="14">
        <v>61.53</v>
      </c>
      <c r="F1574" s="14">
        <v>62.13</v>
      </c>
      <c r="G1574" s="16">
        <v>61.16</v>
      </c>
      <c r="H1574" s="69">
        <f t="shared" si="39"/>
        <v>1.7907014949893219E-2</v>
      </c>
      <c r="O1574" s="1319"/>
      <c r="P1574" s="1319"/>
      <c r="Q1574" s="35">
        <v>44615</v>
      </c>
      <c r="R1574" s="36">
        <v>1.9900000000000001E-2</v>
      </c>
      <c r="S1574" s="37">
        <v>1.89E-2</v>
      </c>
    </row>
    <row r="1575" spans="1:19" x14ac:dyDescent="0.2">
      <c r="A1575" s="1"/>
      <c r="B1575" s="13">
        <v>43427</v>
      </c>
      <c r="C1575" s="14">
        <v>60.87</v>
      </c>
      <c r="D1575" s="15">
        <v>71439</v>
      </c>
      <c r="E1575" s="14">
        <v>60.47</v>
      </c>
      <c r="F1575" s="14">
        <v>61.61</v>
      </c>
      <c r="G1575" s="16">
        <v>60.47</v>
      </c>
      <c r="H1575" s="69">
        <f t="shared" si="39"/>
        <v>-4.4160942100098799E-3</v>
      </c>
      <c r="O1575" s="1319"/>
      <c r="P1575" s="1319"/>
      <c r="Q1575" s="35">
        <v>44616</v>
      </c>
      <c r="R1575" s="36">
        <v>1.9599999999999999E-2</v>
      </c>
      <c r="S1575" s="37">
        <v>1.84E-2</v>
      </c>
    </row>
    <row r="1576" spans="1:19" x14ac:dyDescent="0.2">
      <c r="A1576" s="1"/>
      <c r="B1576" s="13">
        <v>43425</v>
      </c>
      <c r="C1576" s="14">
        <v>61.14</v>
      </c>
      <c r="D1576" s="15">
        <v>136676</v>
      </c>
      <c r="E1576" s="14">
        <v>60.09</v>
      </c>
      <c r="F1576" s="14">
        <v>61.63</v>
      </c>
      <c r="G1576" s="16">
        <v>59.92</v>
      </c>
      <c r="H1576" s="69">
        <f t="shared" ref="H1576:H1639" si="40">C1576/C1577-1</f>
        <v>2.5494800402549478E-2</v>
      </c>
      <c r="O1576" s="1319"/>
      <c r="P1576" s="1319"/>
      <c r="Q1576" s="35">
        <v>44617</v>
      </c>
      <c r="R1576" s="36">
        <v>1.9699999999999999E-2</v>
      </c>
      <c r="S1576" s="37">
        <v>1.8600000000000002E-2</v>
      </c>
    </row>
    <row r="1577" spans="1:19" x14ac:dyDescent="0.2">
      <c r="A1577" s="1"/>
      <c r="B1577" s="13">
        <v>43424</v>
      </c>
      <c r="C1577" s="14">
        <v>59.62</v>
      </c>
      <c r="D1577" s="15">
        <v>221855</v>
      </c>
      <c r="E1577" s="14">
        <v>61.84</v>
      </c>
      <c r="F1577" s="14">
        <v>62.1</v>
      </c>
      <c r="G1577" s="16">
        <v>59.15</v>
      </c>
      <c r="H1577" s="69">
        <f t="shared" si="40"/>
        <v>-4.66901183242725E-2</v>
      </c>
      <c r="O1577" s="1319"/>
      <c r="P1577" s="1319"/>
      <c r="Q1577" s="35">
        <v>44620</v>
      </c>
      <c r="R1577" s="36">
        <v>1.83E-2</v>
      </c>
      <c r="S1577" s="37">
        <v>1.7100000000000001E-2</v>
      </c>
    </row>
    <row r="1578" spans="1:19" x14ac:dyDescent="0.2">
      <c r="A1578" s="1"/>
      <c r="B1578" s="13">
        <v>43423</v>
      </c>
      <c r="C1578" s="14">
        <v>62.54</v>
      </c>
      <c r="D1578" s="15">
        <v>199857</v>
      </c>
      <c r="E1578" s="14">
        <v>63.05</v>
      </c>
      <c r="F1578" s="14">
        <v>63.789900000000003</v>
      </c>
      <c r="G1578" s="16">
        <v>62.04</v>
      </c>
      <c r="H1578" s="69">
        <f t="shared" si="40"/>
        <v>-9.188846641318138E-3</v>
      </c>
      <c r="O1578" s="1319"/>
      <c r="P1578" s="1319"/>
      <c r="Q1578" s="35">
        <v>44621</v>
      </c>
      <c r="R1578" s="36">
        <v>1.72E-2</v>
      </c>
      <c r="S1578" s="37">
        <v>1.5600000000000001E-2</v>
      </c>
    </row>
    <row r="1579" spans="1:19" x14ac:dyDescent="0.2">
      <c r="A1579" s="1"/>
      <c r="B1579" s="13">
        <v>43420</v>
      </c>
      <c r="C1579" s="14">
        <v>63.12</v>
      </c>
      <c r="D1579" s="15">
        <v>202320</v>
      </c>
      <c r="E1579" s="14">
        <v>63.7</v>
      </c>
      <c r="F1579" s="14">
        <v>64.819999999999993</v>
      </c>
      <c r="G1579" s="16">
        <v>62.75</v>
      </c>
      <c r="H1579" s="69">
        <f t="shared" si="40"/>
        <v>-1.375000000000004E-2</v>
      </c>
      <c r="O1579" s="1319"/>
      <c r="P1579" s="1319"/>
      <c r="Q1579" s="35">
        <v>44622</v>
      </c>
      <c r="R1579" s="36">
        <v>1.8600000000000002E-2</v>
      </c>
      <c r="S1579" s="37">
        <v>1.7399999999999999E-2</v>
      </c>
    </row>
    <row r="1580" spans="1:19" x14ac:dyDescent="0.2">
      <c r="A1580" s="1"/>
      <c r="B1580" s="13">
        <v>43419</v>
      </c>
      <c r="C1580" s="14">
        <v>64</v>
      </c>
      <c r="D1580" s="15">
        <v>104550</v>
      </c>
      <c r="E1580" s="14">
        <v>62.45</v>
      </c>
      <c r="F1580" s="14">
        <v>64.34</v>
      </c>
      <c r="G1580" s="16">
        <v>62.12</v>
      </c>
      <c r="H1580" s="69">
        <f t="shared" si="40"/>
        <v>1.9108280254777066E-2</v>
      </c>
      <c r="O1580" s="1319"/>
      <c r="P1580" s="1319"/>
      <c r="Q1580" s="35">
        <v>44623</v>
      </c>
      <c r="R1580" s="36">
        <v>1.8600000000000002E-2</v>
      </c>
      <c r="S1580" s="37">
        <v>1.7399999999999999E-2</v>
      </c>
    </row>
    <row r="1581" spans="1:19" x14ac:dyDescent="0.2">
      <c r="A1581" s="1"/>
      <c r="B1581" s="13">
        <v>43418</v>
      </c>
      <c r="C1581" s="14">
        <v>62.8</v>
      </c>
      <c r="D1581" s="15">
        <v>201941</v>
      </c>
      <c r="E1581" s="14">
        <v>63.66</v>
      </c>
      <c r="F1581" s="14">
        <v>64.84</v>
      </c>
      <c r="G1581" s="16">
        <v>62.32</v>
      </c>
      <c r="H1581" s="69">
        <f t="shared" si="40"/>
        <v>-4.912058310885814E-3</v>
      </c>
      <c r="O1581" s="1319"/>
      <c r="P1581" s="1319"/>
      <c r="Q1581" s="35">
        <v>44624</v>
      </c>
      <c r="R1581" s="36">
        <v>1.7399999999999999E-2</v>
      </c>
      <c r="S1581" s="37">
        <v>1.6500000000000001E-2</v>
      </c>
    </row>
    <row r="1582" spans="1:19" x14ac:dyDescent="0.2">
      <c r="A1582" s="1"/>
      <c r="B1582" s="13">
        <v>43417</v>
      </c>
      <c r="C1582" s="14">
        <v>63.11</v>
      </c>
      <c r="D1582" s="15">
        <v>155044</v>
      </c>
      <c r="E1582" s="14">
        <v>63.16</v>
      </c>
      <c r="F1582" s="14">
        <v>64.67</v>
      </c>
      <c r="G1582" s="16">
        <v>62.65</v>
      </c>
      <c r="H1582" s="69">
        <f t="shared" si="40"/>
        <v>4.136833731105849E-3</v>
      </c>
      <c r="O1582" s="1319"/>
      <c r="P1582" s="1319"/>
      <c r="Q1582" s="35">
        <v>44627</v>
      </c>
      <c r="R1582" s="36">
        <v>1.78E-2</v>
      </c>
      <c r="S1582" s="37">
        <v>1.7100000000000001E-2</v>
      </c>
    </row>
    <row r="1583" spans="1:19" x14ac:dyDescent="0.2">
      <c r="A1583" s="1"/>
      <c r="B1583" s="13">
        <v>43416</v>
      </c>
      <c r="C1583" s="14">
        <v>62.85</v>
      </c>
      <c r="D1583" s="15">
        <v>164084</v>
      </c>
      <c r="E1583" s="14">
        <v>63.72</v>
      </c>
      <c r="F1583" s="14">
        <v>64.489999999999995</v>
      </c>
      <c r="G1583" s="16">
        <v>62.72</v>
      </c>
      <c r="H1583" s="69">
        <f t="shared" si="40"/>
        <v>-1.3498665829540069E-2</v>
      </c>
      <c r="O1583" s="1319"/>
      <c r="P1583" s="1319"/>
      <c r="Q1583" s="35">
        <v>44628</v>
      </c>
      <c r="R1583" s="36">
        <v>1.8600000000000002E-2</v>
      </c>
      <c r="S1583" s="37">
        <v>1.8000000000000002E-2</v>
      </c>
    </row>
    <row r="1584" spans="1:19" x14ac:dyDescent="0.2">
      <c r="A1584" s="1"/>
      <c r="B1584" s="13">
        <v>43413</v>
      </c>
      <c r="C1584" s="14">
        <v>63.71</v>
      </c>
      <c r="D1584" s="15">
        <v>144756</v>
      </c>
      <c r="E1584" s="14">
        <v>65.260000000000005</v>
      </c>
      <c r="F1584" s="14">
        <v>65.260000000000005</v>
      </c>
      <c r="G1584" s="16">
        <v>63.47</v>
      </c>
      <c r="H1584" s="69">
        <f t="shared" si="40"/>
        <v>-3.0141574059978637E-2</v>
      </c>
      <c r="O1584" s="1319"/>
      <c r="P1584" s="1319"/>
      <c r="Q1584" s="35">
        <v>44629</v>
      </c>
      <c r="R1584" s="36">
        <v>1.9400000000000001E-2</v>
      </c>
      <c r="S1584" s="37">
        <v>1.8700000000000001E-2</v>
      </c>
    </row>
    <row r="1585" spans="1:19" x14ac:dyDescent="0.2">
      <c r="A1585" s="1"/>
      <c r="B1585" s="13">
        <v>43412</v>
      </c>
      <c r="C1585" s="14">
        <v>65.69</v>
      </c>
      <c r="D1585" s="15">
        <v>117142</v>
      </c>
      <c r="E1585" s="14">
        <v>65.75</v>
      </c>
      <c r="F1585" s="14">
        <v>65.849999999999994</v>
      </c>
      <c r="G1585" s="16">
        <v>64.8</v>
      </c>
      <c r="H1585" s="69">
        <f t="shared" si="40"/>
        <v>-2.5812329183115823E-3</v>
      </c>
      <c r="O1585" s="1319"/>
      <c r="P1585" s="1319"/>
      <c r="Q1585" s="35">
        <v>44630</v>
      </c>
      <c r="R1585" s="36">
        <v>1.9799999999999998E-2</v>
      </c>
      <c r="S1585" s="37">
        <v>1.9199999999999998E-2</v>
      </c>
    </row>
    <row r="1586" spans="1:19" x14ac:dyDescent="0.2">
      <c r="A1586" s="1"/>
      <c r="B1586" s="13">
        <v>43411</v>
      </c>
      <c r="C1586" s="14">
        <v>65.86</v>
      </c>
      <c r="D1586" s="15">
        <v>153343</v>
      </c>
      <c r="E1586" s="14">
        <v>65</v>
      </c>
      <c r="F1586" s="14">
        <v>66.430000000000007</v>
      </c>
      <c r="G1586" s="16">
        <v>64.819999999999993</v>
      </c>
      <c r="H1586" s="69">
        <f t="shared" si="40"/>
        <v>1.808625753594062E-2</v>
      </c>
      <c r="O1586" s="1319"/>
      <c r="P1586" s="1319"/>
      <c r="Q1586" s="35">
        <v>44631</v>
      </c>
      <c r="R1586" s="36">
        <v>0.02</v>
      </c>
      <c r="S1586" s="37">
        <v>1.9599999999999999E-2</v>
      </c>
    </row>
    <row r="1587" spans="1:19" x14ac:dyDescent="0.2">
      <c r="A1587" s="1"/>
      <c r="B1587" s="13">
        <v>43410</v>
      </c>
      <c r="C1587" s="14">
        <v>64.69</v>
      </c>
      <c r="D1587" s="15">
        <v>194823</v>
      </c>
      <c r="E1587" s="14">
        <v>63.6</v>
      </c>
      <c r="F1587" s="14">
        <v>65.17</v>
      </c>
      <c r="G1587" s="16">
        <v>63.6</v>
      </c>
      <c r="H1587" s="69">
        <f t="shared" si="40"/>
        <v>1.4745098039215643E-2</v>
      </c>
      <c r="O1587" s="1319"/>
      <c r="P1587" s="1319"/>
      <c r="Q1587" s="35">
        <v>44634</v>
      </c>
      <c r="R1587" s="36">
        <v>2.1400000000000002E-2</v>
      </c>
      <c r="S1587" s="37">
        <v>2.1000000000000001E-2</v>
      </c>
    </row>
    <row r="1588" spans="1:19" x14ac:dyDescent="0.2">
      <c r="A1588" s="1"/>
      <c r="B1588" s="13">
        <v>43409</v>
      </c>
      <c r="C1588" s="14">
        <v>63.75</v>
      </c>
      <c r="D1588" s="15">
        <v>189175</v>
      </c>
      <c r="E1588" s="14">
        <v>64.069999999999993</v>
      </c>
      <c r="F1588" s="14">
        <v>64.709999999999994</v>
      </c>
      <c r="G1588" s="16">
        <v>61.98</v>
      </c>
      <c r="H1588" s="69">
        <f t="shared" si="40"/>
        <v>-4.7036688617119182E-4</v>
      </c>
      <c r="O1588" s="1319"/>
      <c r="P1588" s="1319"/>
      <c r="Q1588" s="35">
        <v>44635</v>
      </c>
      <c r="R1588" s="36">
        <v>2.1499999999999998E-2</v>
      </c>
      <c r="S1588" s="37">
        <v>2.1000000000000001E-2</v>
      </c>
    </row>
    <row r="1589" spans="1:19" x14ac:dyDescent="0.2">
      <c r="A1589" s="1"/>
      <c r="B1589" s="13">
        <v>43406</v>
      </c>
      <c r="C1589" s="14">
        <v>63.78</v>
      </c>
      <c r="D1589" s="15">
        <v>192325</v>
      </c>
      <c r="E1589" s="14">
        <v>64.7</v>
      </c>
      <c r="F1589" s="14">
        <v>65.94</v>
      </c>
      <c r="G1589" s="16">
        <v>63.49</v>
      </c>
      <c r="H1589" s="69">
        <f t="shared" si="40"/>
        <v>-6.5420560747664336E-3</v>
      </c>
      <c r="O1589" s="1319"/>
      <c r="P1589" s="1319"/>
      <c r="Q1589" s="35">
        <v>44636</v>
      </c>
      <c r="R1589" s="36">
        <v>2.1899999999999999E-2</v>
      </c>
      <c r="S1589" s="37">
        <v>2.18E-2</v>
      </c>
    </row>
    <row r="1590" spans="1:19" x14ac:dyDescent="0.2">
      <c r="A1590" s="1"/>
      <c r="B1590" s="13">
        <v>43405</v>
      </c>
      <c r="C1590" s="14">
        <v>64.2</v>
      </c>
      <c r="D1590" s="15">
        <v>368130</v>
      </c>
      <c r="E1590" s="14">
        <v>63.39</v>
      </c>
      <c r="F1590" s="14">
        <v>65.290000000000006</v>
      </c>
      <c r="G1590" s="16">
        <v>61.99</v>
      </c>
      <c r="H1590" s="69">
        <f t="shared" si="40"/>
        <v>2.1317212853961154E-2</v>
      </c>
      <c r="O1590" s="1319"/>
      <c r="P1590" s="1319"/>
      <c r="Q1590" s="35">
        <v>44637</v>
      </c>
      <c r="R1590" s="36">
        <v>2.2000000000000002E-2</v>
      </c>
      <c r="S1590" s="37">
        <v>2.1700000000000001E-2</v>
      </c>
    </row>
    <row r="1591" spans="1:19" x14ac:dyDescent="0.2">
      <c r="A1591" s="1"/>
      <c r="B1591" s="13">
        <v>43404</v>
      </c>
      <c r="C1591" s="14">
        <v>62.86</v>
      </c>
      <c r="D1591" s="15">
        <v>562203</v>
      </c>
      <c r="E1591" s="14">
        <v>60.4</v>
      </c>
      <c r="F1591" s="14">
        <v>66.180000000000007</v>
      </c>
      <c r="G1591" s="16">
        <v>59.984999999999999</v>
      </c>
      <c r="H1591" s="69">
        <f t="shared" si="40"/>
        <v>8.0440013750429751E-2</v>
      </c>
      <c r="O1591" s="1319"/>
      <c r="P1591" s="1319"/>
      <c r="Q1591" s="35">
        <v>44638</v>
      </c>
      <c r="R1591" s="36">
        <v>2.1400000000000002E-2</v>
      </c>
      <c r="S1591" s="37">
        <v>2.1400000000000002E-2</v>
      </c>
    </row>
    <row r="1592" spans="1:19" x14ac:dyDescent="0.2">
      <c r="A1592" s="1"/>
      <c r="B1592" s="13">
        <v>43403</v>
      </c>
      <c r="C1592" s="14">
        <v>58.18</v>
      </c>
      <c r="D1592" s="15">
        <v>278536</v>
      </c>
      <c r="E1592" s="14">
        <v>57.05</v>
      </c>
      <c r="F1592" s="14">
        <v>58.67</v>
      </c>
      <c r="G1592" s="16">
        <v>57.05</v>
      </c>
      <c r="H1592" s="69">
        <f t="shared" si="40"/>
        <v>1.962846126883977E-2</v>
      </c>
      <c r="O1592" s="1319"/>
      <c r="P1592" s="1319"/>
      <c r="Q1592" s="35">
        <v>44641</v>
      </c>
      <c r="R1592" s="36">
        <v>2.3199999999999998E-2</v>
      </c>
      <c r="S1592" s="37">
        <v>2.3300000000000001E-2</v>
      </c>
    </row>
    <row r="1593" spans="1:19" x14ac:dyDescent="0.2">
      <c r="A1593" s="1"/>
      <c r="B1593" s="13">
        <v>43402</v>
      </c>
      <c r="C1593" s="14">
        <v>57.06</v>
      </c>
      <c r="D1593" s="15">
        <v>201545</v>
      </c>
      <c r="E1593" s="14">
        <v>58.77</v>
      </c>
      <c r="F1593" s="14">
        <v>59.255000000000003</v>
      </c>
      <c r="G1593" s="16">
        <v>56.16</v>
      </c>
      <c r="H1593" s="69">
        <f t="shared" si="40"/>
        <v>-1.2802768166089828E-2</v>
      </c>
      <c r="O1593" s="1319"/>
      <c r="P1593" s="1319"/>
      <c r="Q1593" s="35">
        <v>44642</v>
      </c>
      <c r="R1593" s="36">
        <v>2.3799999999999998E-2</v>
      </c>
      <c r="S1593" s="37">
        <v>2.3900000000000001E-2</v>
      </c>
    </row>
    <row r="1594" spans="1:19" x14ac:dyDescent="0.2">
      <c r="A1594" s="1"/>
      <c r="B1594" s="13">
        <v>43399</v>
      </c>
      <c r="C1594" s="14">
        <v>57.8</v>
      </c>
      <c r="D1594" s="15">
        <v>277280</v>
      </c>
      <c r="E1594" s="14">
        <v>58.32</v>
      </c>
      <c r="F1594" s="14">
        <v>59.19</v>
      </c>
      <c r="G1594" s="16">
        <v>56.76</v>
      </c>
      <c r="H1594" s="69">
        <f t="shared" si="40"/>
        <v>-2.3648648648648796E-2</v>
      </c>
      <c r="O1594" s="1319"/>
      <c r="P1594" s="1319"/>
      <c r="Q1594" s="35">
        <v>44643</v>
      </c>
      <c r="R1594" s="36">
        <v>2.3199999999999998E-2</v>
      </c>
      <c r="S1594" s="37">
        <v>2.3399999999999997E-2</v>
      </c>
    </row>
    <row r="1595" spans="1:19" x14ac:dyDescent="0.2">
      <c r="A1595" s="1"/>
      <c r="B1595" s="13">
        <v>43398</v>
      </c>
      <c r="C1595" s="14">
        <v>59.2</v>
      </c>
      <c r="D1595" s="15">
        <v>335932</v>
      </c>
      <c r="E1595" s="14">
        <v>57.29</v>
      </c>
      <c r="F1595" s="14">
        <v>59.7</v>
      </c>
      <c r="G1595" s="16">
        <v>57.14</v>
      </c>
      <c r="H1595" s="69">
        <f t="shared" si="40"/>
        <v>4.0421792618629215E-2</v>
      </c>
      <c r="O1595" s="1319"/>
      <c r="P1595" s="1319"/>
      <c r="Q1595" s="35">
        <v>44644</v>
      </c>
      <c r="R1595" s="36">
        <v>2.3399999999999997E-2</v>
      </c>
      <c r="S1595" s="37">
        <v>2.3700000000000002E-2</v>
      </c>
    </row>
    <row r="1596" spans="1:19" x14ac:dyDescent="0.2">
      <c r="A1596" s="1"/>
      <c r="B1596" s="13">
        <v>43397</v>
      </c>
      <c r="C1596" s="14">
        <v>56.9</v>
      </c>
      <c r="D1596" s="15">
        <v>455361</v>
      </c>
      <c r="E1596" s="14">
        <v>59.28</v>
      </c>
      <c r="F1596" s="14">
        <v>60.27</v>
      </c>
      <c r="G1596" s="16">
        <v>56.86</v>
      </c>
      <c r="H1596" s="69">
        <f t="shared" si="40"/>
        <v>-4.0310339011637719E-2</v>
      </c>
      <c r="O1596" s="1319"/>
      <c r="P1596" s="1319"/>
      <c r="Q1596" s="35">
        <v>44645</v>
      </c>
      <c r="R1596" s="36">
        <v>2.4799999999999999E-2</v>
      </c>
      <c r="S1596" s="37">
        <v>2.5499999999999998E-2</v>
      </c>
    </row>
    <row r="1597" spans="1:19" x14ac:dyDescent="0.2">
      <c r="A1597" s="1"/>
      <c r="B1597" s="13">
        <v>43396</v>
      </c>
      <c r="C1597" s="14">
        <v>59.29</v>
      </c>
      <c r="D1597" s="15">
        <v>125662</v>
      </c>
      <c r="E1597" s="14">
        <v>59.19</v>
      </c>
      <c r="F1597" s="14">
        <v>60.11</v>
      </c>
      <c r="G1597" s="16">
        <v>57.98</v>
      </c>
      <c r="H1597" s="69">
        <f t="shared" si="40"/>
        <v>-1.7726971504307465E-2</v>
      </c>
      <c r="O1597" s="1319"/>
      <c r="P1597" s="1319"/>
      <c r="Q1597" s="35">
        <v>44648</v>
      </c>
      <c r="R1597" s="36">
        <v>2.46E-2</v>
      </c>
      <c r="S1597" s="37">
        <v>2.5399999999999999E-2</v>
      </c>
    </row>
    <row r="1598" spans="1:19" x14ac:dyDescent="0.2">
      <c r="A1598" s="1"/>
      <c r="B1598" s="13">
        <v>43395</v>
      </c>
      <c r="C1598" s="14">
        <v>60.36</v>
      </c>
      <c r="D1598" s="15">
        <v>139772</v>
      </c>
      <c r="E1598" s="14">
        <v>60.44</v>
      </c>
      <c r="F1598" s="14">
        <v>61.09</v>
      </c>
      <c r="G1598" s="16">
        <v>59.36</v>
      </c>
      <c r="H1598" s="69">
        <f t="shared" si="40"/>
        <v>-1.4888337468983437E-3</v>
      </c>
      <c r="O1598" s="1319"/>
      <c r="P1598" s="1319"/>
      <c r="Q1598" s="35">
        <v>44649</v>
      </c>
      <c r="R1598" s="36">
        <v>2.41E-2</v>
      </c>
      <c r="S1598" s="37">
        <v>2.4900000000000002E-2</v>
      </c>
    </row>
    <row r="1599" spans="1:19" x14ac:dyDescent="0.2">
      <c r="A1599" s="1"/>
      <c r="B1599" s="13">
        <v>43392</v>
      </c>
      <c r="C1599" s="14">
        <v>60.45</v>
      </c>
      <c r="D1599" s="15">
        <v>178287</v>
      </c>
      <c r="E1599" s="14">
        <v>61.98</v>
      </c>
      <c r="F1599" s="14">
        <v>62.45</v>
      </c>
      <c r="G1599" s="16">
        <v>60.34</v>
      </c>
      <c r="H1599" s="69">
        <f t="shared" si="40"/>
        <v>-2.4370561652679146E-2</v>
      </c>
      <c r="O1599" s="1319"/>
      <c r="P1599" s="1319"/>
      <c r="Q1599" s="35">
        <v>44650</v>
      </c>
      <c r="R1599" s="36">
        <v>2.35E-2</v>
      </c>
      <c r="S1599" s="37">
        <v>2.4399999999999998E-2</v>
      </c>
    </row>
    <row r="1600" spans="1:19" x14ac:dyDescent="0.2">
      <c r="A1600" s="1"/>
      <c r="B1600" s="13">
        <v>43391</v>
      </c>
      <c r="C1600" s="14">
        <v>61.96</v>
      </c>
      <c r="D1600" s="15">
        <v>179237</v>
      </c>
      <c r="E1600" s="14">
        <v>63.42</v>
      </c>
      <c r="F1600" s="14">
        <v>63.42</v>
      </c>
      <c r="G1600" s="16">
        <v>61.51</v>
      </c>
      <c r="H1600" s="69">
        <f t="shared" si="40"/>
        <v>-2.9144468818552149E-2</v>
      </c>
      <c r="O1600" s="1319"/>
      <c r="P1600" s="1319"/>
      <c r="Q1600" s="35">
        <v>44651</v>
      </c>
      <c r="R1600" s="36">
        <v>2.3199999999999998E-2</v>
      </c>
      <c r="S1600" s="37">
        <v>2.4199999999999999E-2</v>
      </c>
    </row>
    <row r="1601" spans="1:19" x14ac:dyDescent="0.2">
      <c r="A1601" s="1"/>
      <c r="B1601" s="13">
        <v>43390</v>
      </c>
      <c r="C1601" s="14">
        <v>63.82</v>
      </c>
      <c r="D1601" s="15">
        <v>149898</v>
      </c>
      <c r="E1601" s="14">
        <v>64.75</v>
      </c>
      <c r="F1601" s="14">
        <v>64.751499999999993</v>
      </c>
      <c r="G1601" s="16">
        <v>62.45</v>
      </c>
      <c r="H1601" s="69">
        <f t="shared" si="40"/>
        <v>-1.344875560364811E-2</v>
      </c>
      <c r="O1601" s="1319"/>
      <c r="P1601" s="1319"/>
      <c r="Q1601" s="35">
        <v>44652</v>
      </c>
      <c r="R1601" s="36">
        <v>2.3900000000000001E-2</v>
      </c>
      <c r="S1601" s="37">
        <v>2.5499999999999998E-2</v>
      </c>
    </row>
    <row r="1602" spans="1:19" x14ac:dyDescent="0.2">
      <c r="A1602" s="1"/>
      <c r="B1602" s="13">
        <v>43389</v>
      </c>
      <c r="C1602" s="14">
        <v>64.69</v>
      </c>
      <c r="D1602" s="15">
        <v>298367</v>
      </c>
      <c r="E1602" s="14">
        <v>63.85</v>
      </c>
      <c r="F1602" s="14">
        <v>65.12</v>
      </c>
      <c r="G1602" s="16">
        <v>63.42</v>
      </c>
      <c r="H1602" s="69">
        <f t="shared" si="40"/>
        <v>2.8457869634340272E-2</v>
      </c>
      <c r="O1602" s="1319"/>
      <c r="P1602" s="1319"/>
      <c r="Q1602" s="35">
        <v>44655</v>
      </c>
      <c r="R1602" s="36">
        <v>2.4199999999999999E-2</v>
      </c>
      <c r="S1602" s="37">
        <v>2.5600000000000001E-2</v>
      </c>
    </row>
    <row r="1603" spans="1:19" x14ac:dyDescent="0.2">
      <c r="A1603" s="1"/>
      <c r="B1603" s="13">
        <v>43388</v>
      </c>
      <c r="C1603" s="14">
        <v>62.9</v>
      </c>
      <c r="D1603" s="15">
        <v>244542</v>
      </c>
      <c r="E1603" s="14">
        <v>63.94</v>
      </c>
      <c r="F1603" s="14">
        <v>64.635000000000005</v>
      </c>
      <c r="G1603" s="16">
        <v>62.02</v>
      </c>
      <c r="H1603" s="69">
        <f t="shared" si="40"/>
        <v>-1.6419077404222104E-2</v>
      </c>
      <c r="O1603" s="1319"/>
      <c r="P1603" s="1319"/>
      <c r="Q1603" s="35">
        <v>44656</v>
      </c>
      <c r="R1603" s="36">
        <v>2.5399999999999999E-2</v>
      </c>
      <c r="S1603" s="37">
        <v>2.69E-2</v>
      </c>
    </row>
    <row r="1604" spans="1:19" x14ac:dyDescent="0.2">
      <c r="A1604" s="1"/>
      <c r="B1604" s="13">
        <v>43385</v>
      </c>
      <c r="C1604" s="14">
        <v>63.95</v>
      </c>
      <c r="D1604" s="15">
        <v>210471</v>
      </c>
      <c r="E1604" s="14">
        <v>65.489999999999995</v>
      </c>
      <c r="F1604" s="14">
        <v>65.489999999999995</v>
      </c>
      <c r="G1604" s="16">
        <v>63.6</v>
      </c>
      <c r="H1604" s="69">
        <f t="shared" si="40"/>
        <v>-1.8729514593411878E-3</v>
      </c>
      <c r="O1604" s="1319"/>
      <c r="P1604" s="1319"/>
      <c r="Q1604" s="35">
        <v>44657</v>
      </c>
      <c r="R1604" s="36">
        <v>2.6099999999999998E-2</v>
      </c>
      <c r="S1604" s="37">
        <v>2.7000000000000003E-2</v>
      </c>
    </row>
    <row r="1605" spans="1:19" x14ac:dyDescent="0.2">
      <c r="A1605" s="1"/>
      <c r="B1605" s="13">
        <v>43384</v>
      </c>
      <c r="C1605" s="14">
        <v>64.069999999999993</v>
      </c>
      <c r="D1605" s="15">
        <v>368279</v>
      </c>
      <c r="E1605" s="14">
        <v>64.59</v>
      </c>
      <c r="F1605" s="14">
        <v>66.72</v>
      </c>
      <c r="G1605" s="16">
        <v>63.78</v>
      </c>
      <c r="H1605" s="69">
        <f t="shared" si="40"/>
        <v>-1.5519360786724112E-2</v>
      </c>
      <c r="O1605" s="1319"/>
      <c r="P1605" s="1319"/>
      <c r="Q1605" s="35">
        <v>44658</v>
      </c>
      <c r="R1605" s="36">
        <v>2.6600000000000002E-2</v>
      </c>
      <c r="S1605" s="37">
        <v>2.7000000000000003E-2</v>
      </c>
    </row>
    <row r="1606" spans="1:19" x14ac:dyDescent="0.2">
      <c r="A1606" s="1"/>
      <c r="B1606" s="13">
        <v>43383</v>
      </c>
      <c r="C1606" s="14">
        <v>65.08</v>
      </c>
      <c r="D1606" s="15">
        <v>277810</v>
      </c>
      <c r="E1606" s="14">
        <v>66.010000000000005</v>
      </c>
      <c r="F1606" s="14">
        <v>67</v>
      </c>
      <c r="G1606" s="16">
        <v>63.94</v>
      </c>
      <c r="H1606" s="69">
        <f t="shared" si="40"/>
        <v>-1.8993066023515248E-2</v>
      </c>
      <c r="O1606" s="1319"/>
      <c r="P1606" s="1319"/>
      <c r="Q1606" s="35">
        <v>44659</v>
      </c>
      <c r="R1606" s="36">
        <v>2.7200000000000002E-2</v>
      </c>
      <c r="S1606" s="37">
        <v>2.76E-2</v>
      </c>
    </row>
    <row r="1607" spans="1:19" x14ac:dyDescent="0.2">
      <c r="A1607" s="1"/>
      <c r="B1607" s="13">
        <v>43382</v>
      </c>
      <c r="C1607" s="14">
        <v>66.34</v>
      </c>
      <c r="D1607" s="15">
        <v>212927</v>
      </c>
      <c r="E1607" s="14">
        <v>67.42</v>
      </c>
      <c r="F1607" s="14">
        <v>68.402299999999997</v>
      </c>
      <c r="G1607" s="16">
        <v>66.11</v>
      </c>
      <c r="H1607" s="69">
        <f t="shared" si="40"/>
        <v>-1.6018985464253954E-2</v>
      </c>
      <c r="O1607" s="1319"/>
      <c r="P1607" s="1319"/>
      <c r="Q1607" s="35">
        <v>44662</v>
      </c>
      <c r="R1607" s="36">
        <v>2.7900000000000001E-2</v>
      </c>
      <c r="S1607" s="37">
        <v>2.7900000000000001E-2</v>
      </c>
    </row>
    <row r="1608" spans="1:19" x14ac:dyDescent="0.2">
      <c r="A1608" s="1"/>
      <c r="B1608" s="13">
        <v>43381</v>
      </c>
      <c r="C1608" s="14">
        <v>67.42</v>
      </c>
      <c r="D1608" s="15">
        <v>174343</v>
      </c>
      <c r="E1608" s="14">
        <v>68.349999999999994</v>
      </c>
      <c r="F1608" s="14">
        <v>68.650000000000006</v>
      </c>
      <c r="G1608" s="16">
        <v>66.72</v>
      </c>
      <c r="H1608" s="69">
        <f t="shared" si="40"/>
        <v>-1.3606437454279363E-2</v>
      </c>
      <c r="O1608" s="1319"/>
      <c r="P1608" s="1319"/>
      <c r="Q1608" s="35">
        <v>44663</v>
      </c>
      <c r="R1608" s="36">
        <v>2.7200000000000002E-2</v>
      </c>
      <c r="S1608" s="37">
        <v>2.6600000000000002E-2</v>
      </c>
    </row>
    <row r="1609" spans="1:19" x14ac:dyDescent="0.2">
      <c r="A1609" s="1"/>
      <c r="B1609" s="13">
        <v>43378</v>
      </c>
      <c r="C1609" s="14">
        <v>68.349999999999994</v>
      </c>
      <c r="D1609" s="15">
        <v>408341</v>
      </c>
      <c r="E1609" s="14">
        <v>71.56</v>
      </c>
      <c r="F1609" s="14">
        <v>71.56</v>
      </c>
      <c r="G1609" s="16">
        <v>67.290000000000006</v>
      </c>
      <c r="H1609" s="69">
        <f t="shared" si="40"/>
        <v>-4.1911970843846458E-2</v>
      </c>
      <c r="O1609" s="1319"/>
      <c r="P1609" s="1319"/>
      <c r="Q1609" s="35">
        <v>44664</v>
      </c>
      <c r="R1609" s="36">
        <v>2.7000000000000003E-2</v>
      </c>
      <c r="S1609" s="37">
        <v>2.6600000000000002E-2</v>
      </c>
    </row>
    <row r="1610" spans="1:19" x14ac:dyDescent="0.2">
      <c r="A1610" s="1"/>
      <c r="B1610" s="13">
        <v>43377</v>
      </c>
      <c r="C1610" s="14">
        <v>71.34</v>
      </c>
      <c r="D1610" s="15">
        <v>142620</v>
      </c>
      <c r="E1610" s="14">
        <v>73.459999999999994</v>
      </c>
      <c r="F1610" s="14">
        <v>74</v>
      </c>
      <c r="G1610" s="16">
        <v>71.02</v>
      </c>
      <c r="H1610" s="69">
        <f t="shared" si="40"/>
        <v>-3.202170963364992E-2</v>
      </c>
      <c r="O1610" s="1319"/>
      <c r="P1610" s="1319"/>
      <c r="Q1610" s="35">
        <v>44665</v>
      </c>
      <c r="R1610" s="36">
        <v>2.8300000000000002E-2</v>
      </c>
      <c r="S1610" s="37">
        <v>2.7900000000000001E-2</v>
      </c>
    </row>
    <row r="1611" spans="1:19" x14ac:dyDescent="0.2">
      <c r="A1611" s="1"/>
      <c r="B1611" s="13">
        <v>43376</v>
      </c>
      <c r="C1611" s="14">
        <v>73.7</v>
      </c>
      <c r="D1611" s="15">
        <v>125212</v>
      </c>
      <c r="E1611" s="14">
        <v>72.97</v>
      </c>
      <c r="F1611" s="14">
        <v>74.22</v>
      </c>
      <c r="G1611" s="16">
        <v>72.58</v>
      </c>
      <c r="H1611" s="69">
        <f t="shared" si="40"/>
        <v>1.2779991754844122E-2</v>
      </c>
      <c r="O1611" s="1319"/>
      <c r="P1611" s="1319"/>
      <c r="Q1611" s="35">
        <v>44669</v>
      </c>
      <c r="R1611" s="36">
        <v>2.8500000000000001E-2</v>
      </c>
      <c r="S1611" s="37">
        <v>2.7900000000000001E-2</v>
      </c>
    </row>
    <row r="1612" spans="1:19" x14ac:dyDescent="0.2">
      <c r="A1612" s="1"/>
      <c r="B1612" s="13">
        <v>43375</v>
      </c>
      <c r="C1612" s="14">
        <v>72.77</v>
      </c>
      <c r="D1612" s="15">
        <v>134451</v>
      </c>
      <c r="E1612" s="14">
        <v>75.760000000000005</v>
      </c>
      <c r="F1612" s="14">
        <v>76.510000000000005</v>
      </c>
      <c r="G1612" s="16">
        <v>72.72</v>
      </c>
      <c r="H1612" s="69">
        <f t="shared" si="40"/>
        <v>-4.2500000000000093E-2</v>
      </c>
      <c r="O1612" s="1319"/>
      <c r="P1612" s="1319"/>
      <c r="Q1612" s="35">
        <v>44670</v>
      </c>
      <c r="R1612" s="36">
        <v>2.9300000000000003E-2</v>
      </c>
      <c r="S1612" s="37">
        <v>2.9100000000000001E-2</v>
      </c>
    </row>
    <row r="1613" spans="1:19" x14ac:dyDescent="0.2">
      <c r="A1613" s="1"/>
      <c r="B1613" s="13">
        <v>43374</v>
      </c>
      <c r="C1613" s="14">
        <v>76</v>
      </c>
      <c r="D1613" s="15">
        <v>145169</v>
      </c>
      <c r="E1613" s="14">
        <v>76.739999999999995</v>
      </c>
      <c r="F1613" s="14">
        <v>76.974999999999994</v>
      </c>
      <c r="G1613" s="16">
        <v>75.510000000000005</v>
      </c>
      <c r="H1613" s="69">
        <f t="shared" si="40"/>
        <v>-5.8862001308044309E-3</v>
      </c>
      <c r="O1613" s="1319"/>
      <c r="P1613" s="1319"/>
      <c r="Q1613" s="35">
        <v>44671</v>
      </c>
      <c r="R1613" s="36">
        <v>2.8500000000000001E-2</v>
      </c>
      <c r="S1613" s="37">
        <v>2.87E-2</v>
      </c>
    </row>
    <row r="1614" spans="1:19" x14ac:dyDescent="0.2">
      <c r="A1614" s="1"/>
      <c r="B1614" s="13">
        <v>43371</v>
      </c>
      <c r="C1614" s="14">
        <v>76.45</v>
      </c>
      <c r="D1614" s="15">
        <v>142153</v>
      </c>
      <c r="E1614" s="14">
        <v>76.3</v>
      </c>
      <c r="F1614" s="14">
        <v>76.900000000000006</v>
      </c>
      <c r="G1614" s="16">
        <v>75.790300000000002</v>
      </c>
      <c r="H1614" s="69">
        <f t="shared" si="40"/>
        <v>-6.5359477124182774E-4</v>
      </c>
      <c r="O1614" s="1319"/>
      <c r="P1614" s="1319"/>
      <c r="Q1614" s="35">
        <v>44672</v>
      </c>
      <c r="R1614" s="36">
        <v>2.8999999999999998E-2</v>
      </c>
      <c r="S1614" s="37">
        <v>2.9600000000000001E-2</v>
      </c>
    </row>
    <row r="1615" spans="1:19" x14ac:dyDescent="0.2">
      <c r="A1615" s="1"/>
      <c r="B1615" s="13">
        <v>43370</v>
      </c>
      <c r="C1615" s="14">
        <v>76.5</v>
      </c>
      <c r="D1615" s="15">
        <v>126178</v>
      </c>
      <c r="E1615" s="14">
        <v>77.7</v>
      </c>
      <c r="F1615" s="14">
        <v>77.900000000000006</v>
      </c>
      <c r="G1615" s="16">
        <v>76.3</v>
      </c>
      <c r="H1615" s="69">
        <f t="shared" si="40"/>
        <v>-1.7341040462427681E-2</v>
      </c>
      <c r="O1615" s="1319"/>
      <c r="P1615" s="1319"/>
      <c r="Q1615" s="35">
        <v>44673</v>
      </c>
      <c r="R1615" s="36">
        <v>2.8999999999999998E-2</v>
      </c>
      <c r="S1615" s="37">
        <v>2.9399999999999999E-2</v>
      </c>
    </row>
    <row r="1616" spans="1:19" x14ac:dyDescent="0.2">
      <c r="A1616" s="1"/>
      <c r="B1616" s="13">
        <v>43369</v>
      </c>
      <c r="C1616" s="14">
        <v>77.849999999999994</v>
      </c>
      <c r="D1616" s="15">
        <v>131769</v>
      </c>
      <c r="E1616" s="14">
        <v>77.45</v>
      </c>
      <c r="F1616" s="14">
        <v>79</v>
      </c>
      <c r="G1616" s="16">
        <v>76.95</v>
      </c>
      <c r="H1616" s="69">
        <f t="shared" si="40"/>
        <v>5.8139534883718813E-3</v>
      </c>
      <c r="O1616" s="1319"/>
      <c r="P1616" s="1319"/>
      <c r="Q1616" s="35">
        <v>44676</v>
      </c>
      <c r="R1616" s="36">
        <v>2.81E-2</v>
      </c>
      <c r="S1616" s="37">
        <v>2.8399999999999998E-2</v>
      </c>
    </row>
    <row r="1617" spans="1:19" x14ac:dyDescent="0.2">
      <c r="A1617" s="1"/>
      <c r="B1617" s="13">
        <v>43368</v>
      </c>
      <c r="C1617" s="14">
        <v>77.400000000000006</v>
      </c>
      <c r="D1617" s="15">
        <v>212840</v>
      </c>
      <c r="E1617" s="14">
        <v>77.3</v>
      </c>
      <c r="F1617" s="14">
        <v>77.599999999999994</v>
      </c>
      <c r="G1617" s="16">
        <v>76.05</v>
      </c>
      <c r="H1617" s="69">
        <f t="shared" si="40"/>
        <v>5.1948051948051965E-3</v>
      </c>
      <c r="O1617" s="1319"/>
      <c r="P1617" s="1319"/>
      <c r="Q1617" s="35">
        <v>44677</v>
      </c>
      <c r="R1617" s="36">
        <v>2.7699999999999999E-2</v>
      </c>
      <c r="S1617" s="37">
        <v>2.7900000000000001E-2</v>
      </c>
    </row>
    <row r="1618" spans="1:19" x14ac:dyDescent="0.2">
      <c r="A1618" s="1"/>
      <c r="B1618" s="13">
        <v>43367</v>
      </c>
      <c r="C1618" s="14">
        <v>77</v>
      </c>
      <c r="D1618" s="15">
        <v>246740</v>
      </c>
      <c r="E1618" s="14">
        <v>76.900000000000006</v>
      </c>
      <c r="F1618" s="14">
        <v>77.5</v>
      </c>
      <c r="G1618" s="16">
        <v>75.099999999999994</v>
      </c>
      <c r="H1618" s="69">
        <f t="shared" si="40"/>
        <v>-3.2362459546925182E-3</v>
      </c>
      <c r="O1618" s="1319"/>
      <c r="P1618" s="1319"/>
      <c r="Q1618" s="35">
        <v>44678</v>
      </c>
      <c r="R1618" s="36">
        <v>2.8199999999999999E-2</v>
      </c>
      <c r="S1618" s="37">
        <v>2.81E-2</v>
      </c>
    </row>
    <row r="1619" spans="1:19" x14ac:dyDescent="0.2">
      <c r="A1619" s="1"/>
      <c r="B1619" s="13">
        <v>43364</v>
      </c>
      <c r="C1619" s="14">
        <v>77.25</v>
      </c>
      <c r="D1619" s="15">
        <v>409630</v>
      </c>
      <c r="E1619" s="14">
        <v>79.349999999999994</v>
      </c>
      <c r="F1619" s="14">
        <v>80</v>
      </c>
      <c r="G1619" s="16">
        <v>77.150000000000006</v>
      </c>
      <c r="H1619" s="69">
        <f t="shared" si="40"/>
        <v>-2.4005053695514866E-2</v>
      </c>
      <c r="O1619" s="1319"/>
      <c r="P1619" s="1319"/>
      <c r="Q1619" s="35">
        <v>44679</v>
      </c>
      <c r="R1619" s="36">
        <v>2.8500000000000001E-2</v>
      </c>
      <c r="S1619" s="37">
        <v>2.86E-2</v>
      </c>
    </row>
    <row r="1620" spans="1:19" x14ac:dyDescent="0.2">
      <c r="A1620" s="1"/>
      <c r="B1620" s="13">
        <v>43363</v>
      </c>
      <c r="C1620" s="14">
        <v>79.150000000000006</v>
      </c>
      <c r="D1620" s="15">
        <v>231091</v>
      </c>
      <c r="E1620" s="14">
        <v>80.2</v>
      </c>
      <c r="F1620" s="14">
        <v>80.25</v>
      </c>
      <c r="G1620" s="16">
        <v>78.900000000000006</v>
      </c>
      <c r="H1620" s="69">
        <f t="shared" si="40"/>
        <v>-6.2774639045825031E-3</v>
      </c>
      <c r="O1620" s="1319"/>
      <c r="P1620" s="1319"/>
      <c r="Q1620" s="35">
        <v>44680</v>
      </c>
      <c r="R1620" s="36">
        <v>2.8900000000000002E-2</v>
      </c>
      <c r="S1620" s="37">
        <v>2.92E-2</v>
      </c>
    </row>
    <row r="1621" spans="1:19" x14ac:dyDescent="0.2">
      <c r="A1621" s="1"/>
      <c r="B1621" s="13">
        <v>43362</v>
      </c>
      <c r="C1621" s="14">
        <v>79.650000000000006</v>
      </c>
      <c r="D1621" s="15">
        <v>225214</v>
      </c>
      <c r="E1621" s="14">
        <v>80</v>
      </c>
      <c r="F1621" s="14">
        <v>80.849999999999994</v>
      </c>
      <c r="G1621" s="16">
        <v>78.8</v>
      </c>
      <c r="H1621" s="69">
        <f t="shared" si="40"/>
        <v>-4.3749999999999067E-3</v>
      </c>
      <c r="O1621" s="1319"/>
      <c r="P1621" s="1319"/>
      <c r="Q1621" s="35">
        <v>44683</v>
      </c>
      <c r="R1621" s="36">
        <v>2.9900000000000003E-2</v>
      </c>
      <c r="S1621" s="37">
        <v>3.0099999999999998E-2</v>
      </c>
    </row>
    <row r="1622" spans="1:19" x14ac:dyDescent="0.2">
      <c r="A1622" s="1"/>
      <c r="B1622" s="13">
        <v>43361</v>
      </c>
      <c r="C1622" s="14">
        <v>80</v>
      </c>
      <c r="D1622" s="15">
        <v>162493</v>
      </c>
      <c r="E1622" s="14">
        <v>79.55</v>
      </c>
      <c r="F1622" s="14">
        <v>81.7</v>
      </c>
      <c r="G1622" s="16">
        <v>78.8</v>
      </c>
      <c r="H1622" s="69">
        <f t="shared" si="40"/>
        <v>3.7641154328731385E-3</v>
      </c>
      <c r="O1622" s="1319"/>
      <c r="P1622" s="1319"/>
      <c r="Q1622" s="35">
        <v>44684</v>
      </c>
      <c r="R1622" s="36">
        <v>2.9700000000000001E-2</v>
      </c>
      <c r="S1622" s="37">
        <v>3.0099999999999998E-2</v>
      </c>
    </row>
    <row r="1623" spans="1:19" x14ac:dyDescent="0.2">
      <c r="A1623" s="1"/>
      <c r="B1623" s="13">
        <v>43360</v>
      </c>
      <c r="C1623" s="14">
        <v>79.7</v>
      </c>
      <c r="D1623" s="15">
        <v>117924</v>
      </c>
      <c r="E1623" s="14">
        <v>81.45</v>
      </c>
      <c r="F1623" s="14">
        <v>81.45</v>
      </c>
      <c r="G1623" s="16">
        <v>78.8</v>
      </c>
      <c r="H1623" s="69">
        <f t="shared" si="40"/>
        <v>-2.0884520884520863E-2</v>
      </c>
      <c r="O1623" s="1319"/>
      <c r="P1623" s="1319"/>
      <c r="Q1623" s="35">
        <v>44685</v>
      </c>
      <c r="R1623" s="36">
        <v>2.9300000000000003E-2</v>
      </c>
      <c r="S1623" s="37">
        <v>2.9300000000000003E-2</v>
      </c>
    </row>
    <row r="1624" spans="1:19" x14ac:dyDescent="0.2">
      <c r="A1624" s="1"/>
      <c r="B1624" s="13">
        <v>43357</v>
      </c>
      <c r="C1624" s="14">
        <v>81.400000000000006</v>
      </c>
      <c r="D1624" s="15">
        <v>149638</v>
      </c>
      <c r="E1624" s="14">
        <v>80.45</v>
      </c>
      <c r="F1624" s="14">
        <v>82.05</v>
      </c>
      <c r="G1624" s="16">
        <v>79.55</v>
      </c>
      <c r="H1624" s="69">
        <f t="shared" si="40"/>
        <v>1.2437810945273631E-2</v>
      </c>
      <c r="O1624" s="1319"/>
      <c r="P1624" s="1319"/>
      <c r="Q1624" s="35">
        <v>44686</v>
      </c>
      <c r="R1624" s="36">
        <v>3.0499999999999999E-2</v>
      </c>
      <c r="S1624" s="37">
        <v>3.0099999999999998E-2</v>
      </c>
    </row>
    <row r="1625" spans="1:19" x14ac:dyDescent="0.2">
      <c r="A1625" s="1"/>
      <c r="B1625" s="13">
        <v>43356</v>
      </c>
      <c r="C1625" s="14">
        <v>80.400000000000006</v>
      </c>
      <c r="D1625" s="15">
        <v>123096</v>
      </c>
      <c r="E1625" s="14">
        <v>81.8</v>
      </c>
      <c r="F1625" s="14">
        <v>82.1</v>
      </c>
      <c r="G1625" s="16">
        <v>80</v>
      </c>
      <c r="H1625" s="69">
        <f t="shared" si="40"/>
        <v>-1.2285012285012331E-2</v>
      </c>
      <c r="O1625" s="1319"/>
      <c r="P1625" s="1319"/>
      <c r="Q1625" s="35">
        <v>44687</v>
      </c>
      <c r="R1625" s="36">
        <v>3.1200000000000002E-2</v>
      </c>
      <c r="S1625" s="37">
        <v>3.0600000000000002E-2</v>
      </c>
    </row>
    <row r="1626" spans="1:19" x14ac:dyDescent="0.2">
      <c r="A1626" s="1"/>
      <c r="B1626" s="13">
        <v>43355</v>
      </c>
      <c r="C1626" s="14">
        <v>81.400000000000006</v>
      </c>
      <c r="D1626" s="15">
        <v>227678</v>
      </c>
      <c r="E1626" s="14">
        <v>81.75</v>
      </c>
      <c r="F1626" s="14">
        <v>82.2</v>
      </c>
      <c r="G1626" s="16">
        <v>79.650000000000006</v>
      </c>
      <c r="H1626" s="69">
        <f t="shared" si="40"/>
        <v>-2.450980392156743E-3</v>
      </c>
      <c r="O1626" s="1319"/>
      <c r="P1626" s="1319"/>
      <c r="Q1626" s="35">
        <v>44690</v>
      </c>
      <c r="R1626" s="36">
        <v>3.0499999999999999E-2</v>
      </c>
      <c r="S1626" s="37">
        <v>2.9500000000000002E-2</v>
      </c>
    </row>
    <row r="1627" spans="1:19" x14ac:dyDescent="0.2">
      <c r="A1627" s="1"/>
      <c r="B1627" s="13">
        <v>43354</v>
      </c>
      <c r="C1627" s="14">
        <v>81.599999999999994</v>
      </c>
      <c r="D1627" s="15">
        <v>271076</v>
      </c>
      <c r="E1627" s="14">
        <v>83.35</v>
      </c>
      <c r="F1627" s="14">
        <v>83.65</v>
      </c>
      <c r="G1627" s="16">
        <v>81.349999999999994</v>
      </c>
      <c r="H1627" s="69">
        <f t="shared" si="40"/>
        <v>-2.3923444976076569E-2</v>
      </c>
      <c r="O1627" s="1319"/>
      <c r="P1627" s="1319"/>
      <c r="Q1627" s="35">
        <v>44691</v>
      </c>
      <c r="R1627" s="36">
        <v>2.9900000000000003E-2</v>
      </c>
      <c r="S1627" s="37">
        <v>2.9100000000000001E-2</v>
      </c>
    </row>
    <row r="1628" spans="1:19" x14ac:dyDescent="0.2">
      <c r="A1628" s="1"/>
      <c r="B1628" s="13">
        <v>43353</v>
      </c>
      <c r="C1628" s="14">
        <v>83.6</v>
      </c>
      <c r="D1628" s="15">
        <v>302539</v>
      </c>
      <c r="E1628" s="14">
        <v>79.3</v>
      </c>
      <c r="F1628" s="14">
        <v>83.75</v>
      </c>
      <c r="G1628" s="16">
        <v>78.05</v>
      </c>
      <c r="H1628" s="69">
        <f t="shared" si="40"/>
        <v>6.024096385542177E-2</v>
      </c>
      <c r="O1628" s="1319"/>
      <c r="P1628" s="1319"/>
      <c r="Q1628" s="35">
        <v>44692</v>
      </c>
      <c r="R1628" s="36">
        <v>2.9100000000000001E-2</v>
      </c>
      <c r="S1628" s="37">
        <v>2.8900000000000002E-2</v>
      </c>
    </row>
    <row r="1629" spans="1:19" x14ac:dyDescent="0.2">
      <c r="A1629" s="1"/>
      <c r="B1629" s="13">
        <v>43350</v>
      </c>
      <c r="C1629" s="14">
        <v>78.849999999999994</v>
      </c>
      <c r="D1629" s="15">
        <v>141094</v>
      </c>
      <c r="E1629" s="14">
        <v>78.349999999999994</v>
      </c>
      <c r="F1629" s="14">
        <v>80.099999999999994</v>
      </c>
      <c r="G1629" s="16">
        <v>78.349999999999994</v>
      </c>
      <c r="H1629" s="69">
        <f t="shared" si="40"/>
        <v>1.9059720457432761E-3</v>
      </c>
      <c r="O1629" s="1319"/>
      <c r="P1629" s="1319"/>
      <c r="Q1629" s="35">
        <v>44693</v>
      </c>
      <c r="R1629" s="36">
        <v>2.8399999999999998E-2</v>
      </c>
      <c r="S1629" s="37">
        <v>2.81E-2</v>
      </c>
    </row>
    <row r="1630" spans="1:19" x14ac:dyDescent="0.2">
      <c r="A1630" s="1"/>
      <c r="B1630" s="13">
        <v>43349</v>
      </c>
      <c r="C1630" s="14">
        <v>78.7</v>
      </c>
      <c r="D1630" s="15">
        <v>150632</v>
      </c>
      <c r="E1630" s="14">
        <v>79.45</v>
      </c>
      <c r="F1630" s="14">
        <v>80.650000000000006</v>
      </c>
      <c r="G1630" s="16">
        <v>78.55</v>
      </c>
      <c r="H1630" s="69">
        <f t="shared" si="40"/>
        <v>-6.9400630914826511E-3</v>
      </c>
      <c r="O1630" s="1319"/>
      <c r="P1630" s="1319"/>
      <c r="Q1630" s="35">
        <v>44694</v>
      </c>
      <c r="R1630" s="36">
        <v>2.9300000000000003E-2</v>
      </c>
      <c r="S1630" s="37">
        <v>2.8900000000000002E-2</v>
      </c>
    </row>
    <row r="1631" spans="1:19" x14ac:dyDescent="0.2">
      <c r="A1631" s="1"/>
      <c r="B1631" s="13">
        <v>43348</v>
      </c>
      <c r="C1631" s="14">
        <v>79.25</v>
      </c>
      <c r="D1631" s="15">
        <v>141592</v>
      </c>
      <c r="E1631" s="14">
        <v>78</v>
      </c>
      <c r="F1631" s="14">
        <v>80.05</v>
      </c>
      <c r="G1631" s="16">
        <v>77.55</v>
      </c>
      <c r="H1631" s="69">
        <f t="shared" si="40"/>
        <v>1.4075495841330721E-2</v>
      </c>
      <c r="O1631" s="1319"/>
      <c r="P1631" s="1319"/>
      <c r="Q1631" s="35">
        <v>44697</v>
      </c>
      <c r="R1631" s="36">
        <v>2.8799999999999999E-2</v>
      </c>
      <c r="S1631" s="37">
        <v>2.8300000000000002E-2</v>
      </c>
    </row>
    <row r="1632" spans="1:19" x14ac:dyDescent="0.2">
      <c r="A1632" s="1"/>
      <c r="B1632" s="13">
        <v>43347</v>
      </c>
      <c r="C1632" s="14">
        <v>78.150000000000006</v>
      </c>
      <c r="D1632" s="15">
        <v>192944</v>
      </c>
      <c r="E1632" s="14">
        <v>78.650000000000006</v>
      </c>
      <c r="F1632" s="14">
        <v>78.8</v>
      </c>
      <c r="G1632" s="16">
        <v>77.45</v>
      </c>
      <c r="H1632" s="69">
        <f t="shared" si="40"/>
        <v>-1.3880126182965191E-2</v>
      </c>
      <c r="O1632" s="1319"/>
      <c r="P1632" s="1319"/>
      <c r="Q1632" s="35">
        <v>44698</v>
      </c>
      <c r="R1632" s="36">
        <v>2.98E-2</v>
      </c>
      <c r="S1632" s="37">
        <v>2.9600000000000001E-2</v>
      </c>
    </row>
    <row r="1633" spans="1:19" x14ac:dyDescent="0.2">
      <c r="A1633" s="1"/>
      <c r="B1633" s="13">
        <v>43343</v>
      </c>
      <c r="C1633" s="14">
        <v>79.25</v>
      </c>
      <c r="D1633" s="15">
        <v>113752</v>
      </c>
      <c r="E1633" s="14">
        <v>78.75</v>
      </c>
      <c r="F1633" s="14">
        <v>79.95</v>
      </c>
      <c r="G1633" s="16">
        <v>78.25</v>
      </c>
      <c r="H1633" s="69">
        <f t="shared" si="40"/>
        <v>3.1645569620253333E-3</v>
      </c>
      <c r="O1633" s="1319"/>
      <c r="P1633" s="1319"/>
      <c r="Q1633" s="35">
        <v>44699</v>
      </c>
      <c r="R1633" s="36">
        <v>2.8799999999999999E-2</v>
      </c>
      <c r="S1633" s="37">
        <v>2.8900000000000002E-2</v>
      </c>
    </row>
    <row r="1634" spans="1:19" x14ac:dyDescent="0.2">
      <c r="A1634" s="1"/>
      <c r="B1634" s="13">
        <v>43342</v>
      </c>
      <c r="C1634" s="14">
        <v>79</v>
      </c>
      <c r="D1634" s="15">
        <v>160837</v>
      </c>
      <c r="E1634" s="14">
        <v>80.150000000000006</v>
      </c>
      <c r="F1634" s="14">
        <v>80.2</v>
      </c>
      <c r="G1634" s="16">
        <v>78.8</v>
      </c>
      <c r="H1634" s="69">
        <f t="shared" si="40"/>
        <v>-8.1607030759573984E-3</v>
      </c>
      <c r="O1634" s="1319"/>
      <c r="P1634" s="1319"/>
      <c r="Q1634" s="35">
        <v>44700</v>
      </c>
      <c r="R1634" s="36">
        <v>2.8399999999999998E-2</v>
      </c>
      <c r="S1634" s="37">
        <v>2.8399999999999998E-2</v>
      </c>
    </row>
    <row r="1635" spans="1:19" x14ac:dyDescent="0.2">
      <c r="A1635" s="1"/>
      <c r="B1635" s="13">
        <v>43341</v>
      </c>
      <c r="C1635" s="14">
        <v>79.650000000000006</v>
      </c>
      <c r="D1635" s="15">
        <v>182027</v>
      </c>
      <c r="E1635" s="14">
        <v>77.849999999999994</v>
      </c>
      <c r="F1635" s="14">
        <v>79.95</v>
      </c>
      <c r="G1635" s="16">
        <v>76.849999999999994</v>
      </c>
      <c r="H1635" s="69">
        <f t="shared" si="40"/>
        <v>2.6417525773196004E-2</v>
      </c>
      <c r="O1635" s="1319"/>
      <c r="P1635" s="1319"/>
      <c r="Q1635" s="35">
        <v>44701</v>
      </c>
      <c r="R1635" s="36">
        <v>2.7799999999999998E-2</v>
      </c>
      <c r="S1635" s="37">
        <v>2.7999999999999997E-2</v>
      </c>
    </row>
    <row r="1636" spans="1:19" x14ac:dyDescent="0.2">
      <c r="A1636" s="1"/>
      <c r="B1636" s="13">
        <v>43340</v>
      </c>
      <c r="C1636" s="14">
        <v>77.599999999999994</v>
      </c>
      <c r="D1636" s="15">
        <v>88303</v>
      </c>
      <c r="E1636" s="14">
        <v>78.75</v>
      </c>
      <c r="F1636" s="14">
        <v>79.5</v>
      </c>
      <c r="G1636" s="16">
        <v>77.599999999999994</v>
      </c>
      <c r="H1636" s="69">
        <f t="shared" si="40"/>
        <v>-1.1464968152866351E-2</v>
      </c>
      <c r="O1636" s="1319"/>
      <c r="P1636" s="1319"/>
      <c r="Q1636" s="35">
        <v>44704</v>
      </c>
      <c r="R1636" s="36">
        <v>2.86E-2</v>
      </c>
      <c r="S1636" s="37">
        <v>2.8799999999999999E-2</v>
      </c>
    </row>
    <row r="1637" spans="1:19" x14ac:dyDescent="0.2">
      <c r="A1637" s="1"/>
      <c r="B1637" s="13">
        <v>43339</v>
      </c>
      <c r="C1637" s="14">
        <v>78.5</v>
      </c>
      <c r="D1637" s="15">
        <v>146531</v>
      </c>
      <c r="E1637" s="14">
        <v>77.349999999999994</v>
      </c>
      <c r="F1637" s="14">
        <v>78.900000000000006</v>
      </c>
      <c r="G1637" s="16">
        <v>77.349999999999994</v>
      </c>
      <c r="H1637" s="69">
        <f t="shared" si="40"/>
        <v>1.8818948734588004E-2</v>
      </c>
      <c r="O1637" s="1319"/>
      <c r="P1637" s="1319"/>
      <c r="Q1637" s="35">
        <v>44705</v>
      </c>
      <c r="R1637" s="36">
        <v>2.76E-2</v>
      </c>
      <c r="S1637" s="37">
        <v>2.76E-2</v>
      </c>
    </row>
    <row r="1638" spans="1:19" x14ac:dyDescent="0.2">
      <c r="A1638" s="1"/>
      <c r="B1638" s="13">
        <v>43336</v>
      </c>
      <c r="C1638" s="14">
        <v>77.05</v>
      </c>
      <c r="D1638" s="15">
        <v>83372</v>
      </c>
      <c r="E1638" s="14">
        <v>77.400000000000006</v>
      </c>
      <c r="F1638" s="14">
        <v>78.3</v>
      </c>
      <c r="G1638" s="16">
        <v>76.95</v>
      </c>
      <c r="H1638" s="69">
        <f t="shared" si="40"/>
        <v>-3.878474466709747E-3</v>
      </c>
      <c r="O1638" s="1319"/>
      <c r="P1638" s="1319"/>
      <c r="Q1638" s="35">
        <v>44706</v>
      </c>
      <c r="R1638" s="36">
        <v>2.75E-2</v>
      </c>
      <c r="S1638" s="37">
        <v>2.7099999999999999E-2</v>
      </c>
    </row>
    <row r="1639" spans="1:19" x14ac:dyDescent="0.2">
      <c r="A1639" s="1"/>
      <c r="B1639" s="13">
        <v>43335</v>
      </c>
      <c r="C1639" s="14">
        <v>77.349999999999994</v>
      </c>
      <c r="D1639" s="15">
        <v>124437</v>
      </c>
      <c r="E1639" s="14">
        <v>77.900000000000006</v>
      </c>
      <c r="F1639" s="14">
        <v>78.150000000000006</v>
      </c>
      <c r="G1639" s="16">
        <v>76.7</v>
      </c>
      <c r="H1639" s="69">
        <f t="shared" si="40"/>
        <v>-7.6972418216806338E-3</v>
      </c>
      <c r="O1639" s="1319"/>
      <c r="P1639" s="1319"/>
      <c r="Q1639" s="35">
        <v>44707</v>
      </c>
      <c r="R1639" s="36">
        <v>2.75E-2</v>
      </c>
      <c r="S1639" s="37">
        <v>2.7000000000000003E-2</v>
      </c>
    </row>
    <row r="1640" spans="1:19" x14ac:dyDescent="0.2">
      <c r="A1640" s="1"/>
      <c r="B1640" s="13">
        <v>43334</v>
      </c>
      <c r="C1640" s="14">
        <v>77.95</v>
      </c>
      <c r="D1640" s="15">
        <v>85280</v>
      </c>
      <c r="E1640" s="14">
        <v>78.349999999999994</v>
      </c>
      <c r="F1640" s="14">
        <v>78.875</v>
      </c>
      <c r="G1640" s="16">
        <v>77.194000000000003</v>
      </c>
      <c r="H1640" s="69">
        <f t="shared" ref="H1640:H1703" si="41">C1640/C1641-1</f>
        <v>-7.0063694267515908E-3</v>
      </c>
      <c r="O1640" s="1319"/>
      <c r="P1640" s="1319"/>
      <c r="Q1640" s="35">
        <v>44708</v>
      </c>
      <c r="R1640" s="36">
        <v>2.7400000000000001E-2</v>
      </c>
      <c r="S1640" s="37">
        <v>2.7099999999999999E-2</v>
      </c>
    </row>
    <row r="1641" spans="1:19" x14ac:dyDescent="0.2">
      <c r="A1641" s="1"/>
      <c r="B1641" s="13">
        <v>43333</v>
      </c>
      <c r="C1641" s="14">
        <v>78.5</v>
      </c>
      <c r="D1641" s="15">
        <v>161404</v>
      </c>
      <c r="E1641" s="14">
        <v>78.05</v>
      </c>
      <c r="F1641" s="14">
        <v>79.849999999999994</v>
      </c>
      <c r="G1641" s="16">
        <v>78.05</v>
      </c>
      <c r="H1641" s="69">
        <f t="shared" si="41"/>
        <v>8.3493898522801757E-3</v>
      </c>
      <c r="O1641" s="1319"/>
      <c r="P1641" s="1319"/>
      <c r="Q1641" s="35">
        <v>44712</v>
      </c>
      <c r="R1641" s="36">
        <v>2.8500000000000001E-2</v>
      </c>
      <c r="S1641" s="37">
        <v>2.81E-2</v>
      </c>
    </row>
    <row r="1642" spans="1:19" x14ac:dyDescent="0.2">
      <c r="A1642" s="1"/>
      <c r="B1642" s="13">
        <v>43332</v>
      </c>
      <c r="C1642" s="14">
        <v>77.849999999999994</v>
      </c>
      <c r="D1642" s="15">
        <v>249925</v>
      </c>
      <c r="E1642" s="14">
        <v>77.400000000000006</v>
      </c>
      <c r="F1642" s="14">
        <v>79.400000000000006</v>
      </c>
      <c r="G1642" s="16">
        <v>76.75</v>
      </c>
      <c r="H1642" s="69">
        <f t="shared" si="41"/>
        <v>8.4196891191707923E-3</v>
      </c>
      <c r="O1642" s="1319"/>
      <c r="P1642" s="1319"/>
      <c r="Q1642" s="35">
        <v>44713</v>
      </c>
      <c r="R1642" s="36">
        <v>2.9399999999999999E-2</v>
      </c>
      <c r="S1642" s="37">
        <v>2.9399999999999999E-2</v>
      </c>
    </row>
    <row r="1643" spans="1:19" x14ac:dyDescent="0.2">
      <c r="A1643" s="1"/>
      <c r="B1643" s="13">
        <v>43329</v>
      </c>
      <c r="C1643" s="14">
        <v>77.2</v>
      </c>
      <c r="D1643" s="15">
        <v>165101</v>
      </c>
      <c r="E1643" s="14">
        <v>76.25</v>
      </c>
      <c r="F1643" s="14">
        <v>77.45</v>
      </c>
      <c r="G1643" s="16">
        <v>75.650000000000006</v>
      </c>
      <c r="H1643" s="69">
        <f t="shared" si="41"/>
        <v>9.1503267973855884E-3</v>
      </c>
      <c r="O1643" s="1319"/>
      <c r="P1643" s="1319"/>
      <c r="Q1643" s="35">
        <v>44714</v>
      </c>
      <c r="R1643" s="36">
        <v>2.92E-2</v>
      </c>
      <c r="S1643" s="37">
        <v>2.92E-2</v>
      </c>
    </row>
    <row r="1644" spans="1:19" x14ac:dyDescent="0.2">
      <c r="A1644" s="1"/>
      <c r="B1644" s="13">
        <v>43328</v>
      </c>
      <c r="C1644" s="14">
        <v>76.5</v>
      </c>
      <c r="D1644" s="15">
        <v>87106</v>
      </c>
      <c r="E1644" s="14">
        <v>76.05</v>
      </c>
      <c r="F1644" s="14">
        <v>77.2</v>
      </c>
      <c r="G1644" s="16">
        <v>76.05</v>
      </c>
      <c r="H1644" s="69">
        <f t="shared" si="41"/>
        <v>9.9009900990099098E-3</v>
      </c>
      <c r="O1644" s="1319"/>
      <c r="P1644" s="1319"/>
      <c r="Q1644" s="35">
        <v>44715</v>
      </c>
      <c r="R1644" s="36">
        <v>2.9600000000000001E-2</v>
      </c>
      <c r="S1644" s="37">
        <v>2.9500000000000002E-2</v>
      </c>
    </row>
    <row r="1645" spans="1:19" x14ac:dyDescent="0.2">
      <c r="A1645" s="1"/>
      <c r="B1645" s="13">
        <v>43327</v>
      </c>
      <c r="C1645" s="14">
        <v>75.75</v>
      </c>
      <c r="D1645" s="15">
        <v>165851</v>
      </c>
      <c r="E1645" s="14">
        <v>75.45</v>
      </c>
      <c r="F1645" s="14">
        <v>76</v>
      </c>
      <c r="G1645" s="16">
        <v>73.5</v>
      </c>
      <c r="H1645" s="69">
        <f t="shared" si="41"/>
        <v>-3.9447731755423154E-3</v>
      </c>
      <c r="O1645" s="1319"/>
      <c r="P1645" s="1319"/>
      <c r="Q1645" s="35">
        <v>44718</v>
      </c>
      <c r="R1645" s="36">
        <v>3.04E-2</v>
      </c>
      <c r="S1645" s="37">
        <v>3.0299999999999997E-2</v>
      </c>
    </row>
    <row r="1646" spans="1:19" x14ac:dyDescent="0.2">
      <c r="A1646" s="1"/>
      <c r="B1646" s="13">
        <v>43326</v>
      </c>
      <c r="C1646" s="14">
        <v>76.05</v>
      </c>
      <c r="D1646" s="15">
        <v>195643</v>
      </c>
      <c r="E1646" s="14">
        <v>76.099999999999994</v>
      </c>
      <c r="F1646" s="14">
        <v>77.45</v>
      </c>
      <c r="G1646" s="16">
        <v>75.325000000000003</v>
      </c>
      <c r="H1646" s="69">
        <f t="shared" si="41"/>
        <v>2.636783124588149E-3</v>
      </c>
      <c r="O1646" s="1319"/>
      <c r="P1646" s="1319"/>
      <c r="Q1646" s="35">
        <v>44719</v>
      </c>
      <c r="R1646" s="36">
        <v>2.98E-2</v>
      </c>
      <c r="S1646" s="37">
        <v>2.9900000000000003E-2</v>
      </c>
    </row>
    <row r="1647" spans="1:19" x14ac:dyDescent="0.2">
      <c r="A1647" s="1"/>
      <c r="B1647" s="13">
        <v>43325</v>
      </c>
      <c r="C1647" s="14">
        <v>75.849999999999994</v>
      </c>
      <c r="D1647" s="15">
        <v>152783</v>
      </c>
      <c r="E1647" s="14">
        <v>76.599999999999994</v>
      </c>
      <c r="F1647" s="14">
        <v>76.599999999999994</v>
      </c>
      <c r="G1647" s="16">
        <v>74.849999999999994</v>
      </c>
      <c r="H1647" s="69">
        <f t="shared" si="41"/>
        <v>-5.8977719528178207E-3</v>
      </c>
      <c r="O1647" s="1319"/>
      <c r="P1647" s="1319"/>
      <c r="Q1647" s="35">
        <v>44720</v>
      </c>
      <c r="R1647" s="36">
        <v>3.0299999999999997E-2</v>
      </c>
      <c r="S1647" s="37">
        <v>3.0299999999999997E-2</v>
      </c>
    </row>
    <row r="1648" spans="1:19" x14ac:dyDescent="0.2">
      <c r="A1648" s="1"/>
      <c r="B1648" s="13">
        <v>43322</v>
      </c>
      <c r="C1648" s="14">
        <v>76.3</v>
      </c>
      <c r="D1648" s="15">
        <v>95939</v>
      </c>
      <c r="E1648" s="14">
        <v>76.25</v>
      </c>
      <c r="F1648" s="14">
        <v>76.95</v>
      </c>
      <c r="G1648" s="16">
        <v>75.2</v>
      </c>
      <c r="H1648" s="69">
        <f t="shared" si="41"/>
        <v>-5.2151238591917615E-3</v>
      </c>
      <c r="O1648" s="1319"/>
      <c r="P1648" s="1319"/>
      <c r="Q1648" s="35">
        <v>44721</v>
      </c>
      <c r="R1648" s="36">
        <v>3.04E-2</v>
      </c>
      <c r="S1648" s="37">
        <v>3.0699999999999998E-2</v>
      </c>
    </row>
    <row r="1649" spans="1:19" x14ac:dyDescent="0.2">
      <c r="A1649" s="1"/>
      <c r="B1649" s="13">
        <v>43321</v>
      </c>
      <c r="C1649" s="14">
        <v>76.7</v>
      </c>
      <c r="D1649" s="15">
        <v>197661</v>
      </c>
      <c r="E1649" s="14">
        <v>76.25</v>
      </c>
      <c r="F1649" s="14">
        <v>77.349999999999994</v>
      </c>
      <c r="G1649" s="16">
        <v>75.150000000000006</v>
      </c>
      <c r="H1649" s="69">
        <f t="shared" si="41"/>
        <v>7.8843626806834877E-3</v>
      </c>
      <c r="O1649" s="1319"/>
      <c r="P1649" s="1319"/>
      <c r="Q1649" s="35">
        <v>44722</v>
      </c>
      <c r="R1649" s="36">
        <v>3.15E-2</v>
      </c>
      <c r="S1649" s="37">
        <v>3.2500000000000001E-2</v>
      </c>
    </row>
    <row r="1650" spans="1:19" x14ac:dyDescent="0.2">
      <c r="A1650" s="1"/>
      <c r="B1650" s="13">
        <v>43320</v>
      </c>
      <c r="C1650" s="14">
        <v>76.099999999999994</v>
      </c>
      <c r="D1650" s="15">
        <v>81723</v>
      </c>
      <c r="E1650" s="14">
        <v>75.650000000000006</v>
      </c>
      <c r="F1650" s="14">
        <v>76.75</v>
      </c>
      <c r="G1650" s="16">
        <v>75</v>
      </c>
      <c r="H1650" s="69">
        <f t="shared" si="41"/>
        <v>6.6137566137565162E-3</v>
      </c>
      <c r="O1650" s="1319"/>
      <c r="P1650" s="1319"/>
      <c r="Q1650" s="35">
        <v>44725</v>
      </c>
      <c r="R1650" s="36">
        <v>3.4300000000000004E-2</v>
      </c>
      <c r="S1650" s="37">
        <v>3.56E-2</v>
      </c>
    </row>
    <row r="1651" spans="1:19" x14ac:dyDescent="0.2">
      <c r="A1651" s="1"/>
      <c r="B1651" s="13">
        <v>43319</v>
      </c>
      <c r="C1651" s="14">
        <v>75.599999999999994</v>
      </c>
      <c r="D1651" s="15">
        <v>209545</v>
      </c>
      <c r="E1651" s="14">
        <v>77.150000000000006</v>
      </c>
      <c r="F1651" s="14">
        <v>77.25</v>
      </c>
      <c r="G1651" s="16">
        <v>75.2</v>
      </c>
      <c r="H1651" s="69">
        <f t="shared" si="41"/>
        <v>-1.5625E-2</v>
      </c>
      <c r="O1651" s="1319"/>
      <c r="P1651" s="1319"/>
      <c r="Q1651" s="35">
        <v>44726</v>
      </c>
      <c r="R1651" s="36">
        <v>3.49E-2</v>
      </c>
      <c r="S1651" s="37">
        <v>3.61E-2</v>
      </c>
    </row>
    <row r="1652" spans="1:19" x14ac:dyDescent="0.2">
      <c r="A1652" s="1"/>
      <c r="B1652" s="13">
        <v>43318</v>
      </c>
      <c r="C1652" s="14">
        <v>76.8</v>
      </c>
      <c r="D1652" s="15">
        <v>283872</v>
      </c>
      <c r="E1652" s="14">
        <v>75.849999999999994</v>
      </c>
      <c r="F1652" s="14">
        <v>76.8</v>
      </c>
      <c r="G1652" s="16">
        <v>74.75</v>
      </c>
      <c r="H1652" s="69">
        <f t="shared" si="41"/>
        <v>1.5873015873015817E-2</v>
      </c>
      <c r="O1652" s="1319"/>
      <c r="P1652" s="1319"/>
      <c r="Q1652" s="35">
        <v>44727</v>
      </c>
      <c r="R1652" s="36">
        <v>3.3300000000000003E-2</v>
      </c>
      <c r="S1652" s="37">
        <v>3.3799999999999997E-2</v>
      </c>
    </row>
    <row r="1653" spans="1:19" x14ac:dyDescent="0.2">
      <c r="A1653" s="1"/>
      <c r="B1653" s="13">
        <v>43315</v>
      </c>
      <c r="C1653" s="14">
        <v>75.599999999999994</v>
      </c>
      <c r="D1653" s="15">
        <v>258164</v>
      </c>
      <c r="E1653" s="14">
        <v>76.75</v>
      </c>
      <c r="F1653" s="14">
        <v>77.7</v>
      </c>
      <c r="G1653" s="16">
        <v>75.3</v>
      </c>
      <c r="H1653" s="69">
        <f t="shared" si="41"/>
        <v>-1.1118378024852937E-2</v>
      </c>
      <c r="O1653" s="1319"/>
      <c r="P1653" s="1319"/>
      <c r="Q1653" s="35">
        <v>44728</v>
      </c>
      <c r="R1653" s="36">
        <v>3.2799999999999996E-2</v>
      </c>
      <c r="S1653" s="37">
        <v>3.3500000000000002E-2</v>
      </c>
    </row>
    <row r="1654" spans="1:19" x14ac:dyDescent="0.2">
      <c r="A1654" s="1"/>
      <c r="B1654" s="13">
        <v>43314</v>
      </c>
      <c r="C1654" s="14">
        <v>76.45</v>
      </c>
      <c r="D1654" s="15">
        <v>291303</v>
      </c>
      <c r="E1654" s="14">
        <v>75.05</v>
      </c>
      <c r="F1654" s="14">
        <v>76.775000000000006</v>
      </c>
      <c r="G1654" s="16">
        <v>74.099999999999994</v>
      </c>
      <c r="H1654" s="69">
        <f t="shared" si="41"/>
        <v>2.1376085504342113E-2</v>
      </c>
      <c r="O1654" s="1319"/>
      <c r="P1654" s="1319"/>
      <c r="Q1654" s="35">
        <v>44729</v>
      </c>
      <c r="R1654" s="36">
        <v>3.2500000000000001E-2</v>
      </c>
      <c r="S1654" s="37">
        <v>3.3399999999999999E-2</v>
      </c>
    </row>
    <row r="1655" spans="1:19" x14ac:dyDescent="0.2">
      <c r="A1655" s="1"/>
      <c r="B1655" s="13">
        <v>43313</v>
      </c>
      <c r="C1655" s="14">
        <v>74.849999999999994</v>
      </c>
      <c r="D1655" s="15">
        <v>628785</v>
      </c>
      <c r="E1655" s="14">
        <v>74.45</v>
      </c>
      <c r="F1655" s="14">
        <v>75.55</v>
      </c>
      <c r="G1655" s="16">
        <v>68.55</v>
      </c>
      <c r="H1655" s="69">
        <f t="shared" si="41"/>
        <v>-6.6357000663570531E-3</v>
      </c>
      <c r="O1655" s="1319"/>
      <c r="P1655" s="1319"/>
      <c r="Q1655" s="35">
        <v>44733</v>
      </c>
      <c r="R1655" s="36">
        <v>3.3099999999999997E-2</v>
      </c>
      <c r="S1655" s="37">
        <v>3.3799999999999997E-2</v>
      </c>
    </row>
    <row r="1656" spans="1:19" x14ac:dyDescent="0.2">
      <c r="A1656" s="1"/>
      <c r="B1656" s="13">
        <v>43312</v>
      </c>
      <c r="C1656" s="14">
        <v>75.349999999999994</v>
      </c>
      <c r="D1656" s="15">
        <v>264361</v>
      </c>
      <c r="E1656" s="14">
        <v>73.400000000000006</v>
      </c>
      <c r="F1656" s="14">
        <v>75.674999999999997</v>
      </c>
      <c r="G1656" s="16">
        <v>73.099999999999994</v>
      </c>
      <c r="H1656" s="69">
        <f t="shared" si="41"/>
        <v>2.7266530334014938E-2</v>
      </c>
      <c r="O1656" s="1319"/>
      <c r="P1656" s="1319"/>
      <c r="Q1656" s="35">
        <v>44734</v>
      </c>
      <c r="R1656" s="36">
        <v>3.1600000000000003E-2</v>
      </c>
      <c r="S1656" s="37">
        <v>3.2199999999999999E-2</v>
      </c>
    </row>
    <row r="1657" spans="1:19" x14ac:dyDescent="0.2">
      <c r="A1657" s="1"/>
      <c r="B1657" s="13">
        <v>43311</v>
      </c>
      <c r="C1657" s="14">
        <v>73.349999999999994</v>
      </c>
      <c r="D1657" s="15">
        <v>352337</v>
      </c>
      <c r="E1657" s="14">
        <v>72.95</v>
      </c>
      <c r="F1657" s="14">
        <v>74.400000000000006</v>
      </c>
      <c r="G1657" s="16">
        <v>72.95</v>
      </c>
      <c r="H1657" s="69">
        <f t="shared" si="41"/>
        <v>6.1728395061726449E-3</v>
      </c>
      <c r="O1657" s="1319"/>
      <c r="P1657" s="1319"/>
      <c r="Q1657" s="35">
        <v>44735</v>
      </c>
      <c r="R1657" s="36">
        <v>3.0899999999999997E-2</v>
      </c>
      <c r="S1657" s="37">
        <v>3.1400000000000004E-2</v>
      </c>
    </row>
    <row r="1658" spans="1:19" x14ac:dyDescent="0.2">
      <c r="A1658" s="1"/>
      <c r="B1658" s="13">
        <v>43308</v>
      </c>
      <c r="C1658" s="14">
        <v>72.900000000000006</v>
      </c>
      <c r="D1658" s="15">
        <v>307320</v>
      </c>
      <c r="E1658" s="14">
        <v>74.25</v>
      </c>
      <c r="F1658" s="14">
        <v>75.025000000000006</v>
      </c>
      <c r="G1658" s="16">
        <v>72.599999999999994</v>
      </c>
      <c r="H1658" s="69">
        <f t="shared" si="41"/>
        <v>-1.9502353732346878E-2</v>
      </c>
      <c r="O1658" s="1319"/>
      <c r="P1658" s="1319"/>
      <c r="Q1658" s="35">
        <v>44736</v>
      </c>
      <c r="R1658" s="36">
        <v>3.1300000000000001E-2</v>
      </c>
      <c r="S1658" s="37">
        <v>3.1800000000000002E-2</v>
      </c>
    </row>
    <row r="1659" spans="1:19" x14ac:dyDescent="0.2">
      <c r="A1659" s="1"/>
      <c r="B1659" s="13">
        <v>43307</v>
      </c>
      <c r="C1659" s="14">
        <v>74.349999999999994</v>
      </c>
      <c r="D1659" s="15">
        <v>546200</v>
      </c>
      <c r="E1659" s="14">
        <v>77.2</v>
      </c>
      <c r="F1659" s="14">
        <v>77.2</v>
      </c>
      <c r="G1659" s="16">
        <v>72.625</v>
      </c>
      <c r="H1659" s="69">
        <f t="shared" si="41"/>
        <v>-3.6917098445595986E-2</v>
      </c>
      <c r="O1659" s="1319"/>
      <c r="P1659" s="1319"/>
      <c r="Q1659" s="35">
        <v>44739</v>
      </c>
      <c r="R1659" s="36">
        <v>3.2000000000000001E-2</v>
      </c>
      <c r="S1659" s="37">
        <v>3.2400000000000005E-2</v>
      </c>
    </row>
    <row r="1660" spans="1:19" x14ac:dyDescent="0.2">
      <c r="A1660" s="1"/>
      <c r="B1660" s="13">
        <v>43306</v>
      </c>
      <c r="C1660" s="14">
        <v>77.2</v>
      </c>
      <c r="D1660" s="15">
        <v>294957</v>
      </c>
      <c r="E1660" s="14">
        <v>75.2</v>
      </c>
      <c r="F1660" s="14">
        <v>77.45</v>
      </c>
      <c r="G1660" s="16">
        <v>74.5</v>
      </c>
      <c r="H1660" s="69">
        <f t="shared" si="41"/>
        <v>2.7962716378162611E-2</v>
      </c>
      <c r="O1660" s="1319"/>
      <c r="P1660" s="1319"/>
      <c r="Q1660" s="35">
        <v>44740</v>
      </c>
      <c r="R1660" s="36">
        <v>3.2000000000000001E-2</v>
      </c>
      <c r="S1660" s="37">
        <v>3.2500000000000001E-2</v>
      </c>
    </row>
    <row r="1661" spans="1:19" x14ac:dyDescent="0.2">
      <c r="A1661" s="1"/>
      <c r="B1661" s="13">
        <v>43305</v>
      </c>
      <c r="C1661" s="14">
        <v>75.099999999999994</v>
      </c>
      <c r="D1661" s="15">
        <v>295942</v>
      </c>
      <c r="E1661" s="14">
        <v>78.900000000000006</v>
      </c>
      <c r="F1661" s="14">
        <v>79.650000000000006</v>
      </c>
      <c r="G1661" s="16">
        <v>74.2</v>
      </c>
      <c r="H1661" s="69">
        <f t="shared" si="41"/>
        <v>-4.4529262086513977E-2</v>
      </c>
      <c r="O1661" s="1319"/>
      <c r="P1661" s="1319"/>
      <c r="Q1661" s="35">
        <v>44741</v>
      </c>
      <c r="R1661" s="36">
        <v>3.1E-2</v>
      </c>
      <c r="S1661" s="37">
        <v>3.15E-2</v>
      </c>
    </row>
    <row r="1662" spans="1:19" x14ac:dyDescent="0.2">
      <c r="A1662" s="1"/>
      <c r="B1662" s="13">
        <v>43304</v>
      </c>
      <c r="C1662" s="14">
        <v>78.599999999999994</v>
      </c>
      <c r="D1662" s="15">
        <v>144117</v>
      </c>
      <c r="E1662" s="14">
        <v>78.099999999999994</v>
      </c>
      <c r="F1662" s="14">
        <v>79.05</v>
      </c>
      <c r="G1662" s="16">
        <v>77.900000000000006</v>
      </c>
      <c r="H1662" s="69">
        <f t="shared" si="41"/>
        <v>5.7581573896352545E-3</v>
      </c>
      <c r="O1662" s="1319"/>
      <c r="P1662" s="1319"/>
      <c r="Q1662" s="35">
        <v>44742</v>
      </c>
      <c r="R1662" s="36">
        <v>2.98E-2</v>
      </c>
      <c r="S1662" s="37">
        <v>3.0099999999999998E-2</v>
      </c>
    </row>
    <row r="1663" spans="1:19" x14ac:dyDescent="0.2">
      <c r="A1663" s="1"/>
      <c r="B1663" s="13">
        <v>43301</v>
      </c>
      <c r="C1663" s="14">
        <v>78.150000000000006</v>
      </c>
      <c r="D1663" s="15">
        <v>198887</v>
      </c>
      <c r="E1663" s="14">
        <v>79</v>
      </c>
      <c r="F1663" s="14">
        <v>79.150000000000006</v>
      </c>
      <c r="G1663" s="16">
        <v>78</v>
      </c>
      <c r="H1663" s="69">
        <f t="shared" si="41"/>
        <v>-1.4501891551071733E-2</v>
      </c>
      <c r="O1663" s="1319"/>
      <c r="P1663" s="1319"/>
      <c r="Q1663" s="35">
        <v>44743</v>
      </c>
      <c r="R1663" s="36">
        <v>2.8799999999999999E-2</v>
      </c>
      <c r="S1663" s="37">
        <v>2.8799999999999999E-2</v>
      </c>
    </row>
    <row r="1664" spans="1:19" x14ac:dyDescent="0.2">
      <c r="A1664" s="1"/>
      <c r="B1664" s="13">
        <v>43300</v>
      </c>
      <c r="C1664" s="14">
        <v>79.3</v>
      </c>
      <c r="D1664" s="15">
        <v>125592</v>
      </c>
      <c r="E1664" s="14">
        <v>77.95</v>
      </c>
      <c r="F1664" s="14">
        <v>79.55</v>
      </c>
      <c r="G1664" s="16">
        <v>77.400000000000006</v>
      </c>
      <c r="H1664" s="69">
        <f t="shared" si="41"/>
        <v>1.0834926704907488E-2</v>
      </c>
      <c r="O1664" s="1319"/>
      <c r="P1664" s="1319"/>
      <c r="Q1664" s="35">
        <v>44747</v>
      </c>
      <c r="R1664" s="36">
        <v>2.8199999999999999E-2</v>
      </c>
      <c r="S1664" s="37">
        <v>2.8199999999999999E-2</v>
      </c>
    </row>
    <row r="1665" spans="1:19" x14ac:dyDescent="0.2">
      <c r="A1665" s="1"/>
      <c r="B1665" s="13">
        <v>43299</v>
      </c>
      <c r="C1665" s="14">
        <v>78.45</v>
      </c>
      <c r="D1665" s="15">
        <v>287353</v>
      </c>
      <c r="E1665" s="14">
        <v>76.400000000000006</v>
      </c>
      <c r="F1665" s="14">
        <v>78.650000000000006</v>
      </c>
      <c r="G1665" s="16">
        <v>76.39</v>
      </c>
      <c r="H1665" s="69">
        <f t="shared" si="41"/>
        <v>2.7504911591355707E-2</v>
      </c>
      <c r="O1665" s="1319"/>
      <c r="P1665" s="1319"/>
      <c r="Q1665" s="35">
        <v>44748</v>
      </c>
      <c r="R1665" s="36">
        <v>2.9300000000000003E-2</v>
      </c>
      <c r="S1665" s="37">
        <v>2.9600000000000001E-2</v>
      </c>
    </row>
    <row r="1666" spans="1:19" x14ac:dyDescent="0.2">
      <c r="A1666" s="1"/>
      <c r="B1666" s="13">
        <v>43298</v>
      </c>
      <c r="C1666" s="14">
        <v>76.349999999999994</v>
      </c>
      <c r="D1666" s="15">
        <v>231648</v>
      </c>
      <c r="E1666" s="14">
        <v>74.8</v>
      </c>
      <c r="F1666" s="14">
        <v>76.650000000000006</v>
      </c>
      <c r="G1666" s="16">
        <v>74.599999999999994</v>
      </c>
      <c r="H1666" s="69">
        <f t="shared" si="41"/>
        <v>2.3458445040214437E-2</v>
      </c>
      <c r="O1666" s="1319"/>
      <c r="P1666" s="1319"/>
      <c r="Q1666" s="35">
        <v>44749</v>
      </c>
      <c r="R1666" s="36">
        <v>3.0099999999999998E-2</v>
      </c>
      <c r="S1666" s="37">
        <v>3.0499999999999999E-2</v>
      </c>
    </row>
    <row r="1667" spans="1:19" x14ac:dyDescent="0.2">
      <c r="A1667" s="1"/>
      <c r="B1667" s="13">
        <v>43297</v>
      </c>
      <c r="C1667" s="14">
        <v>74.599999999999994</v>
      </c>
      <c r="D1667" s="15">
        <v>454632</v>
      </c>
      <c r="E1667" s="14">
        <v>77</v>
      </c>
      <c r="F1667" s="14">
        <v>78</v>
      </c>
      <c r="G1667" s="16">
        <v>73.400000000000006</v>
      </c>
      <c r="H1667" s="69">
        <f t="shared" si="41"/>
        <v>-2.547354670150237E-2</v>
      </c>
      <c r="O1667" s="1319"/>
      <c r="P1667" s="1319"/>
      <c r="Q1667" s="35">
        <v>44750</v>
      </c>
      <c r="R1667" s="36">
        <v>3.0899999999999997E-2</v>
      </c>
      <c r="S1667" s="37">
        <v>3.1300000000000001E-2</v>
      </c>
    </row>
    <row r="1668" spans="1:19" x14ac:dyDescent="0.2">
      <c r="A1668" s="1"/>
      <c r="B1668" s="13">
        <v>43294</v>
      </c>
      <c r="C1668" s="14">
        <v>76.55</v>
      </c>
      <c r="D1668" s="15">
        <v>211668</v>
      </c>
      <c r="E1668" s="14">
        <v>76.599999999999994</v>
      </c>
      <c r="F1668" s="14">
        <v>78.349999999999994</v>
      </c>
      <c r="G1668" s="16">
        <v>75.900000000000006</v>
      </c>
      <c r="H1668" s="69">
        <f t="shared" si="41"/>
        <v>-8.4196891191710144E-3</v>
      </c>
      <c r="O1668" s="1319"/>
      <c r="P1668" s="1319"/>
      <c r="Q1668" s="35">
        <v>44753</v>
      </c>
      <c r="R1668" s="36">
        <v>2.9900000000000003E-2</v>
      </c>
      <c r="S1668" s="37">
        <v>3.0499999999999999E-2</v>
      </c>
    </row>
    <row r="1669" spans="1:19" x14ac:dyDescent="0.2">
      <c r="A1669" s="1"/>
      <c r="B1669" s="13">
        <v>43293</v>
      </c>
      <c r="C1669" s="14">
        <v>77.2</v>
      </c>
      <c r="D1669" s="15">
        <v>224773</v>
      </c>
      <c r="E1669" s="14">
        <v>77.25</v>
      </c>
      <c r="F1669" s="14">
        <v>77.793800000000005</v>
      </c>
      <c r="G1669" s="16">
        <v>76.2</v>
      </c>
      <c r="H1669" s="69">
        <f t="shared" si="41"/>
        <v>5.2083333333334814E-3</v>
      </c>
      <c r="O1669" s="1319"/>
      <c r="P1669" s="1319"/>
      <c r="Q1669" s="35">
        <v>44754</v>
      </c>
      <c r="R1669" s="36">
        <v>2.9600000000000001E-2</v>
      </c>
      <c r="S1669" s="37">
        <v>3.0099999999999998E-2</v>
      </c>
    </row>
    <row r="1670" spans="1:19" x14ac:dyDescent="0.2">
      <c r="A1670" s="1"/>
      <c r="B1670" s="13">
        <v>43292</v>
      </c>
      <c r="C1670" s="14">
        <v>76.8</v>
      </c>
      <c r="D1670" s="15">
        <v>283975</v>
      </c>
      <c r="E1670" s="14">
        <v>78.8</v>
      </c>
      <c r="F1670" s="14">
        <v>79.25</v>
      </c>
      <c r="G1670" s="16">
        <v>75.95</v>
      </c>
      <c r="H1670" s="69">
        <f t="shared" si="41"/>
        <v>-3.0914826498422698E-2</v>
      </c>
      <c r="O1670" s="1319"/>
      <c r="P1670" s="1319"/>
      <c r="Q1670" s="35">
        <v>44755</v>
      </c>
      <c r="R1670" s="36">
        <v>2.9100000000000001E-2</v>
      </c>
      <c r="S1670" s="37">
        <v>3.0200000000000001E-2</v>
      </c>
    </row>
    <row r="1671" spans="1:19" x14ac:dyDescent="0.2">
      <c r="A1671" s="1"/>
      <c r="B1671" s="13">
        <v>43291</v>
      </c>
      <c r="C1671" s="14">
        <v>79.25</v>
      </c>
      <c r="D1671" s="15">
        <v>222574</v>
      </c>
      <c r="E1671" s="14">
        <v>82.25</v>
      </c>
      <c r="F1671" s="14">
        <v>82.9</v>
      </c>
      <c r="G1671" s="16">
        <v>78.7</v>
      </c>
      <c r="H1671" s="69">
        <f t="shared" si="41"/>
        <v>-3.2946918852959195E-2</v>
      </c>
      <c r="O1671" s="1319"/>
      <c r="P1671" s="1319"/>
      <c r="Q1671" s="35">
        <v>44756</v>
      </c>
      <c r="R1671" s="36">
        <v>2.9600000000000001E-2</v>
      </c>
      <c r="S1671" s="37">
        <v>3.0600000000000002E-2</v>
      </c>
    </row>
    <row r="1672" spans="1:19" x14ac:dyDescent="0.2">
      <c r="A1672" s="1"/>
      <c r="B1672" s="13">
        <v>43290</v>
      </c>
      <c r="C1672" s="14">
        <v>81.95</v>
      </c>
      <c r="D1672" s="15">
        <v>282924</v>
      </c>
      <c r="E1672" s="14">
        <v>81.7</v>
      </c>
      <c r="F1672" s="14">
        <v>82.275000000000006</v>
      </c>
      <c r="G1672" s="16">
        <v>80.75</v>
      </c>
      <c r="H1672" s="69">
        <f t="shared" si="41"/>
        <v>1.2978986402966575E-2</v>
      </c>
      <c r="O1672" s="1319"/>
      <c r="P1672" s="1319"/>
      <c r="Q1672" s="35">
        <v>44757</v>
      </c>
      <c r="R1672" s="36">
        <v>2.9300000000000003E-2</v>
      </c>
      <c r="S1672" s="37">
        <v>3.0499999999999999E-2</v>
      </c>
    </row>
    <row r="1673" spans="1:19" x14ac:dyDescent="0.2">
      <c r="A1673" s="1"/>
      <c r="B1673" s="13">
        <v>43287</v>
      </c>
      <c r="C1673" s="14">
        <v>80.900000000000006</v>
      </c>
      <c r="D1673" s="15">
        <v>169267</v>
      </c>
      <c r="E1673" s="14">
        <v>79.599999999999994</v>
      </c>
      <c r="F1673" s="14">
        <v>82</v>
      </c>
      <c r="G1673" s="16">
        <v>78.95</v>
      </c>
      <c r="H1673" s="69">
        <f t="shared" si="41"/>
        <v>1.6970458830924073E-2</v>
      </c>
      <c r="O1673" s="1319"/>
      <c r="P1673" s="1319"/>
      <c r="Q1673" s="35">
        <v>44760</v>
      </c>
      <c r="R1673" s="36">
        <v>2.9600000000000001E-2</v>
      </c>
      <c r="S1673" s="37">
        <v>3.0600000000000002E-2</v>
      </c>
    </row>
    <row r="1674" spans="1:19" x14ac:dyDescent="0.2">
      <c r="A1674" s="1"/>
      <c r="B1674" s="13">
        <v>43286</v>
      </c>
      <c r="C1674" s="14">
        <v>79.55</v>
      </c>
      <c r="D1674" s="15">
        <v>215989</v>
      </c>
      <c r="E1674" s="14">
        <v>80.55</v>
      </c>
      <c r="F1674" s="14">
        <v>80.55</v>
      </c>
      <c r="G1674" s="16">
        <v>78.75</v>
      </c>
      <c r="H1674" s="69">
        <f t="shared" si="41"/>
        <v>-2.5078369905956466E-3</v>
      </c>
      <c r="O1674" s="1319"/>
      <c r="P1674" s="1319"/>
      <c r="Q1674" s="35">
        <v>44761</v>
      </c>
      <c r="R1674" s="36">
        <v>3.0099999999999998E-2</v>
      </c>
      <c r="S1674" s="37">
        <v>3.1400000000000004E-2</v>
      </c>
    </row>
    <row r="1675" spans="1:19" x14ac:dyDescent="0.2">
      <c r="A1675" s="1"/>
      <c r="B1675" s="13">
        <v>43284</v>
      </c>
      <c r="C1675" s="14">
        <v>79.75</v>
      </c>
      <c r="D1675" s="15">
        <v>88963</v>
      </c>
      <c r="E1675" s="14">
        <v>80.900000000000006</v>
      </c>
      <c r="F1675" s="14">
        <v>81.7</v>
      </c>
      <c r="G1675" s="16">
        <v>79.599999999999994</v>
      </c>
      <c r="H1675" s="69">
        <f t="shared" si="41"/>
        <v>-8.7010565568677034E-3</v>
      </c>
      <c r="O1675" s="1319"/>
      <c r="P1675" s="1319"/>
      <c r="Q1675" s="35">
        <v>44762</v>
      </c>
      <c r="R1675" s="36">
        <v>3.04E-2</v>
      </c>
      <c r="S1675" s="37">
        <v>3.1800000000000002E-2</v>
      </c>
    </row>
    <row r="1676" spans="1:19" x14ac:dyDescent="0.2">
      <c r="A1676" s="1"/>
      <c r="B1676" s="13">
        <v>43283</v>
      </c>
      <c r="C1676" s="14">
        <v>80.45</v>
      </c>
      <c r="D1676" s="15">
        <v>195273</v>
      </c>
      <c r="E1676" s="14">
        <v>80.25</v>
      </c>
      <c r="F1676" s="14">
        <v>81.349999999999994</v>
      </c>
      <c r="G1676" s="16">
        <v>80.05</v>
      </c>
      <c r="H1676" s="69">
        <f t="shared" si="41"/>
        <v>-4.9474335188619545E-3</v>
      </c>
      <c r="O1676" s="1319"/>
      <c r="P1676" s="1319"/>
      <c r="Q1676" s="35">
        <v>44763</v>
      </c>
      <c r="R1676" s="36">
        <v>2.9100000000000001E-2</v>
      </c>
      <c r="S1676" s="37">
        <v>0.03</v>
      </c>
    </row>
    <row r="1677" spans="1:19" x14ac:dyDescent="0.2">
      <c r="A1677" s="1"/>
      <c r="B1677" s="13">
        <v>43280</v>
      </c>
      <c r="C1677" s="14">
        <v>80.849999999999994</v>
      </c>
      <c r="D1677" s="15">
        <v>156685</v>
      </c>
      <c r="E1677" s="14">
        <v>81.45</v>
      </c>
      <c r="F1677" s="14">
        <v>82.15</v>
      </c>
      <c r="G1677" s="16">
        <v>80.650000000000006</v>
      </c>
      <c r="H1677" s="69">
        <f t="shared" si="41"/>
        <v>-3.6968576709798251E-3</v>
      </c>
      <c r="O1677" s="1319"/>
      <c r="P1677" s="1319"/>
      <c r="Q1677" s="35">
        <v>44764</v>
      </c>
      <c r="R1677" s="36">
        <v>2.7699999999999999E-2</v>
      </c>
      <c r="S1677" s="37">
        <v>2.87E-2</v>
      </c>
    </row>
    <row r="1678" spans="1:19" x14ac:dyDescent="0.2">
      <c r="A1678" s="1"/>
      <c r="B1678" s="13">
        <v>43279</v>
      </c>
      <c r="C1678" s="14">
        <v>81.150000000000006</v>
      </c>
      <c r="D1678" s="15">
        <v>227254</v>
      </c>
      <c r="E1678" s="14">
        <v>79.849999999999994</v>
      </c>
      <c r="F1678" s="14">
        <v>81.150000000000006</v>
      </c>
      <c r="G1678" s="16">
        <v>78.900000000000006</v>
      </c>
      <c r="H1678" s="69">
        <f t="shared" si="41"/>
        <v>1.5644555694618312E-2</v>
      </c>
      <c r="O1678" s="1319"/>
      <c r="P1678" s="1319"/>
      <c r="Q1678" s="35">
        <v>44767</v>
      </c>
      <c r="R1678" s="36">
        <v>2.81E-2</v>
      </c>
      <c r="S1678" s="37">
        <v>2.8900000000000002E-2</v>
      </c>
    </row>
    <row r="1679" spans="1:19" x14ac:dyDescent="0.2">
      <c r="A1679" s="1"/>
      <c r="B1679" s="13">
        <v>43278</v>
      </c>
      <c r="C1679" s="14">
        <v>79.900000000000006</v>
      </c>
      <c r="D1679" s="15">
        <v>232261</v>
      </c>
      <c r="E1679" s="14">
        <v>80.099999999999994</v>
      </c>
      <c r="F1679" s="14">
        <v>81.3</v>
      </c>
      <c r="G1679" s="16">
        <v>79.400000000000006</v>
      </c>
      <c r="H1679" s="69">
        <f t="shared" si="41"/>
        <v>-6.2539086929325194E-4</v>
      </c>
      <c r="O1679" s="1319"/>
      <c r="P1679" s="1319"/>
      <c r="Q1679" s="35">
        <v>44768</v>
      </c>
      <c r="R1679" s="36">
        <v>2.81E-2</v>
      </c>
      <c r="S1679" s="37">
        <v>2.8900000000000002E-2</v>
      </c>
    </row>
    <row r="1680" spans="1:19" x14ac:dyDescent="0.2">
      <c r="A1680" s="1"/>
      <c r="B1680" s="13">
        <v>43277</v>
      </c>
      <c r="C1680" s="14">
        <v>79.95</v>
      </c>
      <c r="D1680" s="15">
        <v>168829</v>
      </c>
      <c r="E1680" s="14">
        <v>79.75</v>
      </c>
      <c r="F1680" s="14">
        <v>80.400000000000006</v>
      </c>
      <c r="G1680" s="16">
        <v>78.849999999999994</v>
      </c>
      <c r="H1680" s="69">
        <f t="shared" si="41"/>
        <v>4.3969849246232595E-3</v>
      </c>
      <c r="O1680" s="1319"/>
      <c r="P1680" s="1319"/>
      <c r="Q1680" s="35">
        <v>44769</v>
      </c>
      <c r="R1680" s="36">
        <v>2.7799999999999998E-2</v>
      </c>
      <c r="S1680" s="37">
        <v>2.8199999999999999E-2</v>
      </c>
    </row>
    <row r="1681" spans="1:19" x14ac:dyDescent="0.2">
      <c r="A1681" s="1"/>
      <c r="B1681" s="13">
        <v>43276</v>
      </c>
      <c r="C1681" s="14">
        <v>79.599999999999994</v>
      </c>
      <c r="D1681" s="15">
        <v>200789</v>
      </c>
      <c r="E1681" s="14">
        <v>82.3</v>
      </c>
      <c r="F1681" s="14">
        <v>82.3</v>
      </c>
      <c r="G1681" s="16">
        <v>79</v>
      </c>
      <c r="H1681" s="69">
        <f t="shared" si="41"/>
        <v>-3.8066465256797688E-2</v>
      </c>
      <c r="O1681" s="1319"/>
      <c r="P1681" s="1319"/>
      <c r="Q1681" s="35">
        <v>44770</v>
      </c>
      <c r="R1681" s="36">
        <v>2.6800000000000001E-2</v>
      </c>
      <c r="S1681" s="37">
        <v>2.69E-2</v>
      </c>
    </row>
    <row r="1682" spans="1:19" x14ac:dyDescent="0.2">
      <c r="A1682" s="1"/>
      <c r="B1682" s="13">
        <v>43273</v>
      </c>
      <c r="C1682" s="14">
        <v>82.75</v>
      </c>
      <c r="D1682" s="15">
        <v>561513</v>
      </c>
      <c r="E1682" s="14">
        <v>82.5</v>
      </c>
      <c r="F1682" s="14">
        <v>83.75</v>
      </c>
      <c r="G1682" s="16">
        <v>81.7</v>
      </c>
      <c r="H1682" s="69">
        <f t="shared" si="41"/>
        <v>1.2851897184822381E-2</v>
      </c>
      <c r="O1682" s="1319"/>
      <c r="P1682" s="1319"/>
      <c r="Q1682" s="35">
        <v>44771</v>
      </c>
      <c r="R1682" s="36">
        <v>2.6699999999999998E-2</v>
      </c>
      <c r="S1682" s="37">
        <v>2.7000000000000003E-2</v>
      </c>
    </row>
    <row r="1683" spans="1:19" x14ac:dyDescent="0.2">
      <c r="A1683" s="1"/>
      <c r="B1683" s="13">
        <v>43272</v>
      </c>
      <c r="C1683" s="14">
        <v>81.7</v>
      </c>
      <c r="D1683" s="15">
        <v>211251</v>
      </c>
      <c r="E1683" s="14">
        <v>82.7</v>
      </c>
      <c r="F1683" s="14">
        <v>82.7</v>
      </c>
      <c r="G1683" s="16">
        <v>81.075000000000003</v>
      </c>
      <c r="H1683" s="69">
        <f t="shared" si="41"/>
        <v>-1.0895883777239601E-2</v>
      </c>
      <c r="O1683" s="1319"/>
      <c r="P1683" s="1319"/>
      <c r="Q1683" s="35">
        <v>44774</v>
      </c>
      <c r="R1683" s="36">
        <v>2.6000000000000002E-2</v>
      </c>
      <c r="S1683" s="37">
        <v>2.6600000000000002E-2</v>
      </c>
    </row>
    <row r="1684" spans="1:19" x14ac:dyDescent="0.2">
      <c r="A1684" s="1"/>
      <c r="B1684" s="13">
        <v>43271</v>
      </c>
      <c r="C1684" s="14">
        <v>82.6</v>
      </c>
      <c r="D1684" s="15">
        <v>361277</v>
      </c>
      <c r="E1684" s="14">
        <v>80.825000000000003</v>
      </c>
      <c r="F1684" s="14">
        <v>83</v>
      </c>
      <c r="G1684" s="16">
        <v>79.349999999999994</v>
      </c>
      <c r="H1684" s="69">
        <f t="shared" si="41"/>
        <v>9.1631032376298105E-3</v>
      </c>
      <c r="O1684" s="1319"/>
      <c r="P1684" s="1319"/>
      <c r="Q1684" s="35">
        <v>44775</v>
      </c>
      <c r="R1684" s="36">
        <v>2.75E-2</v>
      </c>
      <c r="S1684" s="37">
        <v>2.8500000000000001E-2</v>
      </c>
    </row>
    <row r="1685" spans="1:19" x14ac:dyDescent="0.2">
      <c r="A1685" s="1"/>
      <c r="B1685" s="13">
        <v>43270</v>
      </c>
      <c r="C1685" s="14">
        <v>81.849999999999994</v>
      </c>
      <c r="D1685" s="15">
        <v>302408</v>
      </c>
      <c r="E1685" s="14">
        <v>83.55</v>
      </c>
      <c r="F1685" s="14">
        <v>84.4</v>
      </c>
      <c r="G1685" s="16">
        <v>80.5</v>
      </c>
      <c r="H1685" s="69">
        <f t="shared" si="41"/>
        <v>-1.9760479041916246E-2</v>
      </c>
      <c r="O1685" s="1319"/>
      <c r="P1685" s="1319"/>
      <c r="Q1685" s="35">
        <v>44776</v>
      </c>
      <c r="R1685" s="36">
        <v>2.7300000000000001E-2</v>
      </c>
      <c r="S1685" s="37">
        <v>2.86E-2</v>
      </c>
    </row>
    <row r="1686" spans="1:19" x14ac:dyDescent="0.2">
      <c r="A1686" s="1"/>
      <c r="B1686" s="13">
        <v>43269</v>
      </c>
      <c r="C1686" s="14">
        <v>83.5</v>
      </c>
      <c r="D1686" s="15">
        <v>334183</v>
      </c>
      <c r="E1686" s="14">
        <v>82.05</v>
      </c>
      <c r="F1686" s="14">
        <v>84.4</v>
      </c>
      <c r="G1686" s="16">
        <v>81.2</v>
      </c>
      <c r="H1686" s="69">
        <f t="shared" si="41"/>
        <v>-7.1343638525563913E-3</v>
      </c>
      <c r="O1686" s="1319"/>
      <c r="P1686" s="1319"/>
      <c r="Q1686" s="35">
        <v>44777</v>
      </c>
      <c r="R1686" s="36">
        <v>2.6800000000000001E-2</v>
      </c>
      <c r="S1686" s="37">
        <v>2.76E-2</v>
      </c>
    </row>
    <row r="1687" spans="1:19" x14ac:dyDescent="0.2">
      <c r="A1687" s="1"/>
      <c r="B1687" s="13">
        <v>43266</v>
      </c>
      <c r="C1687" s="14">
        <v>84.1</v>
      </c>
      <c r="D1687" s="15">
        <v>339332</v>
      </c>
      <c r="E1687" s="14">
        <v>82.5</v>
      </c>
      <c r="F1687" s="14">
        <v>84.85</v>
      </c>
      <c r="G1687" s="16">
        <v>81.95</v>
      </c>
      <c r="H1687" s="69">
        <f t="shared" si="41"/>
        <v>1.5700483091787509E-2</v>
      </c>
      <c r="O1687" s="1319"/>
      <c r="P1687" s="1319"/>
      <c r="Q1687" s="35">
        <v>44778</v>
      </c>
      <c r="R1687" s="36">
        <v>2.8300000000000002E-2</v>
      </c>
      <c r="S1687" s="37">
        <v>2.9700000000000001E-2</v>
      </c>
    </row>
    <row r="1688" spans="1:19" x14ac:dyDescent="0.2">
      <c r="A1688" s="1"/>
      <c r="B1688" s="13">
        <v>43265</v>
      </c>
      <c r="C1688" s="14">
        <v>82.8</v>
      </c>
      <c r="D1688" s="15">
        <v>249554</v>
      </c>
      <c r="E1688" s="14">
        <v>84.55</v>
      </c>
      <c r="F1688" s="14">
        <v>84.55</v>
      </c>
      <c r="G1688" s="16">
        <v>82.6</v>
      </c>
      <c r="H1688" s="69">
        <f t="shared" si="41"/>
        <v>-1.4872099940511641E-2</v>
      </c>
      <c r="O1688" s="1319"/>
      <c r="P1688" s="1319"/>
      <c r="Q1688" s="35">
        <v>44781</v>
      </c>
      <c r="R1688" s="36">
        <v>2.7699999999999999E-2</v>
      </c>
      <c r="S1688" s="37">
        <v>2.9100000000000001E-2</v>
      </c>
    </row>
    <row r="1689" spans="1:19" x14ac:dyDescent="0.2">
      <c r="A1689" s="1"/>
      <c r="B1689" s="13">
        <v>43264</v>
      </c>
      <c r="C1689" s="14">
        <v>84.05</v>
      </c>
      <c r="D1689" s="15">
        <v>265194</v>
      </c>
      <c r="E1689" s="14">
        <v>86.2</v>
      </c>
      <c r="F1689" s="14">
        <v>86.7</v>
      </c>
      <c r="G1689" s="16">
        <v>84.05</v>
      </c>
      <c r="H1689" s="69">
        <f t="shared" si="41"/>
        <v>-3.0565167243367997E-2</v>
      </c>
      <c r="O1689" s="1319"/>
      <c r="P1689" s="1319"/>
      <c r="Q1689" s="35">
        <v>44782</v>
      </c>
      <c r="R1689" s="36">
        <v>2.7999999999999997E-2</v>
      </c>
      <c r="S1689" s="37">
        <v>2.9700000000000001E-2</v>
      </c>
    </row>
    <row r="1690" spans="1:19" x14ac:dyDescent="0.2">
      <c r="A1690" s="1"/>
      <c r="B1690" s="13">
        <v>43263</v>
      </c>
      <c r="C1690" s="14">
        <v>86.7</v>
      </c>
      <c r="D1690" s="15">
        <v>153240</v>
      </c>
      <c r="E1690" s="14">
        <v>86.3</v>
      </c>
      <c r="F1690" s="14">
        <v>87.05</v>
      </c>
      <c r="G1690" s="16">
        <v>85.7</v>
      </c>
      <c r="H1690" s="69">
        <f t="shared" si="41"/>
        <v>9.3131548311990997E-3</v>
      </c>
      <c r="O1690" s="1319"/>
      <c r="P1690" s="1319"/>
      <c r="Q1690" s="35">
        <v>44783</v>
      </c>
      <c r="R1690" s="36">
        <v>2.7799999999999998E-2</v>
      </c>
      <c r="S1690" s="37">
        <v>2.9300000000000003E-2</v>
      </c>
    </row>
    <row r="1691" spans="1:19" x14ac:dyDescent="0.2">
      <c r="A1691" s="1"/>
      <c r="B1691" s="13">
        <v>43262</v>
      </c>
      <c r="C1691" s="14">
        <v>85.9</v>
      </c>
      <c r="D1691" s="15">
        <v>183010</v>
      </c>
      <c r="E1691" s="14">
        <v>83.9</v>
      </c>
      <c r="F1691" s="14">
        <v>86.85</v>
      </c>
      <c r="G1691" s="16">
        <v>83.9</v>
      </c>
      <c r="H1691" s="69">
        <f t="shared" si="41"/>
        <v>2.6897788404064649E-2</v>
      </c>
      <c r="O1691" s="1319"/>
      <c r="P1691" s="1319"/>
      <c r="Q1691" s="35">
        <v>44784</v>
      </c>
      <c r="R1691" s="36">
        <v>2.87E-2</v>
      </c>
      <c r="S1691" s="37">
        <v>2.98E-2</v>
      </c>
    </row>
    <row r="1692" spans="1:19" x14ac:dyDescent="0.2">
      <c r="A1692" s="1"/>
      <c r="B1692" s="13">
        <v>43259</v>
      </c>
      <c r="C1692" s="14">
        <v>83.65</v>
      </c>
      <c r="D1692" s="15">
        <v>207646</v>
      </c>
      <c r="E1692" s="14">
        <v>82.6</v>
      </c>
      <c r="F1692" s="14">
        <v>83.875</v>
      </c>
      <c r="G1692" s="16">
        <v>82.5</v>
      </c>
      <c r="H1692" s="69">
        <f t="shared" si="41"/>
        <v>1.0876132930513593E-2</v>
      </c>
      <c r="O1692" s="1319"/>
      <c r="P1692" s="1319"/>
      <c r="Q1692" s="35">
        <v>44785</v>
      </c>
      <c r="R1692" s="36">
        <v>2.8399999999999998E-2</v>
      </c>
      <c r="S1692" s="37">
        <v>2.9700000000000001E-2</v>
      </c>
    </row>
    <row r="1693" spans="1:19" x14ac:dyDescent="0.2">
      <c r="A1693" s="1"/>
      <c r="B1693" s="13">
        <v>43258</v>
      </c>
      <c r="C1693" s="14">
        <v>82.75</v>
      </c>
      <c r="D1693" s="15">
        <v>176698</v>
      </c>
      <c r="E1693" s="14">
        <v>80.5</v>
      </c>
      <c r="F1693" s="14">
        <v>83.15</v>
      </c>
      <c r="G1693" s="16">
        <v>80.5</v>
      </c>
      <c r="H1693" s="69">
        <f t="shared" si="41"/>
        <v>3.3728919425359161E-2</v>
      </c>
      <c r="O1693" s="1319"/>
      <c r="P1693" s="1319"/>
      <c r="Q1693" s="35">
        <v>44788</v>
      </c>
      <c r="R1693" s="36">
        <v>2.7900000000000001E-2</v>
      </c>
      <c r="S1693" s="37">
        <v>2.9100000000000001E-2</v>
      </c>
    </row>
    <row r="1694" spans="1:19" x14ac:dyDescent="0.2">
      <c r="A1694" s="1"/>
      <c r="B1694" s="13">
        <v>43257</v>
      </c>
      <c r="C1694" s="14">
        <v>80.05</v>
      </c>
      <c r="D1694" s="15">
        <v>216387</v>
      </c>
      <c r="E1694" s="14">
        <v>80.349999999999994</v>
      </c>
      <c r="F1694" s="14">
        <v>80.849999999999994</v>
      </c>
      <c r="G1694" s="16">
        <v>78.3</v>
      </c>
      <c r="H1694" s="69">
        <f t="shared" si="41"/>
        <v>-1.8703241895262623E-3</v>
      </c>
      <c r="O1694" s="1319"/>
      <c r="P1694" s="1319"/>
      <c r="Q1694" s="35">
        <v>44789</v>
      </c>
      <c r="R1694" s="36">
        <v>2.8199999999999999E-2</v>
      </c>
      <c r="S1694" s="37">
        <v>2.9500000000000002E-2</v>
      </c>
    </row>
    <row r="1695" spans="1:19" x14ac:dyDescent="0.2">
      <c r="A1695" s="1"/>
      <c r="B1695" s="13">
        <v>43256</v>
      </c>
      <c r="C1695" s="14">
        <v>80.2</v>
      </c>
      <c r="D1695" s="15">
        <v>274754</v>
      </c>
      <c r="E1695" s="14">
        <v>80</v>
      </c>
      <c r="F1695" s="14">
        <v>81.900000000000006</v>
      </c>
      <c r="G1695" s="16">
        <v>78.625</v>
      </c>
      <c r="H1695" s="69">
        <f t="shared" si="41"/>
        <v>6.2383031815338441E-4</v>
      </c>
      <c r="O1695" s="1319"/>
      <c r="P1695" s="1319"/>
      <c r="Q1695" s="35">
        <v>44790</v>
      </c>
      <c r="R1695" s="36">
        <v>2.8900000000000002E-2</v>
      </c>
      <c r="S1695" s="37">
        <v>3.04E-2</v>
      </c>
    </row>
    <row r="1696" spans="1:19" x14ac:dyDescent="0.2">
      <c r="A1696" s="1"/>
      <c r="B1696" s="13">
        <v>43255</v>
      </c>
      <c r="C1696" s="14">
        <v>80.150000000000006</v>
      </c>
      <c r="D1696" s="15">
        <v>242324</v>
      </c>
      <c r="E1696" s="14">
        <v>82.85</v>
      </c>
      <c r="F1696" s="14">
        <v>84.275000000000006</v>
      </c>
      <c r="G1696" s="16">
        <v>79.2</v>
      </c>
      <c r="H1696" s="69">
        <f t="shared" si="41"/>
        <v>-2.8484848484848446E-2</v>
      </c>
      <c r="O1696" s="1319"/>
      <c r="P1696" s="1319"/>
      <c r="Q1696" s="35">
        <v>44791</v>
      </c>
      <c r="R1696" s="36">
        <v>2.8799999999999999E-2</v>
      </c>
      <c r="S1696" s="37">
        <v>3.0200000000000001E-2</v>
      </c>
    </row>
    <row r="1697" spans="1:19" x14ac:dyDescent="0.2">
      <c r="A1697" s="1"/>
      <c r="B1697" s="13">
        <v>43252</v>
      </c>
      <c r="C1697" s="14">
        <v>82.5</v>
      </c>
      <c r="D1697" s="15">
        <v>294085</v>
      </c>
      <c r="E1697" s="14">
        <v>82.95</v>
      </c>
      <c r="F1697" s="14">
        <v>83.75</v>
      </c>
      <c r="G1697" s="16">
        <v>81.825000000000003</v>
      </c>
      <c r="H1697" s="69">
        <f t="shared" si="41"/>
        <v>1.2135922330096527E-3</v>
      </c>
      <c r="O1697" s="1319"/>
      <c r="P1697" s="1319"/>
      <c r="Q1697" s="35">
        <v>44792</v>
      </c>
      <c r="R1697" s="36">
        <v>2.98E-2</v>
      </c>
      <c r="S1697" s="37">
        <v>3.1099999999999999E-2</v>
      </c>
    </row>
    <row r="1698" spans="1:19" x14ac:dyDescent="0.2">
      <c r="A1698" s="1"/>
      <c r="B1698" s="13">
        <v>43251</v>
      </c>
      <c r="C1698" s="14">
        <v>82.4</v>
      </c>
      <c r="D1698" s="15">
        <v>211769</v>
      </c>
      <c r="E1698" s="14">
        <v>84.15</v>
      </c>
      <c r="F1698" s="14">
        <v>84.45</v>
      </c>
      <c r="G1698" s="16">
        <v>81.724999999999994</v>
      </c>
      <c r="H1698" s="69">
        <f t="shared" si="41"/>
        <v>-1.9631171921475232E-2</v>
      </c>
      <c r="O1698" s="1319"/>
      <c r="P1698" s="1319"/>
      <c r="Q1698" s="35">
        <v>44795</v>
      </c>
      <c r="R1698" s="36">
        <v>3.0299999999999997E-2</v>
      </c>
      <c r="S1698" s="37">
        <v>3.1699999999999999E-2</v>
      </c>
    </row>
    <row r="1699" spans="1:19" x14ac:dyDescent="0.2">
      <c r="A1699" s="1"/>
      <c r="B1699" s="13">
        <v>43250</v>
      </c>
      <c r="C1699" s="14">
        <v>84.05</v>
      </c>
      <c r="D1699" s="15">
        <v>201479</v>
      </c>
      <c r="E1699" s="14">
        <v>82.5</v>
      </c>
      <c r="F1699" s="14">
        <v>84.45</v>
      </c>
      <c r="G1699" s="16">
        <v>82.5</v>
      </c>
      <c r="H1699" s="69">
        <f t="shared" si="41"/>
        <v>2.4999999999999911E-2</v>
      </c>
      <c r="O1699" s="1319"/>
      <c r="P1699" s="1319"/>
      <c r="Q1699" s="35">
        <v>44796</v>
      </c>
      <c r="R1699" s="36">
        <v>3.0499999999999999E-2</v>
      </c>
      <c r="S1699" s="37">
        <v>3.1800000000000002E-2</v>
      </c>
    </row>
    <row r="1700" spans="1:19" x14ac:dyDescent="0.2">
      <c r="A1700" s="1"/>
      <c r="B1700" s="13">
        <v>43249</v>
      </c>
      <c r="C1700" s="14">
        <v>82</v>
      </c>
      <c r="D1700" s="15">
        <v>195082</v>
      </c>
      <c r="E1700" s="14">
        <v>82.1</v>
      </c>
      <c r="F1700" s="14">
        <v>83.35</v>
      </c>
      <c r="G1700" s="16">
        <v>81</v>
      </c>
      <c r="H1700" s="69">
        <f t="shared" si="41"/>
        <v>-3.0395136778115228E-3</v>
      </c>
      <c r="O1700" s="1319"/>
      <c r="P1700" s="1319"/>
      <c r="Q1700" s="35">
        <v>44797</v>
      </c>
      <c r="R1700" s="36">
        <v>3.1099999999999999E-2</v>
      </c>
      <c r="S1700" s="37">
        <v>3.2000000000000001E-2</v>
      </c>
    </row>
    <row r="1701" spans="1:19" x14ac:dyDescent="0.2">
      <c r="A1701" s="1"/>
      <c r="B1701" s="13">
        <v>43245</v>
      </c>
      <c r="C1701" s="14">
        <v>82.25</v>
      </c>
      <c r="D1701" s="15">
        <v>171718</v>
      </c>
      <c r="E1701" s="14">
        <v>81.25</v>
      </c>
      <c r="F1701" s="14">
        <v>82.8</v>
      </c>
      <c r="G1701" s="16">
        <v>79.25</v>
      </c>
      <c r="H1701" s="69">
        <f t="shared" si="41"/>
        <v>8.2745939319643913E-3</v>
      </c>
      <c r="O1701" s="1319"/>
      <c r="P1701" s="1319"/>
      <c r="Q1701" s="35">
        <v>44798</v>
      </c>
      <c r="R1701" s="36">
        <v>3.0299999999999997E-2</v>
      </c>
      <c r="S1701" s="37">
        <v>3.15E-2</v>
      </c>
    </row>
    <row r="1702" spans="1:19" x14ac:dyDescent="0.2">
      <c r="A1702" s="1"/>
      <c r="B1702" s="13">
        <v>43244</v>
      </c>
      <c r="C1702" s="14">
        <v>81.575000000000003</v>
      </c>
      <c r="D1702" s="15">
        <v>206302</v>
      </c>
      <c r="E1702" s="14">
        <v>78.95</v>
      </c>
      <c r="F1702" s="14">
        <v>81.75</v>
      </c>
      <c r="G1702" s="16">
        <v>78.95</v>
      </c>
      <c r="H1702" s="69">
        <f t="shared" si="41"/>
        <v>2.9337539432176651E-2</v>
      </c>
      <c r="O1702" s="1319"/>
      <c r="P1702" s="1319"/>
      <c r="Q1702" s="35">
        <v>44799</v>
      </c>
      <c r="R1702" s="36">
        <v>3.04E-2</v>
      </c>
      <c r="S1702" s="37">
        <v>3.2000000000000001E-2</v>
      </c>
    </row>
    <row r="1703" spans="1:19" x14ac:dyDescent="0.2">
      <c r="A1703" s="1"/>
      <c r="B1703" s="13">
        <v>43243</v>
      </c>
      <c r="C1703" s="14">
        <v>79.25</v>
      </c>
      <c r="D1703" s="15">
        <v>114951</v>
      </c>
      <c r="E1703" s="14">
        <v>78.5</v>
      </c>
      <c r="F1703" s="14">
        <v>79.474999999999994</v>
      </c>
      <c r="G1703" s="16">
        <v>77.55</v>
      </c>
      <c r="H1703" s="69">
        <f t="shared" si="41"/>
        <v>8.269720101781175E-3</v>
      </c>
      <c r="O1703" s="1319"/>
      <c r="P1703" s="1319"/>
      <c r="Q1703" s="35">
        <v>44802</v>
      </c>
      <c r="R1703" s="36">
        <v>3.1200000000000002E-2</v>
      </c>
      <c r="S1703" s="37">
        <v>3.27E-2</v>
      </c>
    </row>
    <row r="1704" spans="1:19" x14ac:dyDescent="0.2">
      <c r="A1704" s="1"/>
      <c r="B1704" s="13">
        <v>43242</v>
      </c>
      <c r="C1704" s="14">
        <v>78.599999999999994</v>
      </c>
      <c r="D1704" s="15">
        <v>177497</v>
      </c>
      <c r="E1704" s="14">
        <v>80.25</v>
      </c>
      <c r="F1704" s="14">
        <v>80.900000000000006</v>
      </c>
      <c r="G1704" s="16">
        <v>78.45</v>
      </c>
      <c r="H1704" s="69">
        <f t="shared" ref="H1704:H1767" si="42">C1704/C1705-1</f>
        <v>-2.1779713752333563E-2</v>
      </c>
      <c r="O1704" s="1319"/>
      <c r="P1704" s="1319"/>
      <c r="Q1704" s="35">
        <v>44803</v>
      </c>
      <c r="R1704" s="36">
        <v>3.1099999999999999E-2</v>
      </c>
      <c r="S1704" s="37">
        <v>3.27E-2</v>
      </c>
    </row>
    <row r="1705" spans="1:19" x14ac:dyDescent="0.2">
      <c r="A1705" s="1"/>
      <c r="B1705" s="13">
        <v>43241</v>
      </c>
      <c r="C1705" s="14">
        <v>80.349999999999994</v>
      </c>
      <c r="D1705" s="15">
        <v>306772</v>
      </c>
      <c r="E1705" s="14">
        <v>77.349999999999994</v>
      </c>
      <c r="F1705" s="14">
        <v>80.400000000000006</v>
      </c>
      <c r="G1705" s="16">
        <v>77.349999999999994</v>
      </c>
      <c r="H1705" s="69">
        <f t="shared" si="42"/>
        <v>4.7588005215123852E-2</v>
      </c>
      <c r="O1705" s="1319"/>
      <c r="P1705" s="1319"/>
      <c r="Q1705" s="35">
        <v>44804</v>
      </c>
      <c r="R1705" s="36">
        <v>3.15E-2</v>
      </c>
      <c r="S1705" s="37">
        <v>3.3000000000000002E-2</v>
      </c>
    </row>
    <row r="1706" spans="1:19" x14ac:dyDescent="0.2">
      <c r="A1706" s="1"/>
      <c r="B1706" s="13">
        <v>43238</v>
      </c>
      <c r="C1706" s="14">
        <v>76.7</v>
      </c>
      <c r="D1706" s="15">
        <v>190268</v>
      </c>
      <c r="E1706" s="14">
        <v>76.099999999999994</v>
      </c>
      <c r="F1706" s="14">
        <v>77.55</v>
      </c>
      <c r="G1706" s="16">
        <v>75.95</v>
      </c>
      <c r="H1706" s="69">
        <f t="shared" si="42"/>
        <v>7.8843626806834877E-3</v>
      </c>
      <c r="O1706" s="1319"/>
      <c r="P1706" s="1319"/>
      <c r="Q1706" s="35">
        <v>44805</v>
      </c>
      <c r="R1706" s="36">
        <v>3.2599999999999997E-2</v>
      </c>
      <c r="S1706" s="37">
        <v>3.39E-2</v>
      </c>
    </row>
    <row r="1707" spans="1:19" x14ac:dyDescent="0.2">
      <c r="A1707" s="1"/>
      <c r="B1707" s="13">
        <v>43237</v>
      </c>
      <c r="C1707" s="14">
        <v>76.099999999999994</v>
      </c>
      <c r="D1707" s="15">
        <v>166313</v>
      </c>
      <c r="E1707" s="14">
        <v>75.7</v>
      </c>
      <c r="F1707" s="14">
        <v>77.325000000000003</v>
      </c>
      <c r="G1707" s="16">
        <v>75.7</v>
      </c>
      <c r="H1707" s="69">
        <f t="shared" si="42"/>
        <v>5.948446794447948E-3</v>
      </c>
      <c r="O1707" s="1319"/>
      <c r="P1707" s="1319"/>
      <c r="Q1707" s="35">
        <v>44806</v>
      </c>
      <c r="R1707" s="36">
        <v>3.2000000000000001E-2</v>
      </c>
      <c r="S1707" s="37">
        <v>3.3000000000000002E-2</v>
      </c>
    </row>
    <row r="1708" spans="1:19" x14ac:dyDescent="0.2">
      <c r="A1708" s="1"/>
      <c r="B1708" s="13">
        <v>43236</v>
      </c>
      <c r="C1708" s="14">
        <v>75.650000000000006</v>
      </c>
      <c r="D1708" s="15">
        <v>136869</v>
      </c>
      <c r="E1708" s="14">
        <v>75.099999999999994</v>
      </c>
      <c r="F1708" s="14">
        <v>76.349999999999994</v>
      </c>
      <c r="G1708" s="16">
        <v>74.974999999999994</v>
      </c>
      <c r="H1708" s="69">
        <f t="shared" si="42"/>
        <v>1.0688042752171167E-2</v>
      </c>
      <c r="O1708" s="1319"/>
      <c r="P1708" s="1319"/>
      <c r="Q1708" s="35">
        <v>44810</v>
      </c>
      <c r="R1708" s="36">
        <v>3.3300000000000003E-2</v>
      </c>
      <c r="S1708" s="37">
        <v>3.4300000000000004E-2</v>
      </c>
    </row>
    <row r="1709" spans="1:19" x14ac:dyDescent="0.2">
      <c r="A1709" s="1"/>
      <c r="B1709" s="13">
        <v>43235</v>
      </c>
      <c r="C1709" s="14">
        <v>74.849999999999994</v>
      </c>
      <c r="D1709" s="15">
        <v>337894</v>
      </c>
      <c r="E1709" s="14">
        <v>76.3</v>
      </c>
      <c r="F1709" s="14">
        <v>76.5</v>
      </c>
      <c r="G1709" s="16">
        <v>74.45</v>
      </c>
      <c r="H1709" s="69">
        <f t="shared" si="42"/>
        <v>-2.6657997399219924E-2</v>
      </c>
      <c r="O1709" s="1319"/>
      <c r="P1709" s="1319"/>
      <c r="Q1709" s="35">
        <v>44811</v>
      </c>
      <c r="R1709" s="36">
        <v>3.27E-2</v>
      </c>
      <c r="S1709" s="37">
        <v>3.3700000000000001E-2</v>
      </c>
    </row>
    <row r="1710" spans="1:19" x14ac:dyDescent="0.2">
      <c r="A1710" s="1"/>
      <c r="B1710" s="13">
        <v>43234</v>
      </c>
      <c r="C1710" s="14">
        <v>76.900000000000006</v>
      </c>
      <c r="D1710" s="15">
        <v>201290</v>
      </c>
      <c r="E1710" s="14">
        <v>76.7</v>
      </c>
      <c r="F1710" s="14">
        <v>77.55</v>
      </c>
      <c r="G1710" s="16">
        <v>75.55</v>
      </c>
      <c r="H1710" s="69">
        <f t="shared" si="42"/>
        <v>-6.4977257959708545E-4</v>
      </c>
      <c r="O1710" s="1319"/>
      <c r="P1710" s="1319"/>
      <c r="Q1710" s="35">
        <v>44812</v>
      </c>
      <c r="R1710" s="36">
        <v>3.2899999999999999E-2</v>
      </c>
      <c r="S1710" s="37">
        <v>3.39E-2</v>
      </c>
    </row>
    <row r="1711" spans="1:19" x14ac:dyDescent="0.2">
      <c r="A1711" s="1"/>
      <c r="B1711" s="13">
        <v>43231</v>
      </c>
      <c r="C1711" s="14">
        <v>76.95</v>
      </c>
      <c r="D1711" s="15">
        <v>181113</v>
      </c>
      <c r="E1711" s="14">
        <v>75.05</v>
      </c>
      <c r="F1711" s="14">
        <v>77.150000000000006</v>
      </c>
      <c r="G1711" s="16">
        <v>74.775000000000006</v>
      </c>
      <c r="H1711" s="69">
        <f t="shared" si="42"/>
        <v>2.736982643524688E-2</v>
      </c>
      <c r="O1711" s="1319"/>
      <c r="P1711" s="1319"/>
      <c r="Q1711" s="35">
        <v>44813</v>
      </c>
      <c r="R1711" s="36">
        <v>3.3300000000000003E-2</v>
      </c>
      <c r="S1711" s="37">
        <v>3.4500000000000003E-2</v>
      </c>
    </row>
    <row r="1712" spans="1:19" x14ac:dyDescent="0.2">
      <c r="A1712" s="1"/>
      <c r="B1712" s="13">
        <v>43230</v>
      </c>
      <c r="C1712" s="14">
        <v>74.900000000000006</v>
      </c>
      <c r="D1712" s="15">
        <v>147420</v>
      </c>
      <c r="E1712" s="14">
        <v>74.8</v>
      </c>
      <c r="F1712" s="14">
        <v>75.75</v>
      </c>
      <c r="G1712" s="16">
        <v>74.25</v>
      </c>
      <c r="H1712" s="69">
        <f t="shared" si="42"/>
        <v>5.369127516778649E-3</v>
      </c>
      <c r="O1712" s="1319"/>
      <c r="P1712" s="1319"/>
      <c r="Q1712" s="35">
        <v>44816</v>
      </c>
      <c r="R1712" s="36">
        <v>3.3700000000000001E-2</v>
      </c>
      <c r="S1712" s="37">
        <v>3.4700000000000002E-2</v>
      </c>
    </row>
    <row r="1713" spans="1:19" x14ac:dyDescent="0.2">
      <c r="A1713" s="1"/>
      <c r="B1713" s="13">
        <v>43229</v>
      </c>
      <c r="C1713" s="14">
        <v>74.5</v>
      </c>
      <c r="D1713" s="15">
        <v>173994</v>
      </c>
      <c r="E1713" s="14">
        <v>73.8</v>
      </c>
      <c r="F1713" s="14">
        <v>74.900000000000006</v>
      </c>
      <c r="G1713" s="16">
        <v>72.8</v>
      </c>
      <c r="H1713" s="69">
        <f t="shared" si="42"/>
        <v>1.2228260869565188E-2</v>
      </c>
      <c r="O1713" s="1319"/>
      <c r="P1713" s="1319"/>
      <c r="Q1713" s="35">
        <v>44817</v>
      </c>
      <c r="R1713" s="36">
        <v>3.4200000000000001E-2</v>
      </c>
      <c r="S1713" s="37">
        <v>3.5799999999999998E-2</v>
      </c>
    </row>
    <row r="1714" spans="1:19" x14ac:dyDescent="0.2">
      <c r="A1714" s="1"/>
      <c r="B1714" s="13">
        <v>43228</v>
      </c>
      <c r="C1714" s="14">
        <v>73.599999999999994</v>
      </c>
      <c r="D1714" s="15">
        <v>240605</v>
      </c>
      <c r="E1714" s="14">
        <v>71.599999999999994</v>
      </c>
      <c r="F1714" s="14">
        <v>73.7</v>
      </c>
      <c r="G1714" s="16">
        <v>71.314800000000005</v>
      </c>
      <c r="H1714" s="69">
        <f t="shared" si="42"/>
        <v>2.6499302649930057E-2</v>
      </c>
      <c r="O1714" s="1319"/>
      <c r="P1714" s="1319"/>
      <c r="Q1714" s="35">
        <v>44818</v>
      </c>
      <c r="R1714" s="36">
        <v>3.4099999999999998E-2</v>
      </c>
      <c r="S1714" s="37">
        <v>3.6000000000000004E-2</v>
      </c>
    </row>
    <row r="1715" spans="1:19" x14ac:dyDescent="0.2">
      <c r="A1715" s="1"/>
      <c r="B1715" s="13">
        <v>43227</v>
      </c>
      <c r="C1715" s="14">
        <v>71.7</v>
      </c>
      <c r="D1715" s="15">
        <v>160021</v>
      </c>
      <c r="E1715" s="14">
        <v>70.45</v>
      </c>
      <c r="F1715" s="14">
        <v>71.900000000000006</v>
      </c>
      <c r="G1715" s="16">
        <v>70.05</v>
      </c>
      <c r="H1715" s="69">
        <f t="shared" si="42"/>
        <v>1.9914651493598834E-2</v>
      </c>
      <c r="O1715" s="1319"/>
      <c r="P1715" s="1319"/>
      <c r="Q1715" s="35">
        <v>44819</v>
      </c>
      <c r="R1715" s="36">
        <v>3.4500000000000003E-2</v>
      </c>
      <c r="S1715" s="37">
        <v>3.6600000000000001E-2</v>
      </c>
    </row>
    <row r="1716" spans="1:19" x14ac:dyDescent="0.2">
      <c r="A1716" s="1"/>
      <c r="B1716" s="13">
        <v>43224</v>
      </c>
      <c r="C1716" s="14">
        <v>70.3</v>
      </c>
      <c r="D1716" s="15">
        <v>155713</v>
      </c>
      <c r="E1716" s="14">
        <v>69.150000000000006</v>
      </c>
      <c r="F1716" s="14">
        <v>71.150000000000006</v>
      </c>
      <c r="G1716" s="16">
        <v>67.704999999999998</v>
      </c>
      <c r="H1716" s="69">
        <f t="shared" si="42"/>
        <v>1.4430014430014459E-2</v>
      </c>
      <c r="O1716" s="1319"/>
      <c r="P1716" s="1319"/>
      <c r="Q1716" s="35">
        <v>44820</v>
      </c>
      <c r="R1716" s="36">
        <v>3.4500000000000003E-2</v>
      </c>
      <c r="S1716" s="37">
        <v>3.6200000000000003E-2</v>
      </c>
    </row>
    <row r="1717" spans="1:19" x14ac:dyDescent="0.2">
      <c r="A1717" s="1"/>
      <c r="B1717" s="13">
        <v>43223</v>
      </c>
      <c r="C1717" s="14">
        <v>69.3</v>
      </c>
      <c r="D1717" s="15">
        <v>299392</v>
      </c>
      <c r="E1717" s="14">
        <v>69</v>
      </c>
      <c r="F1717" s="14">
        <v>70.150000000000006</v>
      </c>
      <c r="G1717" s="16">
        <v>67.75</v>
      </c>
      <c r="H1717" s="69">
        <f t="shared" si="42"/>
        <v>0</v>
      </c>
      <c r="O1717" s="1319"/>
      <c r="P1717" s="1319"/>
      <c r="Q1717" s="35">
        <v>44823</v>
      </c>
      <c r="R1717" s="36">
        <v>3.49E-2</v>
      </c>
      <c r="S1717" s="37">
        <v>3.6900000000000002E-2</v>
      </c>
    </row>
    <row r="1718" spans="1:19" x14ac:dyDescent="0.2">
      <c r="A1718" s="1"/>
      <c r="B1718" s="13">
        <v>43222</v>
      </c>
      <c r="C1718" s="14">
        <v>69.3</v>
      </c>
      <c r="D1718" s="15">
        <v>379709</v>
      </c>
      <c r="E1718" s="14">
        <v>66.55</v>
      </c>
      <c r="F1718" s="14">
        <v>69.424999999999997</v>
      </c>
      <c r="G1718" s="16">
        <v>66.05</v>
      </c>
      <c r="H1718" s="69">
        <f t="shared" si="42"/>
        <v>4.6827794561933533E-2</v>
      </c>
      <c r="O1718" s="1319"/>
      <c r="P1718" s="1319"/>
      <c r="Q1718" s="35">
        <v>44824</v>
      </c>
      <c r="R1718" s="36">
        <v>3.5699999999999996E-2</v>
      </c>
      <c r="S1718" s="37">
        <v>3.7499999999999999E-2</v>
      </c>
    </row>
    <row r="1719" spans="1:19" x14ac:dyDescent="0.2">
      <c r="A1719" s="1"/>
      <c r="B1719" s="13">
        <v>43221</v>
      </c>
      <c r="C1719" s="14">
        <v>66.2</v>
      </c>
      <c r="D1719" s="15">
        <v>294917</v>
      </c>
      <c r="E1719" s="14">
        <v>67.2</v>
      </c>
      <c r="F1719" s="14">
        <v>67.2</v>
      </c>
      <c r="G1719" s="16">
        <v>65.349999999999994</v>
      </c>
      <c r="H1719" s="69">
        <f t="shared" si="42"/>
        <v>2.2710068130205041E-3</v>
      </c>
      <c r="O1719" s="1319"/>
      <c r="P1719" s="1319"/>
      <c r="Q1719" s="35">
        <v>44825</v>
      </c>
      <c r="R1719" s="36">
        <v>3.5099999999999999E-2</v>
      </c>
      <c r="S1719" s="37">
        <v>3.7400000000000003E-2</v>
      </c>
    </row>
    <row r="1720" spans="1:19" x14ac:dyDescent="0.2">
      <c r="A1720" s="1"/>
      <c r="B1720" s="13">
        <v>43220</v>
      </c>
      <c r="C1720" s="14">
        <v>66.05</v>
      </c>
      <c r="D1720" s="15">
        <v>347817</v>
      </c>
      <c r="E1720" s="14">
        <v>67.099999999999994</v>
      </c>
      <c r="F1720" s="14">
        <v>68.075000000000003</v>
      </c>
      <c r="G1720" s="16">
        <v>65.5</v>
      </c>
      <c r="H1720" s="69">
        <f t="shared" si="42"/>
        <v>-1.6381236038719438E-2</v>
      </c>
      <c r="O1720" s="1319"/>
      <c r="P1720" s="1319"/>
      <c r="Q1720" s="35">
        <v>44826</v>
      </c>
      <c r="R1720" s="36">
        <v>3.7000000000000005E-2</v>
      </c>
      <c r="S1720" s="37">
        <v>3.9100000000000003E-2</v>
      </c>
    </row>
    <row r="1721" spans="1:19" x14ac:dyDescent="0.2">
      <c r="A1721" s="1"/>
      <c r="B1721" s="13">
        <v>43217</v>
      </c>
      <c r="C1721" s="14">
        <v>67.150000000000006</v>
      </c>
      <c r="D1721" s="15">
        <v>492180</v>
      </c>
      <c r="E1721" s="14">
        <v>70.05</v>
      </c>
      <c r="F1721" s="14">
        <v>71.825000000000003</v>
      </c>
      <c r="G1721" s="16">
        <v>66.349999999999994</v>
      </c>
      <c r="H1721" s="69">
        <f t="shared" si="42"/>
        <v>3.7369207772794955E-3</v>
      </c>
      <c r="O1721" s="1319"/>
      <c r="P1721" s="1319"/>
      <c r="Q1721" s="35">
        <v>44827</v>
      </c>
      <c r="R1721" s="36">
        <v>3.6900000000000002E-2</v>
      </c>
      <c r="S1721" s="37">
        <v>3.9599999999999996E-2</v>
      </c>
    </row>
    <row r="1722" spans="1:19" x14ac:dyDescent="0.2">
      <c r="A1722" s="1"/>
      <c r="B1722" s="13">
        <v>43216</v>
      </c>
      <c r="C1722" s="14">
        <v>66.900000000000006</v>
      </c>
      <c r="D1722" s="15">
        <v>573816</v>
      </c>
      <c r="E1722" s="14">
        <v>71.75</v>
      </c>
      <c r="F1722" s="14">
        <v>71.75</v>
      </c>
      <c r="G1722" s="16">
        <v>66.55</v>
      </c>
      <c r="H1722" s="69">
        <f t="shared" si="42"/>
        <v>-6.6294487090020948E-2</v>
      </c>
      <c r="O1722" s="1319"/>
      <c r="P1722" s="1319"/>
      <c r="Q1722" s="35">
        <v>44830</v>
      </c>
      <c r="R1722" s="36">
        <v>3.8800000000000001E-2</v>
      </c>
      <c r="S1722" s="37">
        <v>4.1500000000000002E-2</v>
      </c>
    </row>
    <row r="1723" spans="1:19" x14ac:dyDescent="0.2">
      <c r="A1723" s="1"/>
      <c r="B1723" s="13">
        <v>43215</v>
      </c>
      <c r="C1723" s="14">
        <v>71.650000000000006</v>
      </c>
      <c r="D1723" s="15">
        <v>181492</v>
      </c>
      <c r="E1723" s="14">
        <v>71.849999999999994</v>
      </c>
      <c r="F1723" s="14">
        <v>72.89</v>
      </c>
      <c r="G1723" s="16">
        <v>71.150000000000006</v>
      </c>
      <c r="H1723" s="69">
        <f t="shared" si="42"/>
        <v>-2.0891364902505538E-3</v>
      </c>
      <c r="O1723" s="1319"/>
      <c r="P1723" s="1319"/>
      <c r="Q1723" s="35">
        <v>44831</v>
      </c>
      <c r="R1723" s="36">
        <v>3.9699999999999999E-2</v>
      </c>
      <c r="S1723" s="37">
        <v>4.2099999999999999E-2</v>
      </c>
    </row>
    <row r="1724" spans="1:19" x14ac:dyDescent="0.2">
      <c r="A1724" s="1"/>
      <c r="B1724" s="13">
        <v>43214</v>
      </c>
      <c r="C1724" s="14">
        <v>71.8</v>
      </c>
      <c r="D1724" s="15">
        <v>164885</v>
      </c>
      <c r="E1724" s="14">
        <v>74.849999999999994</v>
      </c>
      <c r="F1724" s="14">
        <v>76.517499999999998</v>
      </c>
      <c r="G1724" s="16">
        <v>71.400000000000006</v>
      </c>
      <c r="H1724" s="69">
        <f t="shared" si="42"/>
        <v>-3.3647375504710642E-2</v>
      </c>
      <c r="O1724" s="1319"/>
      <c r="P1724" s="1319"/>
      <c r="Q1724" s="35">
        <v>44832</v>
      </c>
      <c r="R1724" s="36">
        <v>3.7200000000000004E-2</v>
      </c>
      <c r="S1724" s="37">
        <v>3.9199999999999999E-2</v>
      </c>
    </row>
    <row r="1725" spans="1:19" x14ac:dyDescent="0.2">
      <c r="A1725" s="1"/>
      <c r="B1725" s="13">
        <v>43213</v>
      </c>
      <c r="C1725" s="14">
        <v>74.3</v>
      </c>
      <c r="D1725" s="15">
        <v>70950</v>
      </c>
      <c r="E1725" s="14">
        <v>74.150000000000006</v>
      </c>
      <c r="F1725" s="14">
        <v>74.75</v>
      </c>
      <c r="G1725" s="16">
        <v>73.95</v>
      </c>
      <c r="H1725" s="69">
        <f t="shared" si="42"/>
        <v>6.0934326337169775E-3</v>
      </c>
      <c r="O1725" s="1319"/>
      <c r="P1725" s="1319"/>
      <c r="Q1725" s="35">
        <v>44833</v>
      </c>
      <c r="R1725" s="36">
        <v>3.7599999999999995E-2</v>
      </c>
      <c r="S1725" s="37">
        <v>3.9800000000000002E-2</v>
      </c>
    </row>
    <row r="1726" spans="1:19" x14ac:dyDescent="0.2">
      <c r="A1726" s="1"/>
      <c r="B1726" s="13">
        <v>43210</v>
      </c>
      <c r="C1726" s="14">
        <v>73.849999999999994</v>
      </c>
      <c r="D1726" s="15">
        <v>156992</v>
      </c>
      <c r="E1726" s="14">
        <v>75.75</v>
      </c>
      <c r="F1726" s="14">
        <v>75.95</v>
      </c>
      <c r="G1726" s="16">
        <v>73.7</v>
      </c>
      <c r="H1726" s="69">
        <f t="shared" si="42"/>
        <v>-2.7649769585253559E-2</v>
      </c>
      <c r="O1726" s="1319"/>
      <c r="P1726" s="1319"/>
      <c r="Q1726" s="35">
        <v>44834</v>
      </c>
      <c r="R1726" s="36">
        <v>3.8300000000000001E-2</v>
      </c>
      <c r="S1726" s="37">
        <v>4.0599999999999997E-2</v>
      </c>
    </row>
    <row r="1727" spans="1:19" x14ac:dyDescent="0.2">
      <c r="A1727" s="1"/>
      <c r="B1727" s="13">
        <v>43209</v>
      </c>
      <c r="C1727" s="14">
        <v>75.95</v>
      </c>
      <c r="D1727" s="15">
        <v>166829</v>
      </c>
      <c r="E1727" s="14">
        <v>77.849999999999994</v>
      </c>
      <c r="F1727" s="14">
        <v>77.95</v>
      </c>
      <c r="G1727" s="16">
        <v>75.849999999999994</v>
      </c>
      <c r="H1727" s="69">
        <f t="shared" si="42"/>
        <v>-2.62820512820513E-2</v>
      </c>
      <c r="O1727" s="1319"/>
      <c r="P1727" s="1319"/>
      <c r="Q1727" s="35">
        <v>44837</v>
      </c>
      <c r="R1727" s="36">
        <v>3.6699999999999997E-2</v>
      </c>
      <c r="S1727" s="37">
        <v>3.9E-2</v>
      </c>
    </row>
    <row r="1728" spans="1:19" x14ac:dyDescent="0.2">
      <c r="A1728" s="1"/>
      <c r="B1728" s="13">
        <v>43208</v>
      </c>
      <c r="C1728" s="14">
        <v>78</v>
      </c>
      <c r="D1728" s="15">
        <v>199423</v>
      </c>
      <c r="E1728" s="14">
        <v>77.95</v>
      </c>
      <c r="F1728" s="14">
        <v>79.45</v>
      </c>
      <c r="G1728" s="16">
        <v>77.8</v>
      </c>
      <c r="H1728" s="69">
        <f t="shared" si="42"/>
        <v>5.8027079303675233E-3</v>
      </c>
      <c r="O1728" s="1319"/>
      <c r="P1728" s="1319"/>
      <c r="Q1728" s="35">
        <v>44838</v>
      </c>
      <c r="R1728" s="36">
        <v>3.6200000000000003E-2</v>
      </c>
      <c r="S1728" s="37">
        <v>3.8399999999999997E-2</v>
      </c>
    </row>
    <row r="1729" spans="1:19" x14ac:dyDescent="0.2">
      <c r="A1729" s="1"/>
      <c r="B1729" s="13">
        <v>43207</v>
      </c>
      <c r="C1729" s="14">
        <v>77.55</v>
      </c>
      <c r="D1729" s="15">
        <v>179364</v>
      </c>
      <c r="E1729" s="14">
        <v>77.150000000000006</v>
      </c>
      <c r="F1729" s="14">
        <v>77.900000000000006</v>
      </c>
      <c r="G1729" s="16">
        <v>76.2</v>
      </c>
      <c r="H1729" s="69">
        <f t="shared" si="42"/>
        <v>1.3063357282821597E-2</v>
      </c>
      <c r="O1729" s="1319"/>
      <c r="P1729" s="1319"/>
      <c r="Q1729" s="35">
        <v>44839</v>
      </c>
      <c r="R1729" s="36">
        <v>3.7599999999999995E-2</v>
      </c>
      <c r="S1729" s="37">
        <v>3.9599999999999996E-2</v>
      </c>
    </row>
    <row r="1730" spans="1:19" x14ac:dyDescent="0.2">
      <c r="A1730" s="1"/>
      <c r="B1730" s="13">
        <v>43206</v>
      </c>
      <c r="C1730" s="14">
        <v>76.55</v>
      </c>
      <c r="D1730" s="15">
        <v>157639</v>
      </c>
      <c r="E1730" s="14">
        <v>73.95</v>
      </c>
      <c r="F1730" s="14">
        <v>76.849999999999994</v>
      </c>
      <c r="G1730" s="16">
        <v>73.349999999999994</v>
      </c>
      <c r="H1730" s="69">
        <f t="shared" si="42"/>
        <v>3.8670284938941535E-2</v>
      </c>
      <c r="O1730" s="1319"/>
      <c r="P1730" s="1319"/>
      <c r="Q1730" s="35">
        <v>44840</v>
      </c>
      <c r="R1730" s="36">
        <v>3.8300000000000001E-2</v>
      </c>
      <c r="S1730" s="37">
        <v>4.0500000000000001E-2</v>
      </c>
    </row>
    <row r="1731" spans="1:19" x14ac:dyDescent="0.2">
      <c r="A1731" s="1"/>
      <c r="B1731" s="13">
        <v>43203</v>
      </c>
      <c r="C1731" s="14">
        <v>73.7</v>
      </c>
      <c r="D1731" s="15">
        <v>139477</v>
      </c>
      <c r="E1731" s="14">
        <v>74.2</v>
      </c>
      <c r="F1731" s="14">
        <v>74.325000000000003</v>
      </c>
      <c r="G1731" s="16">
        <v>73.349999999999994</v>
      </c>
      <c r="H1731" s="69">
        <f t="shared" si="42"/>
        <v>1.3586956521740579E-3</v>
      </c>
      <c r="O1731" s="1319"/>
      <c r="P1731" s="1319"/>
      <c r="Q1731" s="35">
        <v>44841</v>
      </c>
      <c r="R1731" s="36">
        <v>3.8900000000000004E-2</v>
      </c>
      <c r="S1731" s="37">
        <v>4.1399999999999999E-2</v>
      </c>
    </row>
    <row r="1732" spans="1:19" x14ac:dyDescent="0.2">
      <c r="A1732" s="1"/>
      <c r="B1732" s="13">
        <v>43202</v>
      </c>
      <c r="C1732" s="14">
        <v>73.599999999999994</v>
      </c>
      <c r="D1732" s="15">
        <v>155746</v>
      </c>
      <c r="E1732" s="14">
        <v>73</v>
      </c>
      <c r="F1732" s="14">
        <v>74.349999999999994</v>
      </c>
      <c r="G1732" s="16">
        <v>72.55</v>
      </c>
      <c r="H1732" s="69">
        <f t="shared" si="42"/>
        <v>1.098901098901095E-2</v>
      </c>
      <c r="O1732" s="1319"/>
      <c r="P1732" s="1319"/>
      <c r="Q1732" s="35">
        <v>44845</v>
      </c>
      <c r="R1732" s="36">
        <v>3.9300000000000002E-2</v>
      </c>
      <c r="S1732" s="37">
        <v>4.1399999999999999E-2</v>
      </c>
    </row>
    <row r="1733" spans="1:19" x14ac:dyDescent="0.2">
      <c r="A1733" s="1"/>
      <c r="B1733" s="13">
        <v>43201</v>
      </c>
      <c r="C1733" s="14">
        <v>72.8</v>
      </c>
      <c r="D1733" s="15">
        <v>195974</v>
      </c>
      <c r="E1733" s="14">
        <v>71.3</v>
      </c>
      <c r="F1733" s="14">
        <v>72.849999999999994</v>
      </c>
      <c r="G1733" s="16">
        <v>70.900000000000006</v>
      </c>
      <c r="H1733" s="69">
        <f t="shared" si="42"/>
        <v>2.1037868162692819E-2</v>
      </c>
      <c r="O1733" s="1319"/>
      <c r="P1733" s="1319"/>
      <c r="Q1733" s="35">
        <v>44846</v>
      </c>
      <c r="R1733" s="36">
        <v>3.9100000000000003E-2</v>
      </c>
      <c r="S1733" s="37">
        <v>4.1200000000000001E-2</v>
      </c>
    </row>
    <row r="1734" spans="1:19" x14ac:dyDescent="0.2">
      <c r="A1734" s="1"/>
      <c r="B1734" s="13">
        <v>43200</v>
      </c>
      <c r="C1734" s="14">
        <v>71.3</v>
      </c>
      <c r="D1734" s="15">
        <v>383986</v>
      </c>
      <c r="E1734" s="14">
        <v>72.099999999999994</v>
      </c>
      <c r="F1734" s="14">
        <v>72.400000000000006</v>
      </c>
      <c r="G1734" s="16">
        <v>71.05</v>
      </c>
      <c r="H1734" s="69">
        <f t="shared" si="42"/>
        <v>2.812939521800395E-3</v>
      </c>
      <c r="O1734" s="1319"/>
      <c r="P1734" s="1319"/>
      <c r="Q1734" s="35">
        <v>44847</v>
      </c>
      <c r="R1734" s="36">
        <v>3.9699999999999999E-2</v>
      </c>
      <c r="S1734" s="37">
        <v>4.2099999999999999E-2</v>
      </c>
    </row>
    <row r="1735" spans="1:19" x14ac:dyDescent="0.2">
      <c r="A1735" s="1"/>
      <c r="B1735" s="13">
        <v>43199</v>
      </c>
      <c r="C1735" s="14">
        <v>71.099999999999994</v>
      </c>
      <c r="D1735" s="15">
        <v>200484</v>
      </c>
      <c r="E1735" s="14">
        <v>72.5</v>
      </c>
      <c r="F1735" s="14">
        <v>72.5</v>
      </c>
      <c r="G1735" s="16">
        <v>70.599999999999994</v>
      </c>
      <c r="H1735" s="69">
        <f t="shared" si="42"/>
        <v>-1.2500000000000067E-2</v>
      </c>
      <c r="O1735" s="1319"/>
      <c r="P1735" s="1319"/>
      <c r="Q1735" s="35">
        <v>44848</v>
      </c>
      <c r="R1735" s="36">
        <v>0.04</v>
      </c>
      <c r="S1735" s="37">
        <v>4.2500000000000003E-2</v>
      </c>
    </row>
    <row r="1736" spans="1:19" x14ac:dyDescent="0.2">
      <c r="A1736" s="1"/>
      <c r="B1736" s="13">
        <v>43196</v>
      </c>
      <c r="C1736" s="14">
        <v>72</v>
      </c>
      <c r="D1736" s="15">
        <v>268614</v>
      </c>
      <c r="E1736" s="14">
        <v>73.599999999999994</v>
      </c>
      <c r="F1736" s="14">
        <v>74.599999999999994</v>
      </c>
      <c r="G1736" s="16">
        <v>70.95</v>
      </c>
      <c r="H1736" s="69">
        <f t="shared" si="42"/>
        <v>-3.0303030303030276E-2</v>
      </c>
      <c r="O1736" s="1319"/>
      <c r="P1736" s="1319"/>
      <c r="Q1736" s="35">
        <v>44851</v>
      </c>
      <c r="R1736" s="36">
        <v>4.0199999999999993E-2</v>
      </c>
      <c r="S1736" s="37">
        <v>4.24E-2</v>
      </c>
    </row>
    <row r="1737" spans="1:19" x14ac:dyDescent="0.2">
      <c r="A1737" s="1"/>
      <c r="B1737" s="13">
        <v>43195</v>
      </c>
      <c r="C1737" s="14">
        <v>74.25</v>
      </c>
      <c r="D1737" s="15">
        <v>332438</v>
      </c>
      <c r="E1737" s="14">
        <v>75.599999999999994</v>
      </c>
      <c r="F1737" s="14">
        <v>77.45</v>
      </c>
      <c r="G1737" s="16">
        <v>71.900000000000006</v>
      </c>
      <c r="H1737" s="69">
        <f t="shared" si="42"/>
        <v>-1.4598540145985273E-2</v>
      </c>
      <c r="O1737" s="1319"/>
      <c r="P1737" s="1319"/>
      <c r="Q1737" s="35">
        <v>44852</v>
      </c>
      <c r="R1737" s="36">
        <v>4.0099999999999997E-2</v>
      </c>
      <c r="S1737" s="37">
        <v>4.2099999999999999E-2</v>
      </c>
    </row>
    <row r="1738" spans="1:19" x14ac:dyDescent="0.2">
      <c r="A1738" s="1"/>
      <c r="B1738" s="13">
        <v>43194</v>
      </c>
      <c r="C1738" s="14">
        <v>75.349999999999994</v>
      </c>
      <c r="D1738" s="15">
        <v>263210</v>
      </c>
      <c r="E1738" s="14">
        <v>74.75</v>
      </c>
      <c r="F1738" s="14">
        <v>75.7</v>
      </c>
      <c r="G1738" s="16">
        <v>71.974999999999994</v>
      </c>
      <c r="H1738" s="69">
        <f t="shared" si="42"/>
        <v>-8.5526315789474783E-3</v>
      </c>
      <c r="O1738" s="1319"/>
      <c r="P1738" s="1319"/>
      <c r="Q1738" s="35">
        <v>44853</v>
      </c>
      <c r="R1738" s="36">
        <v>4.1399999999999999E-2</v>
      </c>
      <c r="S1738" s="37">
        <v>4.3499999999999997E-2</v>
      </c>
    </row>
    <row r="1739" spans="1:19" x14ac:dyDescent="0.2">
      <c r="A1739" s="1"/>
      <c r="B1739" s="13">
        <v>43193</v>
      </c>
      <c r="C1739" s="14">
        <v>76</v>
      </c>
      <c r="D1739" s="15">
        <v>187439</v>
      </c>
      <c r="E1739" s="14">
        <v>74.55</v>
      </c>
      <c r="F1739" s="14">
        <v>76.05</v>
      </c>
      <c r="G1739" s="16">
        <v>74.025000000000006</v>
      </c>
      <c r="H1739" s="69">
        <f t="shared" si="42"/>
        <v>2.7721433400946571E-2</v>
      </c>
      <c r="O1739" s="1319"/>
      <c r="P1739" s="1319"/>
      <c r="Q1739" s="35">
        <v>44854</v>
      </c>
      <c r="R1739" s="36">
        <v>4.24E-2</v>
      </c>
      <c r="S1739" s="37">
        <v>4.4500000000000005E-2</v>
      </c>
    </row>
    <row r="1740" spans="1:19" x14ac:dyDescent="0.2">
      <c r="A1740" s="1"/>
      <c r="B1740" s="13">
        <v>43192</v>
      </c>
      <c r="C1740" s="14">
        <v>73.95</v>
      </c>
      <c r="D1740" s="15">
        <v>205423</v>
      </c>
      <c r="E1740" s="14">
        <v>74.95</v>
      </c>
      <c r="F1740" s="14">
        <v>76</v>
      </c>
      <c r="G1740" s="16">
        <v>73.349999999999994</v>
      </c>
      <c r="H1740" s="69">
        <f t="shared" si="42"/>
        <v>-1.5968063872255578E-2</v>
      </c>
      <c r="O1740" s="1319"/>
      <c r="P1740" s="1319"/>
      <c r="Q1740" s="35">
        <v>44855</v>
      </c>
      <c r="R1740" s="36">
        <v>4.2099999999999999E-2</v>
      </c>
      <c r="S1740" s="37">
        <v>4.3400000000000001E-2</v>
      </c>
    </row>
    <row r="1741" spans="1:19" x14ac:dyDescent="0.2">
      <c r="A1741" s="1"/>
      <c r="B1741" s="13">
        <v>43188</v>
      </c>
      <c r="C1741" s="14">
        <v>75.150000000000006</v>
      </c>
      <c r="D1741" s="15">
        <v>224563</v>
      </c>
      <c r="E1741" s="14">
        <v>74.05</v>
      </c>
      <c r="F1741" s="14">
        <v>76.099999999999994</v>
      </c>
      <c r="G1741" s="16">
        <v>72.400000000000006</v>
      </c>
      <c r="H1741" s="69">
        <f t="shared" si="42"/>
        <v>2.1753908905506547E-2</v>
      </c>
      <c r="O1741" s="1319"/>
      <c r="P1741" s="1319"/>
      <c r="Q1741" s="35">
        <v>44858</v>
      </c>
      <c r="R1741" s="36">
        <v>4.2500000000000003E-2</v>
      </c>
      <c r="S1741" s="37">
        <v>4.36E-2</v>
      </c>
    </row>
    <row r="1742" spans="1:19" x14ac:dyDescent="0.2">
      <c r="A1742" s="1"/>
      <c r="B1742" s="13">
        <v>43187</v>
      </c>
      <c r="C1742" s="14">
        <v>73.55</v>
      </c>
      <c r="D1742" s="15">
        <v>214766</v>
      </c>
      <c r="E1742" s="14">
        <v>74.099999999999994</v>
      </c>
      <c r="F1742" s="14">
        <v>74.349999999999994</v>
      </c>
      <c r="G1742" s="16">
        <v>72.2</v>
      </c>
      <c r="H1742" s="69">
        <f t="shared" si="42"/>
        <v>-4.7361299052774974E-3</v>
      </c>
      <c r="O1742" s="1319"/>
      <c r="P1742" s="1319"/>
      <c r="Q1742" s="35">
        <v>44859</v>
      </c>
      <c r="R1742" s="36">
        <v>4.0999999999999995E-2</v>
      </c>
      <c r="S1742" s="37">
        <v>4.2500000000000003E-2</v>
      </c>
    </row>
    <row r="1743" spans="1:19" x14ac:dyDescent="0.2">
      <c r="A1743" s="1"/>
      <c r="B1743" s="13">
        <v>43186</v>
      </c>
      <c r="C1743" s="14">
        <v>73.900000000000006</v>
      </c>
      <c r="D1743" s="15">
        <v>297424</v>
      </c>
      <c r="E1743" s="14">
        <v>76.95</v>
      </c>
      <c r="F1743" s="14">
        <v>76.95</v>
      </c>
      <c r="G1743" s="16">
        <v>73.55</v>
      </c>
      <c r="H1743" s="69">
        <f t="shared" si="42"/>
        <v>-3.3986928104575043E-2</v>
      </c>
      <c r="O1743" s="1319"/>
      <c r="P1743" s="1319"/>
      <c r="Q1743" s="35">
        <v>44860</v>
      </c>
      <c r="R1743" s="36">
        <v>4.0399999999999998E-2</v>
      </c>
      <c r="S1743" s="37">
        <v>4.2000000000000003E-2</v>
      </c>
    </row>
    <row r="1744" spans="1:19" x14ac:dyDescent="0.2">
      <c r="A1744" s="1"/>
      <c r="B1744" s="13">
        <v>43185</v>
      </c>
      <c r="C1744" s="14">
        <v>76.5</v>
      </c>
      <c r="D1744" s="15">
        <v>248093</v>
      </c>
      <c r="E1744" s="14">
        <v>75.900000000000006</v>
      </c>
      <c r="F1744" s="14">
        <v>76.55</v>
      </c>
      <c r="G1744" s="16">
        <v>74.7</v>
      </c>
      <c r="H1744" s="69">
        <f t="shared" si="42"/>
        <v>3.169251517194871E-2</v>
      </c>
      <c r="O1744" s="1319"/>
      <c r="P1744" s="1319"/>
      <c r="Q1744" s="35">
        <v>44861</v>
      </c>
      <c r="R1744" s="36">
        <v>3.9599999999999996E-2</v>
      </c>
      <c r="S1744" s="37">
        <v>4.0899999999999999E-2</v>
      </c>
    </row>
    <row r="1745" spans="1:19" x14ac:dyDescent="0.2">
      <c r="A1745" s="1"/>
      <c r="B1745" s="13">
        <v>43182</v>
      </c>
      <c r="C1745" s="14">
        <v>74.150000000000006</v>
      </c>
      <c r="D1745" s="15">
        <v>283671</v>
      </c>
      <c r="E1745" s="14">
        <v>75.05</v>
      </c>
      <c r="F1745" s="14">
        <v>75.8</v>
      </c>
      <c r="G1745" s="16">
        <v>74.099999999999994</v>
      </c>
      <c r="H1745" s="69">
        <f t="shared" si="42"/>
        <v>-1.0673782521681052E-2</v>
      </c>
      <c r="O1745" s="1319"/>
      <c r="P1745" s="1319"/>
      <c r="Q1745" s="35">
        <v>44862</v>
      </c>
      <c r="R1745" s="36">
        <v>4.0199999999999993E-2</v>
      </c>
      <c r="S1745" s="37">
        <v>4.1900000000000007E-2</v>
      </c>
    </row>
    <row r="1746" spans="1:19" x14ac:dyDescent="0.2">
      <c r="A1746" s="1"/>
      <c r="B1746" s="13">
        <v>43181</v>
      </c>
      <c r="C1746" s="14">
        <v>74.95</v>
      </c>
      <c r="D1746" s="15">
        <v>244795</v>
      </c>
      <c r="E1746" s="14">
        <v>77.2</v>
      </c>
      <c r="F1746" s="14">
        <v>77.2</v>
      </c>
      <c r="G1746" s="16">
        <v>74.900000000000006</v>
      </c>
      <c r="H1746" s="69">
        <f t="shared" si="42"/>
        <v>-3.2278889606197514E-2</v>
      </c>
      <c r="O1746" s="1319"/>
      <c r="P1746" s="1319"/>
      <c r="Q1746" s="35">
        <v>44865</v>
      </c>
      <c r="R1746" s="36">
        <v>4.0999999999999995E-2</v>
      </c>
      <c r="S1746" s="37">
        <v>4.2699999999999995E-2</v>
      </c>
    </row>
    <row r="1747" spans="1:19" x14ac:dyDescent="0.2">
      <c r="A1747" s="1"/>
      <c r="B1747" s="13">
        <v>43180</v>
      </c>
      <c r="C1747" s="14">
        <v>77.45</v>
      </c>
      <c r="D1747" s="15">
        <v>226046</v>
      </c>
      <c r="E1747" s="14">
        <v>77.2</v>
      </c>
      <c r="F1747" s="14">
        <v>78.5</v>
      </c>
      <c r="G1747" s="16">
        <v>76.7</v>
      </c>
      <c r="H1747" s="69">
        <f t="shared" si="42"/>
        <v>3.2383419689119286E-3</v>
      </c>
      <c r="O1747" s="1319"/>
      <c r="P1747" s="1319"/>
      <c r="Q1747" s="35">
        <v>44866</v>
      </c>
      <c r="R1747" s="36">
        <v>4.07E-2</v>
      </c>
      <c r="S1747" s="37">
        <v>4.2699999999999995E-2</v>
      </c>
    </row>
    <row r="1748" spans="1:19" x14ac:dyDescent="0.2">
      <c r="A1748" s="1"/>
      <c r="B1748" s="13">
        <v>43179</v>
      </c>
      <c r="C1748" s="14">
        <v>77.2</v>
      </c>
      <c r="D1748" s="15">
        <v>108737</v>
      </c>
      <c r="E1748" s="14">
        <v>76.150000000000006</v>
      </c>
      <c r="F1748" s="14">
        <v>77.400000000000006</v>
      </c>
      <c r="G1748" s="16">
        <v>75.525000000000006</v>
      </c>
      <c r="H1748" s="69">
        <f t="shared" si="42"/>
        <v>1.7798286090969118E-2</v>
      </c>
      <c r="O1748" s="1319"/>
      <c r="P1748" s="1319"/>
      <c r="Q1748" s="35">
        <v>44867</v>
      </c>
      <c r="R1748" s="36">
        <v>4.0999999999999995E-2</v>
      </c>
      <c r="S1748" s="37">
        <v>4.2999999999999997E-2</v>
      </c>
    </row>
    <row r="1749" spans="1:19" x14ac:dyDescent="0.2">
      <c r="A1749" s="1"/>
      <c r="B1749" s="13">
        <v>43178</v>
      </c>
      <c r="C1749" s="14">
        <v>75.849999999999994</v>
      </c>
      <c r="D1749" s="15">
        <v>93671</v>
      </c>
      <c r="E1749" s="14">
        <v>76.05</v>
      </c>
      <c r="F1749" s="14">
        <v>76.349999999999994</v>
      </c>
      <c r="G1749" s="16">
        <v>74.650000000000006</v>
      </c>
      <c r="H1749" s="69">
        <f t="shared" si="42"/>
        <v>-5.8977719528178207E-3</v>
      </c>
      <c r="O1749" s="1319"/>
      <c r="P1749" s="1319"/>
      <c r="Q1749" s="35">
        <v>44868</v>
      </c>
      <c r="R1749" s="36">
        <v>4.1399999999999999E-2</v>
      </c>
      <c r="S1749" s="37">
        <v>4.36E-2</v>
      </c>
    </row>
    <row r="1750" spans="1:19" x14ac:dyDescent="0.2">
      <c r="A1750" s="1"/>
      <c r="B1750" s="13">
        <v>43175</v>
      </c>
      <c r="C1750" s="14">
        <v>76.3</v>
      </c>
      <c r="D1750" s="15">
        <v>301725</v>
      </c>
      <c r="E1750" s="14">
        <v>76.150000000000006</v>
      </c>
      <c r="F1750" s="14">
        <v>77.2</v>
      </c>
      <c r="G1750" s="16">
        <v>75.95</v>
      </c>
      <c r="H1750" s="69">
        <f t="shared" si="42"/>
        <v>1.969796454366346E-3</v>
      </c>
      <c r="O1750" s="1319"/>
      <c r="P1750" s="1319"/>
      <c r="Q1750" s="35">
        <v>44869</v>
      </c>
      <c r="R1750" s="36">
        <v>4.1700000000000001E-2</v>
      </c>
      <c r="S1750" s="37">
        <v>4.3299999999999998E-2</v>
      </c>
    </row>
    <row r="1751" spans="1:19" x14ac:dyDescent="0.2">
      <c r="A1751" s="1"/>
      <c r="B1751" s="13">
        <v>43174</v>
      </c>
      <c r="C1751" s="14">
        <v>76.150000000000006</v>
      </c>
      <c r="D1751" s="15">
        <v>117438</v>
      </c>
      <c r="E1751" s="14">
        <v>76.45</v>
      </c>
      <c r="F1751" s="14">
        <v>76.924999999999997</v>
      </c>
      <c r="G1751" s="16">
        <v>75.8</v>
      </c>
      <c r="H1751" s="69">
        <f t="shared" si="42"/>
        <v>-6.561679790025865E-4</v>
      </c>
      <c r="O1751" s="1319"/>
      <c r="P1751" s="1319"/>
      <c r="Q1751" s="35">
        <v>44872</v>
      </c>
      <c r="R1751" s="36">
        <v>4.2199999999999994E-2</v>
      </c>
      <c r="S1751" s="37">
        <v>4.3899999999999995E-2</v>
      </c>
    </row>
    <row r="1752" spans="1:19" x14ac:dyDescent="0.2">
      <c r="A1752" s="1"/>
      <c r="B1752" s="13">
        <v>43173</v>
      </c>
      <c r="C1752" s="14">
        <v>76.2</v>
      </c>
      <c r="D1752" s="15">
        <v>161127</v>
      </c>
      <c r="E1752" s="14">
        <v>76.849999999999994</v>
      </c>
      <c r="F1752" s="14">
        <v>77</v>
      </c>
      <c r="G1752" s="16">
        <v>75.900000000000006</v>
      </c>
      <c r="H1752" s="69">
        <f t="shared" si="42"/>
        <v>-1.9646365422395506E-3</v>
      </c>
      <c r="O1752" s="1319"/>
      <c r="P1752" s="1319"/>
      <c r="Q1752" s="35">
        <v>44873</v>
      </c>
      <c r="R1752" s="36">
        <v>4.1399999999999999E-2</v>
      </c>
      <c r="S1752" s="37">
        <v>4.3099999999999999E-2</v>
      </c>
    </row>
    <row r="1753" spans="1:19" x14ac:dyDescent="0.2">
      <c r="A1753" s="1"/>
      <c r="B1753" s="13">
        <v>43172</v>
      </c>
      <c r="C1753" s="14">
        <v>76.349999999999994</v>
      </c>
      <c r="D1753" s="15">
        <v>276973</v>
      </c>
      <c r="E1753" s="14">
        <v>76.75</v>
      </c>
      <c r="F1753" s="14">
        <v>77.7</v>
      </c>
      <c r="G1753" s="16">
        <v>75.875</v>
      </c>
      <c r="H1753" s="69">
        <f t="shared" si="42"/>
        <v>6.5530799475754797E-4</v>
      </c>
      <c r="O1753" s="1319"/>
      <c r="P1753" s="1319"/>
      <c r="Q1753" s="35">
        <v>44874</v>
      </c>
      <c r="R1753" s="36">
        <v>4.1200000000000001E-2</v>
      </c>
      <c r="S1753" s="37">
        <v>4.2699999999999995E-2</v>
      </c>
    </row>
    <row r="1754" spans="1:19" x14ac:dyDescent="0.2">
      <c r="A1754" s="1"/>
      <c r="B1754" s="13">
        <v>43171</v>
      </c>
      <c r="C1754" s="14">
        <v>76.3</v>
      </c>
      <c r="D1754" s="15">
        <v>218468</v>
      </c>
      <c r="E1754" s="14">
        <v>76.349999999999994</v>
      </c>
      <c r="F1754" s="14">
        <v>77.5</v>
      </c>
      <c r="G1754" s="16">
        <v>75.650000000000006</v>
      </c>
      <c r="H1754" s="69">
        <f t="shared" si="42"/>
        <v>2.6281208935612366E-3</v>
      </c>
      <c r="O1754" s="1319"/>
      <c r="P1754" s="1319"/>
      <c r="Q1754" s="35">
        <v>44875</v>
      </c>
      <c r="R1754" s="36">
        <v>3.8199999999999998E-2</v>
      </c>
      <c r="S1754" s="37">
        <v>3.95E-2</v>
      </c>
    </row>
    <row r="1755" spans="1:19" x14ac:dyDescent="0.2">
      <c r="A1755" s="1"/>
      <c r="B1755" s="13">
        <v>43168</v>
      </c>
      <c r="C1755" s="14">
        <v>76.099999999999994</v>
      </c>
      <c r="D1755" s="15">
        <v>454053</v>
      </c>
      <c r="E1755" s="14">
        <v>73.349999999999994</v>
      </c>
      <c r="F1755" s="14">
        <v>76.25</v>
      </c>
      <c r="G1755" s="16">
        <v>73.3</v>
      </c>
      <c r="H1755" s="69">
        <f t="shared" si="42"/>
        <v>4.8931771192281204E-2</v>
      </c>
      <c r="O1755" s="1319"/>
      <c r="P1755" s="1319"/>
      <c r="Q1755" s="35">
        <v>44879</v>
      </c>
      <c r="R1755" s="36">
        <v>3.8800000000000001E-2</v>
      </c>
      <c r="S1755" s="37">
        <v>0.04</v>
      </c>
    </row>
    <row r="1756" spans="1:19" x14ac:dyDescent="0.2">
      <c r="A1756" s="1"/>
      <c r="B1756" s="13">
        <v>43167</v>
      </c>
      <c r="C1756" s="14">
        <v>72.55</v>
      </c>
      <c r="D1756" s="15">
        <v>160713</v>
      </c>
      <c r="E1756" s="14">
        <v>71.3</v>
      </c>
      <c r="F1756" s="14">
        <v>72.7</v>
      </c>
      <c r="G1756" s="16">
        <v>68.155000000000001</v>
      </c>
      <c r="H1756" s="69">
        <f t="shared" si="42"/>
        <v>2.0393811533051975E-2</v>
      </c>
      <c r="O1756" s="1319"/>
      <c r="P1756" s="1319"/>
      <c r="Q1756" s="35">
        <v>44880</v>
      </c>
      <c r="R1756" s="36">
        <v>3.7999999999999999E-2</v>
      </c>
      <c r="S1756" s="37">
        <v>3.9300000000000002E-2</v>
      </c>
    </row>
    <row r="1757" spans="1:19" x14ac:dyDescent="0.2">
      <c r="A1757" s="1"/>
      <c r="B1757" s="13">
        <v>43166</v>
      </c>
      <c r="C1757" s="14">
        <v>71.099999999999994</v>
      </c>
      <c r="D1757" s="15">
        <v>272758</v>
      </c>
      <c r="E1757" s="14">
        <v>70.45</v>
      </c>
      <c r="F1757" s="14">
        <v>71.95</v>
      </c>
      <c r="G1757" s="16">
        <v>69.599999999999994</v>
      </c>
      <c r="H1757" s="69">
        <f t="shared" si="42"/>
        <v>3.5285815102328311E-3</v>
      </c>
      <c r="O1757" s="1319"/>
      <c r="P1757" s="1319"/>
      <c r="Q1757" s="35">
        <v>44881</v>
      </c>
      <c r="R1757" s="36">
        <v>3.6699999999999997E-2</v>
      </c>
      <c r="S1757" s="37">
        <v>3.8300000000000001E-2</v>
      </c>
    </row>
    <row r="1758" spans="1:19" x14ac:dyDescent="0.2">
      <c r="A1758" s="1"/>
      <c r="B1758" s="13">
        <v>43165</v>
      </c>
      <c r="C1758" s="14">
        <v>70.849999999999994</v>
      </c>
      <c r="D1758" s="15">
        <v>130674</v>
      </c>
      <c r="E1758" s="14">
        <v>70.650000000000006</v>
      </c>
      <c r="F1758" s="14">
        <v>71.25</v>
      </c>
      <c r="G1758" s="16">
        <v>69.75</v>
      </c>
      <c r="H1758" s="69">
        <f t="shared" si="42"/>
        <v>4.9645390070920392E-3</v>
      </c>
      <c r="O1758" s="1319"/>
      <c r="P1758" s="1319"/>
      <c r="Q1758" s="35">
        <v>44882</v>
      </c>
      <c r="R1758" s="36">
        <v>3.7699999999999997E-2</v>
      </c>
      <c r="S1758" s="37">
        <v>3.9300000000000002E-2</v>
      </c>
    </row>
    <row r="1759" spans="1:19" x14ac:dyDescent="0.2">
      <c r="A1759" s="1"/>
      <c r="B1759" s="13">
        <v>43164</v>
      </c>
      <c r="C1759" s="14">
        <v>70.5</v>
      </c>
      <c r="D1759" s="15">
        <v>247495</v>
      </c>
      <c r="E1759" s="14">
        <v>70.400000000000006</v>
      </c>
      <c r="F1759" s="14">
        <v>71.25</v>
      </c>
      <c r="G1759" s="16">
        <v>69.55</v>
      </c>
      <c r="H1759" s="69">
        <f t="shared" si="42"/>
        <v>-2.8288543140028155E-3</v>
      </c>
      <c r="O1759" s="1319"/>
      <c r="P1759" s="1319"/>
      <c r="Q1759" s="35">
        <v>44883</v>
      </c>
      <c r="R1759" s="36">
        <v>3.8199999999999998E-2</v>
      </c>
      <c r="S1759" s="37">
        <v>3.9900000000000005E-2</v>
      </c>
    </row>
    <row r="1760" spans="1:19" x14ac:dyDescent="0.2">
      <c r="A1760" s="1"/>
      <c r="B1760" s="13">
        <v>43161</v>
      </c>
      <c r="C1760" s="14">
        <v>70.7</v>
      </c>
      <c r="D1760" s="15">
        <v>267290</v>
      </c>
      <c r="E1760" s="14">
        <v>69.849999999999994</v>
      </c>
      <c r="F1760" s="14">
        <v>71.05</v>
      </c>
      <c r="G1760" s="16">
        <v>68.16</v>
      </c>
      <c r="H1760" s="69">
        <f t="shared" si="42"/>
        <v>-5.6258790436004569E-3</v>
      </c>
      <c r="O1760" s="1319"/>
      <c r="P1760" s="1319"/>
      <c r="Q1760" s="35">
        <v>44886</v>
      </c>
      <c r="R1760" s="36">
        <v>3.8300000000000001E-2</v>
      </c>
      <c r="S1760" s="37">
        <v>3.9699999999999999E-2</v>
      </c>
    </row>
    <row r="1761" spans="1:19" x14ac:dyDescent="0.2">
      <c r="A1761" s="1"/>
      <c r="B1761" s="13">
        <v>43160</v>
      </c>
      <c r="C1761" s="14">
        <v>71.099999999999994</v>
      </c>
      <c r="D1761" s="15">
        <v>273222</v>
      </c>
      <c r="E1761" s="14">
        <v>72.75</v>
      </c>
      <c r="F1761" s="14">
        <v>73.075000000000003</v>
      </c>
      <c r="G1761" s="16">
        <v>70.55</v>
      </c>
      <c r="H1761" s="69">
        <f t="shared" si="42"/>
        <v>-2.1335168616655298E-2</v>
      </c>
      <c r="O1761" s="1319"/>
      <c r="P1761" s="1319"/>
      <c r="Q1761" s="35">
        <v>44887</v>
      </c>
      <c r="R1761" s="36">
        <v>3.7599999999999995E-2</v>
      </c>
      <c r="S1761" s="37">
        <v>3.9300000000000002E-2</v>
      </c>
    </row>
    <row r="1762" spans="1:19" x14ac:dyDescent="0.2">
      <c r="A1762" s="1"/>
      <c r="B1762" s="13">
        <v>43159</v>
      </c>
      <c r="C1762" s="14">
        <v>72.650000000000006</v>
      </c>
      <c r="D1762" s="15">
        <v>362992</v>
      </c>
      <c r="E1762" s="14">
        <v>72.849999999999994</v>
      </c>
      <c r="F1762" s="14">
        <v>74.275000000000006</v>
      </c>
      <c r="G1762" s="16">
        <v>72.05</v>
      </c>
      <c r="H1762" s="69">
        <f t="shared" si="42"/>
        <v>6.8870523415998086E-4</v>
      </c>
      <c r="O1762" s="1319"/>
      <c r="P1762" s="1319"/>
      <c r="Q1762" s="35">
        <v>44888</v>
      </c>
      <c r="R1762" s="36">
        <v>3.7100000000000001E-2</v>
      </c>
      <c r="S1762" s="37">
        <v>3.8800000000000001E-2</v>
      </c>
    </row>
    <row r="1763" spans="1:19" x14ac:dyDescent="0.2">
      <c r="A1763" s="1"/>
      <c r="B1763" s="13">
        <v>43158</v>
      </c>
      <c r="C1763" s="14">
        <v>72.599999999999994</v>
      </c>
      <c r="D1763" s="15">
        <v>187597</v>
      </c>
      <c r="E1763" s="14">
        <v>73.7</v>
      </c>
      <c r="F1763" s="14">
        <v>74.525000000000006</v>
      </c>
      <c r="G1763" s="16">
        <v>72.5</v>
      </c>
      <c r="H1763" s="69">
        <f t="shared" si="42"/>
        <v>-1.3586956521739135E-2</v>
      </c>
      <c r="O1763" s="1319"/>
      <c r="P1763" s="1319"/>
      <c r="Q1763" s="35">
        <v>44890</v>
      </c>
      <c r="R1763" s="36">
        <v>3.6799999999999999E-2</v>
      </c>
      <c r="S1763" s="37">
        <v>3.85E-2</v>
      </c>
    </row>
    <row r="1764" spans="1:19" x14ac:dyDescent="0.2">
      <c r="A1764" s="1"/>
      <c r="B1764" s="13">
        <v>43157</v>
      </c>
      <c r="C1764" s="14">
        <v>73.599999999999994</v>
      </c>
      <c r="D1764" s="15">
        <v>125173</v>
      </c>
      <c r="E1764" s="14">
        <v>74.099999999999994</v>
      </c>
      <c r="F1764" s="14">
        <v>74.400000000000006</v>
      </c>
      <c r="G1764" s="16">
        <v>73.2</v>
      </c>
      <c r="H1764" s="69">
        <f t="shared" si="42"/>
        <v>-6.076975016880537E-3</v>
      </c>
      <c r="O1764" s="1319"/>
      <c r="P1764" s="1319"/>
      <c r="Q1764" s="35">
        <v>44893</v>
      </c>
      <c r="R1764" s="36">
        <v>3.6900000000000002E-2</v>
      </c>
      <c r="S1764" s="37">
        <v>3.8800000000000001E-2</v>
      </c>
    </row>
    <row r="1765" spans="1:19" x14ac:dyDescent="0.2">
      <c r="A1765" s="1"/>
      <c r="B1765" s="13">
        <v>43154</v>
      </c>
      <c r="C1765" s="14">
        <v>74.05</v>
      </c>
      <c r="D1765" s="15">
        <v>126782</v>
      </c>
      <c r="E1765" s="14">
        <v>73.8</v>
      </c>
      <c r="F1765" s="14">
        <v>74.2</v>
      </c>
      <c r="G1765" s="16">
        <v>73</v>
      </c>
      <c r="H1765" s="69">
        <f t="shared" si="42"/>
        <v>1.0921501706484538E-2</v>
      </c>
      <c r="O1765" s="1319"/>
      <c r="P1765" s="1319"/>
      <c r="Q1765" s="35">
        <v>44894</v>
      </c>
      <c r="R1765" s="36">
        <v>3.7499999999999999E-2</v>
      </c>
      <c r="S1765" s="37">
        <v>3.9199999999999999E-2</v>
      </c>
    </row>
    <row r="1766" spans="1:19" x14ac:dyDescent="0.2">
      <c r="A1766" s="1"/>
      <c r="B1766" s="13">
        <v>43153</v>
      </c>
      <c r="C1766" s="14">
        <v>73.25</v>
      </c>
      <c r="D1766" s="15">
        <v>148110</v>
      </c>
      <c r="E1766" s="14">
        <v>73.349999999999994</v>
      </c>
      <c r="F1766" s="14">
        <v>73.95</v>
      </c>
      <c r="G1766" s="16">
        <v>72.7</v>
      </c>
      <c r="H1766" s="69">
        <f t="shared" si="42"/>
        <v>5.4907343857242275E-3</v>
      </c>
      <c r="O1766" s="1319"/>
      <c r="P1766" s="1319"/>
      <c r="Q1766" s="35">
        <v>44895</v>
      </c>
      <c r="R1766" s="36">
        <v>3.6799999999999999E-2</v>
      </c>
      <c r="S1766" s="37">
        <v>3.8199999999999998E-2</v>
      </c>
    </row>
    <row r="1767" spans="1:19" x14ac:dyDescent="0.2">
      <c r="A1767" s="1"/>
      <c r="B1767" s="13">
        <v>43152</v>
      </c>
      <c r="C1767" s="14">
        <v>72.849999999999994</v>
      </c>
      <c r="D1767" s="15">
        <v>121032</v>
      </c>
      <c r="E1767" s="14">
        <v>72.400000000000006</v>
      </c>
      <c r="F1767" s="14">
        <v>74.349999999999994</v>
      </c>
      <c r="G1767" s="16">
        <v>72.349999999999994</v>
      </c>
      <c r="H1767" s="69">
        <f t="shared" si="42"/>
        <v>1.0402219140083213E-2</v>
      </c>
      <c r="O1767" s="1319"/>
      <c r="P1767" s="1319"/>
      <c r="Q1767" s="35">
        <v>44896</v>
      </c>
      <c r="R1767" s="36">
        <v>3.5299999999999998E-2</v>
      </c>
      <c r="S1767" s="37">
        <v>3.6799999999999999E-2</v>
      </c>
    </row>
    <row r="1768" spans="1:19" x14ac:dyDescent="0.2">
      <c r="A1768" s="1"/>
      <c r="B1768" s="13">
        <v>43151</v>
      </c>
      <c r="C1768" s="14">
        <v>72.099999999999994</v>
      </c>
      <c r="D1768" s="15">
        <v>173820</v>
      </c>
      <c r="E1768" s="14">
        <v>73.45</v>
      </c>
      <c r="F1768" s="14">
        <v>73.8</v>
      </c>
      <c r="G1768" s="16">
        <v>71.45</v>
      </c>
      <c r="H1768" s="69">
        <f t="shared" ref="H1768:H1831" si="43">C1768/C1769-1</f>
        <v>-2.6333558406482105E-2</v>
      </c>
      <c r="O1768" s="1319"/>
      <c r="P1768" s="1319"/>
      <c r="Q1768" s="35">
        <v>44897</v>
      </c>
      <c r="R1768" s="36">
        <v>3.5099999999999999E-2</v>
      </c>
      <c r="S1768" s="37">
        <v>3.6699999999999997E-2</v>
      </c>
    </row>
    <row r="1769" spans="1:19" x14ac:dyDescent="0.2">
      <c r="A1769" s="1"/>
      <c r="B1769" s="13">
        <v>43147</v>
      </c>
      <c r="C1769" s="14">
        <v>74.05</v>
      </c>
      <c r="D1769" s="15">
        <v>146826</v>
      </c>
      <c r="E1769" s="14">
        <v>73.099999999999994</v>
      </c>
      <c r="F1769" s="14">
        <v>74.900000000000006</v>
      </c>
      <c r="G1769" s="16">
        <v>73.099999999999994</v>
      </c>
      <c r="H1769" s="69">
        <f t="shared" si="43"/>
        <v>9.5432856169053171E-3</v>
      </c>
      <c r="O1769" s="1319"/>
      <c r="P1769" s="1319"/>
      <c r="Q1769" s="35">
        <v>44900</v>
      </c>
      <c r="R1769" s="36">
        <v>3.6000000000000004E-2</v>
      </c>
      <c r="S1769" s="37">
        <v>3.7999999999999999E-2</v>
      </c>
    </row>
    <row r="1770" spans="1:19" x14ac:dyDescent="0.2">
      <c r="A1770" s="1"/>
      <c r="B1770" s="13">
        <v>43146</v>
      </c>
      <c r="C1770" s="14">
        <v>73.349999999999994</v>
      </c>
      <c r="D1770" s="15">
        <v>233321</v>
      </c>
      <c r="E1770" s="14">
        <v>74.55</v>
      </c>
      <c r="F1770" s="14">
        <v>74.599999999999994</v>
      </c>
      <c r="G1770" s="16">
        <v>71.7</v>
      </c>
      <c r="H1770" s="69">
        <f t="shared" si="43"/>
        <v>-8.7837837837838606E-3</v>
      </c>
      <c r="O1770" s="1319"/>
      <c r="P1770" s="1319"/>
      <c r="Q1770" s="35">
        <v>44901</v>
      </c>
      <c r="R1770" s="36">
        <v>3.5099999999999999E-2</v>
      </c>
      <c r="S1770" s="37">
        <v>3.73E-2</v>
      </c>
    </row>
    <row r="1771" spans="1:19" x14ac:dyDescent="0.2">
      <c r="A1771" s="1"/>
      <c r="B1771" s="13">
        <v>43145</v>
      </c>
      <c r="C1771" s="14">
        <v>74</v>
      </c>
      <c r="D1771" s="15">
        <v>196815</v>
      </c>
      <c r="E1771" s="14">
        <v>71.25</v>
      </c>
      <c r="F1771" s="14">
        <v>74.150000000000006</v>
      </c>
      <c r="G1771" s="16">
        <v>71</v>
      </c>
      <c r="H1771" s="69">
        <f t="shared" si="43"/>
        <v>3.4965034965035002E-2</v>
      </c>
      <c r="O1771" s="1319"/>
      <c r="P1771" s="1319"/>
      <c r="Q1771" s="35">
        <v>44902</v>
      </c>
      <c r="R1771" s="36">
        <v>3.4200000000000001E-2</v>
      </c>
      <c r="S1771" s="37">
        <v>3.6200000000000003E-2</v>
      </c>
    </row>
    <row r="1772" spans="1:19" x14ac:dyDescent="0.2">
      <c r="A1772" s="1"/>
      <c r="B1772" s="13">
        <v>43144</v>
      </c>
      <c r="C1772" s="14">
        <v>71.5</v>
      </c>
      <c r="D1772" s="15">
        <v>175618</v>
      </c>
      <c r="E1772" s="14">
        <v>69.650000000000006</v>
      </c>
      <c r="F1772" s="14">
        <v>72.349999999999994</v>
      </c>
      <c r="G1772" s="16">
        <v>68.474999999999994</v>
      </c>
      <c r="H1772" s="69">
        <f t="shared" si="43"/>
        <v>1.8518518518518379E-2</v>
      </c>
      <c r="O1772" s="1319"/>
      <c r="P1772" s="1319"/>
      <c r="Q1772" s="35">
        <v>44903</v>
      </c>
      <c r="R1772" s="36">
        <v>3.4799999999999998E-2</v>
      </c>
      <c r="S1772" s="37">
        <v>3.7100000000000001E-2</v>
      </c>
    </row>
    <row r="1773" spans="1:19" x14ac:dyDescent="0.2">
      <c r="A1773" s="1"/>
      <c r="B1773" s="13">
        <v>43143</v>
      </c>
      <c r="C1773" s="14">
        <v>70.2</v>
      </c>
      <c r="D1773" s="15">
        <v>229402</v>
      </c>
      <c r="E1773" s="14">
        <v>70.2</v>
      </c>
      <c r="F1773" s="14">
        <v>72.150000000000006</v>
      </c>
      <c r="G1773" s="16">
        <v>68.3</v>
      </c>
      <c r="H1773" s="69">
        <f t="shared" si="43"/>
        <v>2.8571428571428914E-3</v>
      </c>
      <c r="O1773" s="1319"/>
      <c r="P1773" s="1319"/>
      <c r="Q1773" s="35">
        <v>44904</v>
      </c>
      <c r="R1773" s="36">
        <v>3.5699999999999996E-2</v>
      </c>
      <c r="S1773" s="37">
        <v>3.7499999999999999E-2</v>
      </c>
    </row>
    <row r="1774" spans="1:19" x14ac:dyDescent="0.2">
      <c r="A1774" s="1"/>
      <c r="B1774" s="13">
        <v>43140</v>
      </c>
      <c r="C1774" s="14">
        <v>70</v>
      </c>
      <c r="D1774" s="15">
        <v>238598</v>
      </c>
      <c r="E1774" s="14">
        <v>71.349999999999994</v>
      </c>
      <c r="F1774" s="14">
        <v>71.900000000000006</v>
      </c>
      <c r="G1774" s="16">
        <v>68.849999999999994</v>
      </c>
      <c r="H1774" s="69">
        <f t="shared" si="43"/>
        <v>-1.1997177134791759E-2</v>
      </c>
      <c r="O1774" s="1319"/>
      <c r="P1774" s="1319"/>
      <c r="Q1774" s="35">
        <v>44907</v>
      </c>
      <c r="R1774" s="36">
        <v>3.61E-2</v>
      </c>
      <c r="S1774" s="37">
        <v>3.7999999999999999E-2</v>
      </c>
    </row>
    <row r="1775" spans="1:19" x14ac:dyDescent="0.2">
      <c r="A1775" s="1"/>
      <c r="B1775" s="13">
        <v>43139</v>
      </c>
      <c r="C1775" s="14">
        <v>70.849999999999994</v>
      </c>
      <c r="D1775" s="15">
        <v>296819</v>
      </c>
      <c r="E1775" s="14">
        <v>73.8</v>
      </c>
      <c r="F1775" s="14">
        <v>73.8</v>
      </c>
      <c r="G1775" s="16">
        <v>70.8</v>
      </c>
      <c r="H1775" s="69">
        <f t="shared" si="43"/>
        <v>-3.6054421768707545E-2</v>
      </c>
      <c r="O1775" s="1319"/>
      <c r="P1775" s="1319"/>
      <c r="Q1775" s="35">
        <v>44908</v>
      </c>
      <c r="R1775" s="36">
        <v>3.5099999999999999E-2</v>
      </c>
      <c r="S1775" s="37">
        <v>3.6600000000000001E-2</v>
      </c>
    </row>
    <row r="1776" spans="1:19" x14ac:dyDescent="0.2">
      <c r="A1776" s="1"/>
      <c r="B1776" s="13">
        <v>43138</v>
      </c>
      <c r="C1776" s="14">
        <v>73.5</v>
      </c>
      <c r="D1776" s="15">
        <v>341152</v>
      </c>
      <c r="E1776" s="14">
        <v>73</v>
      </c>
      <c r="F1776" s="14">
        <v>74.8</v>
      </c>
      <c r="G1776" s="16">
        <v>73</v>
      </c>
      <c r="H1776" s="69">
        <f t="shared" si="43"/>
        <v>2.044989775051187E-3</v>
      </c>
      <c r="O1776" s="1319"/>
      <c r="P1776" s="1319"/>
      <c r="Q1776" s="35">
        <v>44909</v>
      </c>
      <c r="R1776" s="36">
        <v>3.49E-2</v>
      </c>
      <c r="S1776" s="37">
        <v>3.6400000000000002E-2</v>
      </c>
    </row>
    <row r="1777" spans="1:19" x14ac:dyDescent="0.2">
      <c r="A1777" s="1"/>
      <c r="B1777" s="13">
        <v>43137</v>
      </c>
      <c r="C1777" s="14">
        <v>73.349999999999994</v>
      </c>
      <c r="D1777" s="15">
        <v>303671</v>
      </c>
      <c r="E1777" s="14">
        <v>71.45</v>
      </c>
      <c r="F1777" s="14">
        <v>73.400000000000006</v>
      </c>
      <c r="G1777" s="16">
        <v>70.650000000000006</v>
      </c>
      <c r="H1777" s="69">
        <f t="shared" si="43"/>
        <v>7.2090628218330899E-3</v>
      </c>
      <c r="O1777" s="1319"/>
      <c r="P1777" s="1319"/>
      <c r="Q1777" s="35">
        <v>44910</v>
      </c>
      <c r="R1777" s="36">
        <v>3.44E-2</v>
      </c>
      <c r="S1777" s="37">
        <v>3.6200000000000003E-2</v>
      </c>
    </row>
    <row r="1778" spans="1:19" x14ac:dyDescent="0.2">
      <c r="A1778" s="1"/>
      <c r="B1778" s="13">
        <v>43136</v>
      </c>
      <c r="C1778" s="14">
        <v>72.825000000000003</v>
      </c>
      <c r="D1778" s="15">
        <v>323369</v>
      </c>
      <c r="E1778" s="14">
        <v>77.05</v>
      </c>
      <c r="F1778" s="14">
        <v>77.05</v>
      </c>
      <c r="G1778" s="16">
        <v>72.8</v>
      </c>
      <c r="H1778" s="69">
        <f t="shared" si="43"/>
        <v>-5.483452303698888E-2</v>
      </c>
      <c r="O1778" s="1319"/>
      <c r="P1778" s="1319"/>
      <c r="Q1778" s="35">
        <v>44911</v>
      </c>
      <c r="R1778" s="36">
        <v>3.4799999999999998E-2</v>
      </c>
      <c r="S1778" s="37">
        <v>3.61E-2</v>
      </c>
    </row>
    <row r="1779" spans="1:19" x14ac:dyDescent="0.2">
      <c r="A1779" s="1"/>
      <c r="B1779" s="13">
        <v>43133</v>
      </c>
      <c r="C1779" s="14">
        <v>77.05</v>
      </c>
      <c r="D1779" s="15">
        <v>476152</v>
      </c>
      <c r="E1779" s="14">
        <v>74.2</v>
      </c>
      <c r="F1779" s="14">
        <v>77.05</v>
      </c>
      <c r="G1779" s="16">
        <v>71.75</v>
      </c>
      <c r="H1779" s="69">
        <f t="shared" si="43"/>
        <v>5.8746736292427659E-3</v>
      </c>
      <c r="O1779" s="1319"/>
      <c r="P1779" s="1319"/>
      <c r="Q1779" s="35">
        <v>44914</v>
      </c>
      <c r="R1779" s="36">
        <v>3.5699999999999996E-2</v>
      </c>
      <c r="S1779" s="37">
        <v>3.7000000000000005E-2</v>
      </c>
    </row>
    <row r="1780" spans="1:19" x14ac:dyDescent="0.2">
      <c r="A1780" s="1"/>
      <c r="B1780" s="13">
        <v>43132</v>
      </c>
      <c r="C1780" s="14">
        <v>76.599999999999994</v>
      </c>
      <c r="D1780" s="15">
        <v>448928</v>
      </c>
      <c r="E1780" s="14">
        <v>74.900000000000006</v>
      </c>
      <c r="F1780" s="14">
        <v>77.2</v>
      </c>
      <c r="G1780" s="16">
        <v>74.204999999999998</v>
      </c>
      <c r="H1780" s="69">
        <f t="shared" si="43"/>
        <v>1.3898080741231E-2</v>
      </c>
      <c r="O1780" s="1319"/>
      <c r="P1780" s="1319"/>
      <c r="Q1780" s="35">
        <v>44915</v>
      </c>
      <c r="R1780" s="36">
        <v>3.6900000000000002E-2</v>
      </c>
      <c r="S1780" s="37">
        <v>3.7900000000000003E-2</v>
      </c>
    </row>
    <row r="1781" spans="1:19" x14ac:dyDescent="0.2">
      <c r="A1781" s="1"/>
      <c r="B1781" s="13">
        <v>43131</v>
      </c>
      <c r="C1781" s="14">
        <v>75.55</v>
      </c>
      <c r="D1781" s="15">
        <v>281713</v>
      </c>
      <c r="E1781" s="14">
        <v>77.150000000000006</v>
      </c>
      <c r="F1781" s="14">
        <v>78.8</v>
      </c>
      <c r="G1781" s="16">
        <v>75.150000000000006</v>
      </c>
      <c r="H1781" s="69">
        <f t="shared" si="43"/>
        <v>-1.5635179153094536E-2</v>
      </c>
      <c r="O1781" s="1319"/>
      <c r="P1781" s="1319"/>
      <c r="Q1781" s="35">
        <v>44916</v>
      </c>
      <c r="R1781" s="36">
        <v>3.6799999999999999E-2</v>
      </c>
      <c r="S1781" s="37">
        <v>3.78E-2</v>
      </c>
    </row>
    <row r="1782" spans="1:19" x14ac:dyDescent="0.2">
      <c r="A1782" s="1"/>
      <c r="B1782" s="13">
        <v>43130</v>
      </c>
      <c r="C1782" s="14">
        <v>76.75</v>
      </c>
      <c r="D1782" s="15">
        <v>195213</v>
      </c>
      <c r="E1782" s="14">
        <v>76.7</v>
      </c>
      <c r="F1782" s="14">
        <v>77.75</v>
      </c>
      <c r="G1782" s="16">
        <v>76.099999999999994</v>
      </c>
      <c r="H1782" s="69">
        <f t="shared" si="43"/>
        <v>-5.8290155440414715E-3</v>
      </c>
      <c r="O1782" s="1319"/>
      <c r="P1782" s="1319"/>
      <c r="Q1782" s="35">
        <v>44917</v>
      </c>
      <c r="R1782" s="36">
        <v>3.6699999999999997E-2</v>
      </c>
      <c r="S1782" s="37">
        <v>3.7900000000000003E-2</v>
      </c>
    </row>
    <row r="1783" spans="1:19" x14ac:dyDescent="0.2">
      <c r="A1783" s="1"/>
      <c r="B1783" s="13">
        <v>43129</v>
      </c>
      <c r="C1783" s="14">
        <v>77.2</v>
      </c>
      <c r="D1783" s="15">
        <v>128468</v>
      </c>
      <c r="E1783" s="14">
        <v>77.900000000000006</v>
      </c>
      <c r="F1783" s="14">
        <v>78.900000000000006</v>
      </c>
      <c r="G1783" s="16">
        <v>77.05</v>
      </c>
      <c r="H1783" s="69">
        <f t="shared" si="43"/>
        <v>-1.2156110044785673E-2</v>
      </c>
      <c r="O1783" s="1319"/>
      <c r="P1783" s="1319"/>
      <c r="Q1783" s="35">
        <v>44918</v>
      </c>
      <c r="R1783" s="36">
        <v>3.7499999999999999E-2</v>
      </c>
      <c r="S1783" s="37">
        <v>3.8599999999999995E-2</v>
      </c>
    </row>
    <row r="1784" spans="1:19" x14ac:dyDescent="0.2">
      <c r="A1784" s="1"/>
      <c r="B1784" s="13">
        <v>43126</v>
      </c>
      <c r="C1784" s="14">
        <v>78.150000000000006</v>
      </c>
      <c r="D1784" s="15">
        <v>183989</v>
      </c>
      <c r="E1784" s="14">
        <v>79.849999999999994</v>
      </c>
      <c r="F1784" s="14">
        <v>79.95</v>
      </c>
      <c r="G1784" s="16">
        <v>78.099999999999994</v>
      </c>
      <c r="H1784" s="69">
        <f t="shared" si="43"/>
        <v>-1.8216080402009949E-2</v>
      </c>
      <c r="O1784" s="1319"/>
      <c r="P1784" s="1319"/>
      <c r="Q1784" s="35">
        <v>44922</v>
      </c>
      <c r="R1784" s="36">
        <v>3.8399999999999997E-2</v>
      </c>
      <c r="S1784" s="37">
        <v>3.9399999999999998E-2</v>
      </c>
    </row>
    <row r="1785" spans="1:19" x14ac:dyDescent="0.2">
      <c r="A1785" s="1"/>
      <c r="B1785" s="13">
        <v>43125</v>
      </c>
      <c r="C1785" s="14">
        <v>79.599999999999994</v>
      </c>
      <c r="D1785" s="15">
        <v>510708</v>
      </c>
      <c r="E1785" s="14">
        <v>78.400000000000006</v>
      </c>
      <c r="F1785" s="14">
        <v>79.650000000000006</v>
      </c>
      <c r="G1785" s="16">
        <v>77.55</v>
      </c>
      <c r="H1785" s="69">
        <f t="shared" si="43"/>
        <v>2.2479126525369209E-2</v>
      </c>
      <c r="O1785" s="1319"/>
      <c r="P1785" s="1319"/>
      <c r="Q1785" s="35">
        <v>44923</v>
      </c>
      <c r="R1785" s="36">
        <v>3.8800000000000001E-2</v>
      </c>
      <c r="S1785" s="37">
        <v>3.9699999999999999E-2</v>
      </c>
    </row>
    <row r="1786" spans="1:19" x14ac:dyDescent="0.2">
      <c r="A1786" s="1"/>
      <c r="B1786" s="13">
        <v>43124</v>
      </c>
      <c r="C1786" s="14">
        <v>77.849999999999994</v>
      </c>
      <c r="D1786" s="15">
        <v>380554</v>
      </c>
      <c r="E1786" s="14">
        <v>78.3</v>
      </c>
      <c r="F1786" s="14">
        <v>80.25</v>
      </c>
      <c r="G1786" s="16">
        <v>77.650000000000006</v>
      </c>
      <c r="H1786" s="69">
        <f t="shared" si="43"/>
        <v>-4.4757033248082889E-3</v>
      </c>
      <c r="O1786" s="1319"/>
      <c r="P1786" s="1319"/>
      <c r="Q1786" s="35">
        <v>44924</v>
      </c>
      <c r="R1786" s="36">
        <v>3.8300000000000001E-2</v>
      </c>
      <c r="S1786" s="37">
        <v>3.9399999999999998E-2</v>
      </c>
    </row>
    <row r="1787" spans="1:19" x14ac:dyDescent="0.2">
      <c r="A1787" s="1"/>
      <c r="B1787" s="13">
        <v>43123</v>
      </c>
      <c r="C1787" s="14">
        <v>78.2</v>
      </c>
      <c r="D1787" s="15">
        <v>116793</v>
      </c>
      <c r="E1787" s="14">
        <v>77.650000000000006</v>
      </c>
      <c r="F1787" s="14">
        <v>78.7</v>
      </c>
      <c r="G1787" s="16">
        <v>77.3</v>
      </c>
      <c r="H1787" s="69">
        <f t="shared" si="43"/>
        <v>4.4958253050739749E-3</v>
      </c>
      <c r="O1787" s="1319"/>
      <c r="P1787" s="1319"/>
      <c r="Q1787" s="35">
        <v>44925</v>
      </c>
      <c r="R1787" s="36">
        <v>3.8800000000000001E-2</v>
      </c>
      <c r="S1787" s="37">
        <v>3.9900000000000005E-2</v>
      </c>
    </row>
    <row r="1788" spans="1:19" x14ac:dyDescent="0.2">
      <c r="A1788" s="1"/>
      <c r="B1788" s="13">
        <v>43122</v>
      </c>
      <c r="C1788" s="14">
        <v>77.849999999999994</v>
      </c>
      <c r="D1788" s="15">
        <v>188971</v>
      </c>
      <c r="E1788" s="14">
        <v>78.2</v>
      </c>
      <c r="F1788" s="14">
        <v>78.7</v>
      </c>
      <c r="G1788" s="16">
        <v>77.495000000000005</v>
      </c>
      <c r="H1788" s="69">
        <f t="shared" si="43"/>
        <v>-3.2010243277849071E-3</v>
      </c>
      <c r="O1788" s="1319"/>
      <c r="P1788" s="1319"/>
      <c r="Q1788" s="35">
        <v>44929</v>
      </c>
      <c r="R1788" s="36">
        <v>3.7900000000000003E-2</v>
      </c>
      <c r="S1788" s="37">
        <v>3.9399999999999998E-2</v>
      </c>
    </row>
    <row r="1789" spans="1:19" x14ac:dyDescent="0.2">
      <c r="A1789" s="1"/>
      <c r="B1789" s="13">
        <v>43119</v>
      </c>
      <c r="C1789" s="14">
        <v>78.099999999999994</v>
      </c>
      <c r="D1789" s="15">
        <v>266958</v>
      </c>
      <c r="E1789" s="14">
        <v>77.75</v>
      </c>
      <c r="F1789" s="14">
        <v>78.944999999999993</v>
      </c>
      <c r="G1789" s="16">
        <v>77.05</v>
      </c>
      <c r="H1789" s="69">
        <f t="shared" si="43"/>
        <v>4.5016077170416668E-3</v>
      </c>
      <c r="O1789" s="1319"/>
      <c r="P1789" s="1319"/>
      <c r="Q1789" s="35">
        <v>44930</v>
      </c>
      <c r="R1789" s="36">
        <v>3.6900000000000002E-2</v>
      </c>
      <c r="S1789" s="37">
        <v>3.85E-2</v>
      </c>
    </row>
    <row r="1790" spans="1:19" x14ac:dyDescent="0.2">
      <c r="A1790" s="1"/>
      <c r="B1790" s="13">
        <v>43118</v>
      </c>
      <c r="C1790" s="14">
        <v>77.75</v>
      </c>
      <c r="D1790" s="15">
        <v>218402</v>
      </c>
      <c r="E1790" s="14">
        <v>76.150000000000006</v>
      </c>
      <c r="F1790" s="14">
        <v>78</v>
      </c>
      <c r="G1790" s="16">
        <v>75.849999999999994</v>
      </c>
      <c r="H1790" s="69">
        <f t="shared" si="43"/>
        <v>2.1011162179908061E-2</v>
      </c>
      <c r="O1790" s="1319"/>
      <c r="P1790" s="1319"/>
      <c r="Q1790" s="35">
        <v>44931</v>
      </c>
      <c r="R1790" s="36">
        <v>3.7100000000000001E-2</v>
      </c>
      <c r="S1790" s="37">
        <v>3.9E-2</v>
      </c>
    </row>
    <row r="1791" spans="1:19" x14ac:dyDescent="0.2">
      <c r="A1791" s="1"/>
      <c r="B1791" s="13">
        <v>43117</v>
      </c>
      <c r="C1791" s="14">
        <v>76.150000000000006</v>
      </c>
      <c r="D1791" s="15">
        <v>162662</v>
      </c>
      <c r="E1791" s="14">
        <v>76.3</v>
      </c>
      <c r="F1791" s="14">
        <v>76.55</v>
      </c>
      <c r="G1791" s="16">
        <v>75.75</v>
      </c>
      <c r="H1791" s="69">
        <f t="shared" si="43"/>
        <v>7.941760423560762E-3</v>
      </c>
      <c r="O1791" s="1319"/>
      <c r="P1791" s="1319"/>
      <c r="Q1791" s="35">
        <v>44932</v>
      </c>
      <c r="R1791" s="36">
        <v>3.5499999999999997E-2</v>
      </c>
      <c r="S1791" s="37">
        <v>3.6900000000000002E-2</v>
      </c>
    </row>
    <row r="1792" spans="1:19" x14ac:dyDescent="0.2">
      <c r="A1792" s="1"/>
      <c r="B1792" s="13">
        <v>43116</v>
      </c>
      <c r="C1792" s="14">
        <v>75.55</v>
      </c>
      <c r="D1792" s="15">
        <v>290615</v>
      </c>
      <c r="E1792" s="14">
        <v>76.55</v>
      </c>
      <c r="F1792" s="14">
        <v>78.45</v>
      </c>
      <c r="G1792" s="16">
        <v>75.45</v>
      </c>
      <c r="H1792" s="69">
        <f t="shared" si="43"/>
        <v>-3.9551746868820015E-3</v>
      </c>
      <c r="O1792" s="1319"/>
      <c r="P1792" s="1319"/>
      <c r="Q1792" s="35">
        <v>44935</v>
      </c>
      <c r="R1792" s="36">
        <v>3.5299999999999998E-2</v>
      </c>
      <c r="S1792" s="37">
        <v>3.6600000000000001E-2</v>
      </c>
    </row>
    <row r="1793" spans="1:19" x14ac:dyDescent="0.2">
      <c r="A1793" s="1"/>
      <c r="B1793" s="13">
        <v>43112</v>
      </c>
      <c r="C1793" s="14">
        <v>75.849999999999994</v>
      </c>
      <c r="D1793" s="15">
        <v>152326</v>
      </c>
      <c r="E1793" s="14">
        <v>76.349999999999994</v>
      </c>
      <c r="F1793" s="14">
        <v>77</v>
      </c>
      <c r="G1793" s="16">
        <v>75.2</v>
      </c>
      <c r="H1793" s="69">
        <f t="shared" si="43"/>
        <v>1.3201320132012473E-3</v>
      </c>
      <c r="O1793" s="1319"/>
      <c r="P1793" s="1319"/>
      <c r="Q1793" s="35">
        <v>44936</v>
      </c>
      <c r="R1793" s="36">
        <v>3.61E-2</v>
      </c>
      <c r="S1793" s="37">
        <v>3.7200000000000004E-2</v>
      </c>
    </row>
    <row r="1794" spans="1:19" x14ac:dyDescent="0.2">
      <c r="A1794" s="1"/>
      <c r="B1794" s="13">
        <v>43111</v>
      </c>
      <c r="C1794" s="14">
        <v>75.75</v>
      </c>
      <c r="D1794" s="15">
        <v>140575</v>
      </c>
      <c r="E1794" s="14">
        <v>73.95</v>
      </c>
      <c r="F1794" s="14">
        <v>76.25</v>
      </c>
      <c r="G1794" s="16">
        <v>73.849999999999994</v>
      </c>
      <c r="H1794" s="69">
        <f t="shared" si="43"/>
        <v>2.3648648648648685E-2</v>
      </c>
      <c r="O1794" s="1319"/>
      <c r="P1794" s="1319"/>
      <c r="Q1794" s="35">
        <v>44937</v>
      </c>
      <c r="R1794" s="36">
        <v>3.5400000000000001E-2</v>
      </c>
      <c r="S1794" s="37">
        <v>3.6600000000000001E-2</v>
      </c>
    </row>
    <row r="1795" spans="1:19" x14ac:dyDescent="0.2">
      <c r="A1795" s="1"/>
      <c r="B1795" s="13">
        <v>43110</v>
      </c>
      <c r="C1795" s="14">
        <v>74</v>
      </c>
      <c r="D1795" s="15">
        <v>271663</v>
      </c>
      <c r="E1795" s="14">
        <v>73.099999999999994</v>
      </c>
      <c r="F1795" s="14">
        <v>74.25</v>
      </c>
      <c r="G1795" s="16">
        <v>72.349999999999994</v>
      </c>
      <c r="H1795" s="69">
        <f t="shared" si="43"/>
        <v>3.3898305084745228E-3</v>
      </c>
      <c r="O1795" s="1319"/>
      <c r="P1795" s="1319"/>
      <c r="Q1795" s="35">
        <v>44938</v>
      </c>
      <c r="R1795" s="36">
        <v>3.4300000000000004E-2</v>
      </c>
      <c r="S1795" s="37">
        <v>3.5299999999999998E-2</v>
      </c>
    </row>
    <row r="1796" spans="1:19" x14ac:dyDescent="0.2">
      <c r="A1796" s="1"/>
      <c r="B1796" s="13">
        <v>43109</v>
      </c>
      <c r="C1796" s="14">
        <v>73.75</v>
      </c>
      <c r="D1796" s="15">
        <v>251570</v>
      </c>
      <c r="E1796" s="14">
        <v>71.8</v>
      </c>
      <c r="F1796" s="14">
        <v>74.05</v>
      </c>
      <c r="G1796" s="16">
        <v>71.8</v>
      </c>
      <c r="H1796" s="69">
        <f t="shared" si="43"/>
        <v>2.7874564459930307E-2</v>
      </c>
      <c r="O1796" s="1319"/>
      <c r="P1796" s="1319"/>
      <c r="Q1796" s="35">
        <v>44939</v>
      </c>
      <c r="R1796" s="36">
        <v>3.49E-2</v>
      </c>
      <c r="S1796" s="37">
        <v>3.6000000000000004E-2</v>
      </c>
    </row>
    <row r="1797" spans="1:19" x14ac:dyDescent="0.2">
      <c r="A1797" s="1"/>
      <c r="B1797" s="13">
        <v>43108</v>
      </c>
      <c r="C1797" s="14">
        <v>71.75</v>
      </c>
      <c r="D1797" s="15">
        <v>227040</v>
      </c>
      <c r="E1797" s="14">
        <v>71.099999999999994</v>
      </c>
      <c r="F1797" s="14">
        <v>71.900000000000006</v>
      </c>
      <c r="G1797" s="16">
        <v>70.7</v>
      </c>
      <c r="H1797" s="69">
        <f t="shared" si="43"/>
        <v>9.8522167487684609E-3</v>
      </c>
      <c r="O1797" s="1319"/>
      <c r="P1797" s="1319"/>
      <c r="Q1797" s="35">
        <v>44943</v>
      </c>
      <c r="R1797" s="36">
        <v>3.5299999999999998E-2</v>
      </c>
      <c r="S1797" s="37">
        <v>3.6000000000000004E-2</v>
      </c>
    </row>
    <row r="1798" spans="1:19" x14ac:dyDescent="0.2">
      <c r="A1798" s="1"/>
      <c r="B1798" s="13">
        <v>43105</v>
      </c>
      <c r="C1798" s="14">
        <v>71.05</v>
      </c>
      <c r="D1798" s="15">
        <v>180522</v>
      </c>
      <c r="E1798" s="14">
        <v>71.5</v>
      </c>
      <c r="F1798" s="14">
        <v>71.650000000000006</v>
      </c>
      <c r="G1798" s="16">
        <v>70.099999999999994</v>
      </c>
      <c r="H1798" s="69">
        <f t="shared" si="43"/>
        <v>-2.1067415730338102E-3</v>
      </c>
      <c r="O1798" s="1319"/>
      <c r="P1798" s="1319"/>
      <c r="Q1798" s="35">
        <v>44944</v>
      </c>
      <c r="R1798" s="36">
        <v>3.3700000000000001E-2</v>
      </c>
      <c r="S1798" s="37">
        <v>3.4300000000000004E-2</v>
      </c>
    </row>
    <row r="1799" spans="1:19" x14ac:dyDescent="0.2">
      <c r="A1799" s="1"/>
      <c r="B1799" s="13">
        <v>43104</v>
      </c>
      <c r="C1799" s="14">
        <v>71.2</v>
      </c>
      <c r="D1799" s="15">
        <v>168909</v>
      </c>
      <c r="E1799" s="14">
        <v>71.650000000000006</v>
      </c>
      <c r="F1799" s="14">
        <v>72.45</v>
      </c>
      <c r="G1799" s="16">
        <v>70.8</v>
      </c>
      <c r="H1799" s="69">
        <f t="shared" si="43"/>
        <v>2.1111893033076701E-3</v>
      </c>
      <c r="O1799" s="1319"/>
      <c r="P1799" s="1319"/>
      <c r="Q1799" s="35">
        <v>44945</v>
      </c>
      <c r="R1799" s="36">
        <v>3.39E-2</v>
      </c>
      <c r="S1799" s="37">
        <v>3.4799999999999998E-2</v>
      </c>
    </row>
    <row r="1800" spans="1:19" x14ac:dyDescent="0.2">
      <c r="A1800" s="1"/>
      <c r="B1800" s="13">
        <v>43103</v>
      </c>
      <c r="C1800" s="14">
        <v>71.05</v>
      </c>
      <c r="D1800" s="15">
        <v>244283</v>
      </c>
      <c r="E1800" s="14">
        <v>71.5</v>
      </c>
      <c r="F1800" s="14">
        <v>71.625</v>
      </c>
      <c r="G1800" s="16">
        <v>69.400000000000006</v>
      </c>
      <c r="H1800" s="69">
        <f t="shared" si="43"/>
        <v>-6.2937062937062915E-3</v>
      </c>
      <c r="O1800" s="1319"/>
      <c r="P1800" s="1319"/>
      <c r="Q1800" s="35">
        <v>44946</v>
      </c>
      <c r="R1800" s="36">
        <v>3.4799999999999998E-2</v>
      </c>
      <c r="S1800" s="37">
        <v>3.56E-2</v>
      </c>
    </row>
    <row r="1801" spans="1:19" x14ac:dyDescent="0.2">
      <c r="A1801" s="1"/>
      <c r="B1801" s="13">
        <v>43102</v>
      </c>
      <c r="C1801" s="14">
        <v>71.5</v>
      </c>
      <c r="D1801" s="15">
        <v>131551</v>
      </c>
      <c r="E1801" s="14">
        <v>71.400000000000006</v>
      </c>
      <c r="F1801" s="14">
        <v>71.7</v>
      </c>
      <c r="G1801" s="16">
        <v>70.75</v>
      </c>
      <c r="H1801" s="69">
        <f t="shared" si="43"/>
        <v>1.0600706713780994E-2</v>
      </c>
      <c r="O1801" s="1319"/>
      <c r="P1801" s="1319"/>
      <c r="Q1801" s="35">
        <v>44949</v>
      </c>
      <c r="R1801" s="36">
        <v>3.5200000000000002E-2</v>
      </c>
      <c r="S1801" s="37">
        <v>3.61E-2</v>
      </c>
    </row>
    <row r="1802" spans="1:19" x14ac:dyDescent="0.2">
      <c r="A1802" s="1"/>
      <c r="B1802" s="13">
        <v>43098</v>
      </c>
      <c r="C1802" s="14">
        <v>70.75</v>
      </c>
      <c r="D1802" s="15">
        <v>125441</v>
      </c>
      <c r="E1802" s="14">
        <v>71.849999999999994</v>
      </c>
      <c r="F1802" s="14">
        <v>72.400000000000006</v>
      </c>
      <c r="G1802" s="16">
        <v>70.7</v>
      </c>
      <c r="H1802" s="69">
        <f t="shared" si="43"/>
        <v>-1.0489510489510523E-2</v>
      </c>
      <c r="O1802" s="1319"/>
      <c r="P1802" s="1319"/>
      <c r="Q1802" s="35">
        <v>44950</v>
      </c>
      <c r="R1802" s="36">
        <v>3.4599999999999999E-2</v>
      </c>
      <c r="S1802" s="37">
        <v>3.5799999999999998E-2</v>
      </c>
    </row>
    <row r="1803" spans="1:19" x14ac:dyDescent="0.2">
      <c r="A1803" s="1"/>
      <c r="B1803" s="13">
        <v>43097</v>
      </c>
      <c r="C1803" s="14">
        <v>71.5</v>
      </c>
      <c r="D1803" s="15">
        <v>113416</v>
      </c>
      <c r="E1803" s="14">
        <v>70.650000000000006</v>
      </c>
      <c r="F1803" s="14">
        <v>71.7</v>
      </c>
      <c r="G1803" s="16">
        <v>70.150000000000006</v>
      </c>
      <c r="H1803" s="69">
        <f t="shared" si="43"/>
        <v>1.3465627214741316E-2</v>
      </c>
      <c r="O1803" s="1319"/>
      <c r="P1803" s="1319"/>
      <c r="Q1803" s="35">
        <v>44951</v>
      </c>
      <c r="R1803" s="36">
        <v>3.4599999999999999E-2</v>
      </c>
      <c r="S1803" s="37">
        <v>3.5400000000000001E-2</v>
      </c>
    </row>
    <row r="1804" spans="1:19" x14ac:dyDescent="0.2">
      <c r="A1804" s="1"/>
      <c r="B1804" s="13">
        <v>43096</v>
      </c>
      <c r="C1804" s="14">
        <v>70.55</v>
      </c>
      <c r="D1804" s="15">
        <v>77411</v>
      </c>
      <c r="E1804" s="14">
        <v>70.5</v>
      </c>
      <c r="F1804" s="14">
        <v>71.05</v>
      </c>
      <c r="G1804" s="16">
        <v>70.125</v>
      </c>
      <c r="H1804" s="69">
        <f t="shared" si="43"/>
        <v>2.1306818181816567E-3</v>
      </c>
      <c r="O1804" s="1319"/>
      <c r="P1804" s="1319"/>
      <c r="Q1804" s="35">
        <v>44952</v>
      </c>
      <c r="R1804" s="36">
        <v>3.49E-2</v>
      </c>
      <c r="S1804" s="37">
        <v>3.5799999999999998E-2</v>
      </c>
    </row>
    <row r="1805" spans="1:19" x14ac:dyDescent="0.2">
      <c r="A1805" s="1"/>
      <c r="B1805" s="13">
        <v>43095</v>
      </c>
      <c r="C1805" s="14">
        <v>70.400000000000006</v>
      </c>
      <c r="D1805" s="15">
        <v>90599</v>
      </c>
      <c r="E1805" s="14">
        <v>70.75</v>
      </c>
      <c r="F1805" s="14">
        <v>71.025000000000006</v>
      </c>
      <c r="G1805" s="16">
        <v>69.174999999999997</v>
      </c>
      <c r="H1805" s="69">
        <f t="shared" si="43"/>
        <v>-5.6497175141241307E-3</v>
      </c>
      <c r="O1805" s="1319"/>
      <c r="P1805" s="1319"/>
      <c r="Q1805" s="35">
        <v>44953</v>
      </c>
      <c r="R1805" s="36">
        <v>3.5200000000000002E-2</v>
      </c>
      <c r="S1805" s="37">
        <v>3.6200000000000003E-2</v>
      </c>
    </row>
    <row r="1806" spans="1:19" x14ac:dyDescent="0.2">
      <c r="A1806" s="1"/>
      <c r="B1806" s="13">
        <v>43091</v>
      </c>
      <c r="C1806" s="14">
        <v>70.8</v>
      </c>
      <c r="D1806" s="15">
        <v>168771</v>
      </c>
      <c r="E1806" s="14">
        <v>69.25</v>
      </c>
      <c r="F1806" s="14">
        <v>70.900000000000006</v>
      </c>
      <c r="G1806" s="16">
        <v>68.8</v>
      </c>
      <c r="H1806" s="69">
        <f t="shared" si="43"/>
        <v>2.2382671480144278E-2</v>
      </c>
      <c r="O1806" s="1319"/>
      <c r="P1806" s="1319"/>
      <c r="Q1806" s="35">
        <v>44956</v>
      </c>
      <c r="R1806" s="36">
        <v>3.5499999999999997E-2</v>
      </c>
      <c r="S1806" s="37">
        <v>3.6799999999999999E-2</v>
      </c>
    </row>
    <row r="1807" spans="1:19" x14ac:dyDescent="0.2">
      <c r="A1807" s="1"/>
      <c r="B1807" s="13">
        <v>43090</v>
      </c>
      <c r="C1807" s="14">
        <v>69.25</v>
      </c>
      <c r="D1807" s="15">
        <v>69111</v>
      </c>
      <c r="E1807" s="14">
        <v>69.650000000000006</v>
      </c>
      <c r="F1807" s="14">
        <v>70</v>
      </c>
      <c r="G1807" s="16">
        <v>68.599999999999994</v>
      </c>
      <c r="H1807" s="69">
        <f t="shared" si="43"/>
        <v>-5.0287356321838672E-3</v>
      </c>
      <c r="O1807" s="1319"/>
      <c r="P1807" s="1319"/>
      <c r="Q1807" s="35">
        <v>44957</v>
      </c>
      <c r="R1807" s="36">
        <v>3.5200000000000002E-2</v>
      </c>
      <c r="S1807" s="37">
        <v>3.6299999999999999E-2</v>
      </c>
    </row>
    <row r="1808" spans="1:19" x14ac:dyDescent="0.2">
      <c r="A1808" s="1"/>
      <c r="B1808" s="13">
        <v>43089</v>
      </c>
      <c r="C1808" s="14">
        <v>69.599999999999994</v>
      </c>
      <c r="D1808" s="15">
        <v>80197</v>
      </c>
      <c r="E1808" s="14">
        <v>69.849999999999994</v>
      </c>
      <c r="F1808" s="14">
        <v>69.95</v>
      </c>
      <c r="G1808" s="16">
        <v>69.275000000000006</v>
      </c>
      <c r="H1808" s="69">
        <f t="shared" si="43"/>
        <v>1.4388489208632116E-3</v>
      </c>
      <c r="O1808" s="1319"/>
      <c r="P1808" s="1319"/>
      <c r="Q1808" s="35">
        <v>44958</v>
      </c>
      <c r="R1808" s="36">
        <v>3.39E-2</v>
      </c>
      <c r="S1808" s="37">
        <v>3.4799999999999998E-2</v>
      </c>
    </row>
    <row r="1809" spans="1:19" x14ac:dyDescent="0.2">
      <c r="A1809" s="1"/>
      <c r="B1809" s="13">
        <v>43088</v>
      </c>
      <c r="C1809" s="14">
        <v>69.5</v>
      </c>
      <c r="D1809" s="15">
        <v>106526</v>
      </c>
      <c r="E1809" s="14">
        <v>70.05</v>
      </c>
      <c r="F1809" s="14">
        <v>70.05</v>
      </c>
      <c r="G1809" s="16">
        <v>68.849999999999994</v>
      </c>
      <c r="H1809" s="69">
        <f t="shared" si="43"/>
        <v>-8.5592011412267688E-3</v>
      </c>
      <c r="O1809" s="1319"/>
      <c r="P1809" s="1319"/>
      <c r="Q1809" s="35">
        <v>44959</v>
      </c>
      <c r="R1809" s="36">
        <v>3.4000000000000002E-2</v>
      </c>
      <c r="S1809" s="37">
        <v>3.49E-2</v>
      </c>
    </row>
    <row r="1810" spans="1:19" x14ac:dyDescent="0.2">
      <c r="A1810" s="1"/>
      <c r="B1810" s="13">
        <v>43087</v>
      </c>
      <c r="C1810" s="14">
        <v>70.099999999999994</v>
      </c>
      <c r="D1810" s="15">
        <v>140990</v>
      </c>
      <c r="E1810" s="14">
        <v>69.8</v>
      </c>
      <c r="F1810" s="14">
        <v>70.75</v>
      </c>
      <c r="G1810" s="16">
        <v>69.45</v>
      </c>
      <c r="H1810" s="69">
        <f t="shared" si="43"/>
        <v>7.1839080459770166E-3</v>
      </c>
      <c r="O1810" s="1319"/>
      <c r="P1810" s="1319"/>
      <c r="Q1810" s="35">
        <v>44960</v>
      </c>
      <c r="R1810" s="36">
        <v>3.5299999999999998E-2</v>
      </c>
      <c r="S1810" s="37">
        <v>3.6699999999999997E-2</v>
      </c>
    </row>
    <row r="1811" spans="1:19" x14ac:dyDescent="0.2">
      <c r="A1811" s="1"/>
      <c r="B1811" s="13">
        <v>43084</v>
      </c>
      <c r="C1811" s="14">
        <v>69.599999999999994</v>
      </c>
      <c r="D1811" s="15">
        <v>336599</v>
      </c>
      <c r="E1811" s="14">
        <v>68.400000000000006</v>
      </c>
      <c r="F1811" s="14">
        <v>70</v>
      </c>
      <c r="G1811" s="16">
        <v>67</v>
      </c>
      <c r="H1811" s="69">
        <f t="shared" si="43"/>
        <v>2.0527859237536639E-2</v>
      </c>
      <c r="O1811" s="1319"/>
      <c r="P1811" s="1319"/>
      <c r="Q1811" s="35">
        <v>44963</v>
      </c>
      <c r="R1811" s="36">
        <v>3.6299999999999999E-2</v>
      </c>
      <c r="S1811" s="37">
        <v>3.8100000000000002E-2</v>
      </c>
    </row>
    <row r="1812" spans="1:19" x14ac:dyDescent="0.2">
      <c r="A1812" s="1"/>
      <c r="B1812" s="13">
        <v>43083</v>
      </c>
      <c r="C1812" s="14">
        <v>68.2</v>
      </c>
      <c r="D1812" s="15">
        <v>187899</v>
      </c>
      <c r="E1812" s="14">
        <v>69.2</v>
      </c>
      <c r="F1812" s="14">
        <v>69.2</v>
      </c>
      <c r="G1812" s="16">
        <v>68.099999999999994</v>
      </c>
      <c r="H1812" s="69">
        <f t="shared" si="43"/>
        <v>-1.1594202898550732E-2</v>
      </c>
      <c r="O1812" s="1319"/>
      <c r="P1812" s="1319"/>
      <c r="Q1812" s="35">
        <v>44964</v>
      </c>
      <c r="R1812" s="36">
        <v>3.6699999999999997E-2</v>
      </c>
      <c r="S1812" s="37">
        <v>3.85E-2</v>
      </c>
    </row>
    <row r="1813" spans="1:19" x14ac:dyDescent="0.2">
      <c r="A1813" s="1"/>
      <c r="B1813" s="13">
        <v>43082</v>
      </c>
      <c r="C1813" s="14">
        <v>69</v>
      </c>
      <c r="D1813" s="15">
        <v>119325</v>
      </c>
      <c r="E1813" s="14">
        <v>68</v>
      </c>
      <c r="F1813" s="14">
        <v>70.525000000000006</v>
      </c>
      <c r="G1813" s="16">
        <v>67.5</v>
      </c>
      <c r="H1813" s="69">
        <f t="shared" si="43"/>
        <v>1.247248716067495E-2</v>
      </c>
      <c r="O1813" s="1319"/>
      <c r="P1813" s="1319"/>
      <c r="Q1813" s="35">
        <v>44965</v>
      </c>
      <c r="R1813" s="36">
        <v>3.6299999999999999E-2</v>
      </c>
      <c r="S1813" s="37">
        <v>3.8199999999999998E-2</v>
      </c>
    </row>
    <row r="1814" spans="1:19" x14ac:dyDescent="0.2">
      <c r="A1814" s="1"/>
      <c r="B1814" s="13">
        <v>43081</v>
      </c>
      <c r="C1814" s="14">
        <v>68.150000000000006</v>
      </c>
      <c r="D1814" s="15">
        <v>133830</v>
      </c>
      <c r="E1814" s="14">
        <v>68</v>
      </c>
      <c r="F1814" s="14">
        <v>68.650000000000006</v>
      </c>
      <c r="G1814" s="16">
        <v>67.599999999999994</v>
      </c>
      <c r="H1814" s="69">
        <f t="shared" si="43"/>
        <v>2.9433406916850036E-3</v>
      </c>
      <c r="O1814" s="1319"/>
      <c r="P1814" s="1319"/>
      <c r="Q1814" s="35">
        <v>44966</v>
      </c>
      <c r="R1814" s="36">
        <v>3.6699999999999997E-2</v>
      </c>
      <c r="S1814" s="37">
        <v>3.8699999999999998E-2</v>
      </c>
    </row>
    <row r="1815" spans="1:19" x14ac:dyDescent="0.2">
      <c r="A1815" s="1"/>
      <c r="B1815" s="13">
        <v>43080</v>
      </c>
      <c r="C1815" s="14">
        <v>67.95</v>
      </c>
      <c r="D1815" s="15">
        <v>223747</v>
      </c>
      <c r="E1815" s="14">
        <v>68.75</v>
      </c>
      <c r="F1815" s="14">
        <v>69.25</v>
      </c>
      <c r="G1815" s="16">
        <v>67.494</v>
      </c>
      <c r="H1815" s="69">
        <f t="shared" si="43"/>
        <v>-1.2354651162790664E-2</v>
      </c>
      <c r="O1815" s="1319"/>
      <c r="P1815" s="1319"/>
      <c r="Q1815" s="35">
        <v>44967</v>
      </c>
      <c r="R1815" s="36">
        <v>3.7400000000000003E-2</v>
      </c>
      <c r="S1815" s="37">
        <v>3.9300000000000002E-2</v>
      </c>
    </row>
    <row r="1816" spans="1:19" x14ac:dyDescent="0.2">
      <c r="A1816" s="1"/>
      <c r="B1816" s="13">
        <v>43077</v>
      </c>
      <c r="C1816" s="14">
        <v>68.8</v>
      </c>
      <c r="D1816" s="15">
        <v>115625</v>
      </c>
      <c r="E1816" s="14">
        <v>68.900000000000006</v>
      </c>
      <c r="F1816" s="14">
        <v>69.599999999999994</v>
      </c>
      <c r="G1816" s="16">
        <v>68.400000000000006</v>
      </c>
      <c r="H1816" s="69">
        <f t="shared" si="43"/>
        <v>6.5837600585223477E-3</v>
      </c>
      <c r="O1816" s="1319"/>
      <c r="P1816" s="1319"/>
      <c r="Q1816" s="35">
        <v>44970</v>
      </c>
      <c r="R1816" s="36">
        <v>3.7200000000000004E-2</v>
      </c>
      <c r="S1816" s="37">
        <v>3.9300000000000002E-2</v>
      </c>
    </row>
    <row r="1817" spans="1:19" x14ac:dyDescent="0.2">
      <c r="A1817" s="1"/>
      <c r="B1817" s="13">
        <v>43076</v>
      </c>
      <c r="C1817" s="14">
        <v>68.349999999999994</v>
      </c>
      <c r="D1817" s="15">
        <v>184390</v>
      </c>
      <c r="E1817" s="14">
        <v>67.75</v>
      </c>
      <c r="F1817" s="14">
        <v>68.75</v>
      </c>
      <c r="G1817" s="16">
        <v>67.7</v>
      </c>
      <c r="H1817" s="69">
        <f t="shared" si="43"/>
        <v>1.1094674556213047E-2</v>
      </c>
      <c r="O1817" s="1319"/>
      <c r="P1817" s="1319"/>
      <c r="Q1817" s="35">
        <v>44971</v>
      </c>
      <c r="R1817" s="36">
        <v>3.7699999999999997E-2</v>
      </c>
      <c r="S1817" s="37">
        <v>0.04</v>
      </c>
    </row>
    <row r="1818" spans="1:19" x14ac:dyDescent="0.2">
      <c r="A1818" s="1"/>
      <c r="B1818" s="13">
        <v>43075</v>
      </c>
      <c r="C1818" s="14">
        <v>67.599999999999994</v>
      </c>
      <c r="D1818" s="15">
        <v>134231</v>
      </c>
      <c r="E1818" s="14">
        <v>66.55</v>
      </c>
      <c r="F1818" s="14">
        <v>67.8</v>
      </c>
      <c r="G1818" s="16">
        <v>66.55</v>
      </c>
      <c r="H1818" s="69">
        <f t="shared" si="43"/>
        <v>1.501501501501501E-2</v>
      </c>
      <c r="O1818" s="1319"/>
      <c r="P1818" s="1319"/>
      <c r="Q1818" s="35">
        <v>44972</v>
      </c>
      <c r="R1818" s="36">
        <v>3.8100000000000002E-2</v>
      </c>
      <c r="S1818" s="37">
        <v>4.0399999999999998E-2</v>
      </c>
    </row>
    <row r="1819" spans="1:19" x14ac:dyDescent="0.2">
      <c r="A1819" s="1"/>
      <c r="B1819" s="13">
        <v>43074</v>
      </c>
      <c r="C1819" s="14">
        <v>66.599999999999994</v>
      </c>
      <c r="D1819" s="15">
        <v>142559</v>
      </c>
      <c r="E1819" s="14">
        <v>67.8</v>
      </c>
      <c r="F1819" s="14">
        <v>68.2</v>
      </c>
      <c r="G1819" s="16">
        <v>66.55</v>
      </c>
      <c r="H1819" s="69">
        <f t="shared" si="43"/>
        <v>-1.697416974169752E-2</v>
      </c>
      <c r="O1819" s="1319"/>
      <c r="P1819" s="1319"/>
      <c r="Q1819" s="35">
        <v>44973</v>
      </c>
      <c r="R1819" s="36">
        <v>3.8599999999999995E-2</v>
      </c>
      <c r="S1819" s="37">
        <v>4.0599999999999997E-2</v>
      </c>
    </row>
    <row r="1820" spans="1:19" x14ac:dyDescent="0.2">
      <c r="A1820" s="1"/>
      <c r="B1820" s="13">
        <v>43073</v>
      </c>
      <c r="C1820" s="14">
        <v>67.75</v>
      </c>
      <c r="D1820" s="15">
        <v>169874</v>
      </c>
      <c r="E1820" s="14">
        <v>66.400000000000006</v>
      </c>
      <c r="F1820" s="14">
        <v>68.7</v>
      </c>
      <c r="G1820" s="16">
        <v>65</v>
      </c>
      <c r="H1820" s="69">
        <f t="shared" si="43"/>
        <v>3.5141329258976173E-2</v>
      </c>
      <c r="O1820" s="1319"/>
      <c r="P1820" s="1319"/>
      <c r="Q1820" s="35">
        <v>44974</v>
      </c>
      <c r="R1820" s="36">
        <v>3.8199999999999998E-2</v>
      </c>
      <c r="S1820" s="37">
        <v>4.0300000000000002E-2</v>
      </c>
    </row>
    <row r="1821" spans="1:19" x14ac:dyDescent="0.2">
      <c r="A1821" s="1"/>
      <c r="B1821" s="13">
        <v>43070</v>
      </c>
      <c r="C1821" s="14">
        <v>65.45</v>
      </c>
      <c r="D1821" s="15">
        <v>165952</v>
      </c>
      <c r="E1821" s="14">
        <v>65.8</v>
      </c>
      <c r="F1821" s="14">
        <v>65.8</v>
      </c>
      <c r="G1821" s="16">
        <v>62.95</v>
      </c>
      <c r="H1821" s="69">
        <f t="shared" si="43"/>
        <v>-5.3191489361701372E-3</v>
      </c>
      <c r="O1821" s="1319"/>
      <c r="P1821" s="1319"/>
      <c r="Q1821" s="35">
        <v>44978</v>
      </c>
      <c r="R1821" s="36">
        <v>3.95E-2</v>
      </c>
      <c r="S1821" s="37">
        <v>4.1599999999999998E-2</v>
      </c>
    </row>
    <row r="1822" spans="1:19" x14ac:dyDescent="0.2">
      <c r="A1822" s="1"/>
      <c r="B1822" s="13">
        <v>43069</v>
      </c>
      <c r="C1822" s="14">
        <v>65.8</v>
      </c>
      <c r="D1822" s="15">
        <v>215395</v>
      </c>
      <c r="E1822" s="14">
        <v>65.650000000000006</v>
      </c>
      <c r="F1822" s="14">
        <v>66.400000000000006</v>
      </c>
      <c r="G1822" s="16">
        <v>65.05</v>
      </c>
      <c r="H1822" s="69">
        <f t="shared" si="43"/>
        <v>4.5801526717557106E-3</v>
      </c>
      <c r="O1822" s="1319"/>
      <c r="P1822" s="1319"/>
      <c r="Q1822" s="35">
        <v>44979</v>
      </c>
      <c r="R1822" s="36">
        <v>3.9300000000000002E-2</v>
      </c>
      <c r="S1822" s="37">
        <v>4.1299999999999996E-2</v>
      </c>
    </row>
    <row r="1823" spans="1:19" x14ac:dyDescent="0.2">
      <c r="A1823" s="1"/>
      <c r="B1823" s="13">
        <v>43068</v>
      </c>
      <c r="C1823" s="14">
        <v>65.5</v>
      </c>
      <c r="D1823" s="15">
        <v>163622</v>
      </c>
      <c r="E1823" s="14">
        <v>64.25</v>
      </c>
      <c r="F1823" s="14">
        <v>65.55</v>
      </c>
      <c r="G1823" s="16">
        <v>64.05</v>
      </c>
      <c r="H1823" s="69">
        <f t="shared" si="43"/>
        <v>2.024922118380057E-2</v>
      </c>
      <c r="O1823" s="1319"/>
      <c r="P1823" s="1319"/>
      <c r="Q1823" s="35">
        <v>44980</v>
      </c>
      <c r="R1823" s="36">
        <v>3.8800000000000001E-2</v>
      </c>
      <c r="S1823" s="37">
        <v>4.0899999999999999E-2</v>
      </c>
    </row>
    <row r="1824" spans="1:19" x14ac:dyDescent="0.2">
      <c r="A1824" s="1"/>
      <c r="B1824" s="13">
        <v>43067</v>
      </c>
      <c r="C1824" s="14">
        <v>64.2</v>
      </c>
      <c r="D1824" s="15">
        <v>106104</v>
      </c>
      <c r="E1824" s="14">
        <v>63.55</v>
      </c>
      <c r="F1824" s="14">
        <v>64.25</v>
      </c>
      <c r="G1824" s="16">
        <v>63.25</v>
      </c>
      <c r="H1824" s="69">
        <f t="shared" si="43"/>
        <v>1.3417521704814472E-2</v>
      </c>
      <c r="O1824" s="1319"/>
      <c r="P1824" s="1319"/>
      <c r="Q1824" s="35">
        <v>44981</v>
      </c>
      <c r="R1824" s="36">
        <v>3.95E-2</v>
      </c>
      <c r="S1824" s="37">
        <v>4.1900000000000007E-2</v>
      </c>
    </row>
    <row r="1825" spans="1:19" x14ac:dyDescent="0.2">
      <c r="A1825" s="1"/>
      <c r="B1825" s="13">
        <v>43066</v>
      </c>
      <c r="C1825" s="14">
        <v>63.35</v>
      </c>
      <c r="D1825" s="15">
        <v>70252</v>
      </c>
      <c r="E1825" s="14">
        <v>63.4</v>
      </c>
      <c r="F1825" s="14">
        <v>63.95</v>
      </c>
      <c r="G1825" s="16">
        <v>62.685099999999998</v>
      </c>
      <c r="H1825" s="69">
        <f t="shared" si="43"/>
        <v>0</v>
      </c>
      <c r="O1825" s="1319"/>
      <c r="P1825" s="1319"/>
      <c r="Q1825" s="35">
        <v>44984</v>
      </c>
      <c r="R1825" s="36">
        <v>3.9199999999999999E-2</v>
      </c>
      <c r="S1825" s="37">
        <v>4.1700000000000001E-2</v>
      </c>
    </row>
    <row r="1826" spans="1:19" x14ac:dyDescent="0.2">
      <c r="A1826" s="1"/>
      <c r="B1826" s="13">
        <v>43063</v>
      </c>
      <c r="C1826" s="14">
        <v>63.35</v>
      </c>
      <c r="D1826" s="15">
        <v>56965</v>
      </c>
      <c r="E1826" s="14">
        <v>63.95</v>
      </c>
      <c r="F1826" s="14">
        <v>64.45</v>
      </c>
      <c r="G1826" s="16">
        <v>62.85</v>
      </c>
      <c r="H1826" s="69">
        <f t="shared" si="43"/>
        <v>-4.7132757266299397E-3</v>
      </c>
      <c r="O1826" s="1319"/>
      <c r="P1826" s="1319"/>
      <c r="Q1826" s="35">
        <v>44985</v>
      </c>
      <c r="R1826" s="36">
        <v>3.9199999999999999E-2</v>
      </c>
      <c r="S1826" s="37">
        <v>4.1799999999999997E-2</v>
      </c>
    </row>
    <row r="1827" spans="1:19" x14ac:dyDescent="0.2">
      <c r="A1827" s="1"/>
      <c r="B1827" s="13">
        <v>43061</v>
      </c>
      <c r="C1827" s="14">
        <v>63.65</v>
      </c>
      <c r="D1827" s="15">
        <v>97168</v>
      </c>
      <c r="E1827" s="14">
        <v>64.2</v>
      </c>
      <c r="F1827" s="14">
        <v>66</v>
      </c>
      <c r="G1827" s="16">
        <v>63.55</v>
      </c>
      <c r="H1827" s="69">
        <f t="shared" si="43"/>
        <v>-7.0202808112324044E-3</v>
      </c>
      <c r="O1827" s="1319"/>
      <c r="P1827" s="1319"/>
      <c r="Q1827" s="35">
        <v>44986</v>
      </c>
      <c r="R1827" s="36">
        <v>4.0099999999999997E-2</v>
      </c>
      <c r="S1827" s="37">
        <v>4.2699999999999995E-2</v>
      </c>
    </row>
    <row r="1828" spans="1:19" x14ac:dyDescent="0.2">
      <c r="A1828" s="1"/>
      <c r="B1828" s="13">
        <v>43060</v>
      </c>
      <c r="C1828" s="14">
        <v>64.099999999999994</v>
      </c>
      <c r="D1828" s="15">
        <v>199796</v>
      </c>
      <c r="E1828" s="14">
        <v>62.2</v>
      </c>
      <c r="F1828" s="14">
        <v>64.424999999999997</v>
      </c>
      <c r="G1828" s="16">
        <v>61.85</v>
      </c>
      <c r="H1828" s="69">
        <f t="shared" si="43"/>
        <v>3.3870967741935321E-2</v>
      </c>
      <c r="O1828" s="1319"/>
      <c r="P1828" s="1319"/>
      <c r="Q1828" s="35">
        <v>44987</v>
      </c>
      <c r="R1828" s="36">
        <v>4.0800000000000003E-2</v>
      </c>
      <c r="S1828" s="37">
        <v>4.3200000000000002E-2</v>
      </c>
    </row>
    <row r="1829" spans="1:19" x14ac:dyDescent="0.2">
      <c r="A1829" s="1"/>
      <c r="B1829" s="13">
        <v>43059</v>
      </c>
      <c r="C1829" s="14">
        <v>62</v>
      </c>
      <c r="D1829" s="15">
        <v>91222</v>
      </c>
      <c r="E1829" s="14">
        <v>61</v>
      </c>
      <c r="F1829" s="14">
        <v>62.65</v>
      </c>
      <c r="G1829" s="16">
        <v>60.45</v>
      </c>
      <c r="H1829" s="69">
        <f t="shared" si="43"/>
        <v>1.8062397372742289E-2</v>
      </c>
      <c r="O1829" s="1319"/>
      <c r="P1829" s="1319"/>
      <c r="Q1829" s="35">
        <v>44988</v>
      </c>
      <c r="R1829" s="36">
        <v>3.9699999999999999E-2</v>
      </c>
      <c r="S1829" s="37">
        <v>4.2599999999999999E-2</v>
      </c>
    </row>
    <row r="1830" spans="1:19" x14ac:dyDescent="0.2">
      <c r="A1830" s="1"/>
      <c r="B1830" s="13">
        <v>43056</v>
      </c>
      <c r="C1830" s="14">
        <v>60.9</v>
      </c>
      <c r="D1830" s="15">
        <v>99835</v>
      </c>
      <c r="E1830" s="14">
        <v>61.1</v>
      </c>
      <c r="F1830" s="14">
        <v>61.2</v>
      </c>
      <c r="G1830" s="16">
        <v>60.15</v>
      </c>
      <c r="H1830" s="69">
        <f t="shared" si="43"/>
        <v>-8.9503661513425925E-3</v>
      </c>
      <c r="O1830" s="1319"/>
      <c r="P1830" s="1319"/>
      <c r="Q1830" s="35">
        <v>44991</v>
      </c>
      <c r="R1830" s="36">
        <v>3.9800000000000002E-2</v>
      </c>
      <c r="S1830" s="37">
        <v>4.2699999999999995E-2</v>
      </c>
    </row>
    <row r="1831" spans="1:19" x14ac:dyDescent="0.2">
      <c r="A1831" s="1"/>
      <c r="B1831" s="13">
        <v>43055</v>
      </c>
      <c r="C1831" s="14">
        <v>61.45</v>
      </c>
      <c r="D1831" s="15">
        <v>157382</v>
      </c>
      <c r="E1831" s="14">
        <v>60.9</v>
      </c>
      <c r="F1831" s="14">
        <v>62.65</v>
      </c>
      <c r="G1831" s="16">
        <v>60.524999999999999</v>
      </c>
      <c r="H1831" s="69">
        <f t="shared" si="43"/>
        <v>1.4026402640264113E-2</v>
      </c>
      <c r="O1831" s="1319"/>
      <c r="P1831" s="1319"/>
      <c r="Q1831" s="35">
        <v>44992</v>
      </c>
      <c r="R1831" s="36">
        <v>3.9699999999999999E-2</v>
      </c>
      <c r="S1831" s="37">
        <v>4.3099999999999999E-2</v>
      </c>
    </row>
    <row r="1832" spans="1:19" x14ac:dyDescent="0.2">
      <c r="A1832" s="1"/>
      <c r="B1832" s="13">
        <v>43054</v>
      </c>
      <c r="C1832" s="14">
        <v>60.6</v>
      </c>
      <c r="D1832" s="15">
        <v>97707</v>
      </c>
      <c r="E1832" s="14">
        <v>62.2</v>
      </c>
      <c r="F1832" s="14">
        <v>62.25</v>
      </c>
      <c r="G1832" s="16">
        <v>60.6</v>
      </c>
      <c r="H1832" s="69">
        <f t="shared" ref="H1832:H1895" si="44">C1832/C1833-1</f>
        <v>-3.1175059952038287E-2</v>
      </c>
      <c r="O1832" s="1319"/>
      <c r="P1832" s="1319"/>
      <c r="Q1832" s="35">
        <v>44993</v>
      </c>
      <c r="R1832" s="36">
        <v>3.9800000000000002E-2</v>
      </c>
      <c r="S1832" s="37">
        <v>4.3400000000000001E-2</v>
      </c>
    </row>
    <row r="1833" spans="1:19" x14ac:dyDescent="0.2">
      <c r="A1833" s="1"/>
      <c r="B1833" s="13">
        <v>43053</v>
      </c>
      <c r="C1833" s="14">
        <v>62.55</v>
      </c>
      <c r="D1833" s="15">
        <v>228465</v>
      </c>
      <c r="E1833" s="14">
        <v>60.75</v>
      </c>
      <c r="F1833" s="14">
        <v>62.55</v>
      </c>
      <c r="G1833" s="16">
        <v>60.75</v>
      </c>
      <c r="H1833" s="69">
        <f t="shared" si="44"/>
        <v>2.2894521668029411E-2</v>
      </c>
      <c r="O1833" s="1319"/>
      <c r="P1833" s="1319"/>
      <c r="Q1833" s="35">
        <v>44994</v>
      </c>
      <c r="R1833" s="36">
        <v>3.9300000000000002E-2</v>
      </c>
      <c r="S1833" s="37">
        <v>4.2199999999999994E-2</v>
      </c>
    </row>
    <row r="1834" spans="1:19" x14ac:dyDescent="0.2">
      <c r="A1834" s="1"/>
      <c r="B1834" s="13">
        <v>43052</v>
      </c>
      <c r="C1834" s="14">
        <v>61.15</v>
      </c>
      <c r="D1834" s="15">
        <v>138900</v>
      </c>
      <c r="E1834" s="14">
        <v>60.9</v>
      </c>
      <c r="F1834" s="14">
        <v>61.3</v>
      </c>
      <c r="G1834" s="16">
        <v>60.7</v>
      </c>
      <c r="H1834" s="69">
        <f t="shared" si="44"/>
        <v>0</v>
      </c>
      <c r="O1834" s="1319"/>
      <c r="P1834" s="1319"/>
      <c r="Q1834" s="35">
        <v>44995</v>
      </c>
      <c r="R1834" s="36">
        <v>3.7000000000000005E-2</v>
      </c>
      <c r="S1834" s="37">
        <v>3.9599999999999996E-2</v>
      </c>
    </row>
    <row r="1835" spans="1:19" x14ac:dyDescent="0.2">
      <c r="A1835" s="1"/>
      <c r="B1835" s="13">
        <v>43049</v>
      </c>
      <c r="C1835" s="14">
        <v>61.15</v>
      </c>
      <c r="D1835" s="15">
        <v>152311</v>
      </c>
      <c r="E1835" s="14">
        <v>61.6</v>
      </c>
      <c r="F1835" s="14">
        <v>62.4</v>
      </c>
      <c r="G1835" s="16">
        <v>61.024999999999999</v>
      </c>
      <c r="H1835" s="69">
        <f t="shared" si="44"/>
        <v>-1.2116316639741553E-2</v>
      </c>
      <c r="O1835" s="1319"/>
      <c r="P1835" s="1319"/>
      <c r="Q1835" s="35">
        <v>44998</v>
      </c>
      <c r="R1835" s="36">
        <v>3.5499999999999997E-2</v>
      </c>
      <c r="S1835" s="37">
        <v>3.6799999999999999E-2</v>
      </c>
    </row>
    <row r="1836" spans="1:19" x14ac:dyDescent="0.2">
      <c r="A1836" s="1"/>
      <c r="B1836" s="13">
        <v>43048</v>
      </c>
      <c r="C1836" s="14">
        <v>61.9</v>
      </c>
      <c r="D1836" s="15">
        <v>127867</v>
      </c>
      <c r="E1836" s="14">
        <v>62.45</v>
      </c>
      <c r="F1836" s="14">
        <v>62.7</v>
      </c>
      <c r="G1836" s="16">
        <v>61.45</v>
      </c>
      <c r="H1836" s="69">
        <f t="shared" si="44"/>
        <v>-1.1971268954509173E-2</v>
      </c>
      <c r="O1836" s="1319"/>
      <c r="P1836" s="1319"/>
      <c r="Q1836" s="35">
        <v>44999</v>
      </c>
      <c r="R1836" s="36">
        <v>3.6400000000000002E-2</v>
      </c>
      <c r="S1836" s="37">
        <v>3.78E-2</v>
      </c>
    </row>
    <row r="1837" spans="1:19" x14ac:dyDescent="0.2">
      <c r="A1837" s="1"/>
      <c r="B1837" s="13">
        <v>43047</v>
      </c>
      <c r="C1837" s="14">
        <v>62.65</v>
      </c>
      <c r="D1837" s="15">
        <v>140214</v>
      </c>
      <c r="E1837" s="14">
        <v>63.1</v>
      </c>
      <c r="F1837" s="14">
        <v>63.1</v>
      </c>
      <c r="G1837" s="16">
        <v>61.655000000000001</v>
      </c>
      <c r="H1837" s="69">
        <f t="shared" si="44"/>
        <v>-1.4162077104642012E-2</v>
      </c>
      <c r="O1837" s="1319"/>
      <c r="P1837" s="1319"/>
      <c r="Q1837" s="35">
        <v>45000</v>
      </c>
      <c r="R1837" s="36">
        <v>3.5099999999999999E-2</v>
      </c>
      <c r="S1837" s="37">
        <v>3.5900000000000001E-2</v>
      </c>
    </row>
    <row r="1838" spans="1:19" x14ac:dyDescent="0.2">
      <c r="A1838" s="1"/>
      <c r="B1838" s="13">
        <v>43046</v>
      </c>
      <c r="C1838" s="14">
        <v>63.55</v>
      </c>
      <c r="D1838" s="15">
        <v>168292</v>
      </c>
      <c r="E1838" s="14">
        <v>64</v>
      </c>
      <c r="F1838" s="14">
        <v>64.400000000000006</v>
      </c>
      <c r="G1838" s="16">
        <v>61.91</v>
      </c>
      <c r="H1838" s="69">
        <f t="shared" si="44"/>
        <v>-1.1664074650077794E-2</v>
      </c>
      <c r="O1838" s="1319"/>
      <c r="P1838" s="1319"/>
      <c r="Q1838" s="35">
        <v>45001</v>
      </c>
      <c r="R1838" s="36">
        <v>3.56E-2</v>
      </c>
      <c r="S1838" s="37">
        <v>3.7200000000000004E-2</v>
      </c>
    </row>
    <row r="1839" spans="1:19" x14ac:dyDescent="0.2">
      <c r="A1839" s="1"/>
      <c r="B1839" s="13">
        <v>43045</v>
      </c>
      <c r="C1839" s="14">
        <v>64.3</v>
      </c>
      <c r="D1839" s="15">
        <v>81929</v>
      </c>
      <c r="E1839" s="14">
        <v>64.95</v>
      </c>
      <c r="F1839" s="14">
        <v>65.05</v>
      </c>
      <c r="G1839" s="16">
        <v>63.8</v>
      </c>
      <c r="H1839" s="69">
        <f t="shared" si="44"/>
        <v>-9.24499229583986E-3</v>
      </c>
      <c r="O1839" s="1319"/>
      <c r="P1839" s="1319"/>
      <c r="Q1839" s="35">
        <v>45002</v>
      </c>
      <c r="R1839" s="36">
        <v>3.39E-2</v>
      </c>
      <c r="S1839" s="37">
        <v>3.44E-2</v>
      </c>
    </row>
    <row r="1840" spans="1:19" x14ac:dyDescent="0.2">
      <c r="A1840" s="1"/>
      <c r="B1840" s="13">
        <v>43042</v>
      </c>
      <c r="C1840" s="14">
        <v>64.900000000000006</v>
      </c>
      <c r="D1840" s="15">
        <v>107079</v>
      </c>
      <c r="E1840" s="14">
        <v>65.25</v>
      </c>
      <c r="F1840" s="14">
        <v>65.849999999999994</v>
      </c>
      <c r="G1840" s="16">
        <v>64.650000000000006</v>
      </c>
      <c r="H1840" s="69">
        <f t="shared" si="44"/>
        <v>-6.8859984697779986E-3</v>
      </c>
      <c r="O1840" s="1319"/>
      <c r="P1840" s="1319"/>
      <c r="Q1840" s="35">
        <v>45005</v>
      </c>
      <c r="R1840" s="36">
        <v>3.4700000000000002E-2</v>
      </c>
      <c r="S1840" s="37">
        <v>3.56E-2</v>
      </c>
    </row>
    <row r="1841" spans="1:19" x14ac:dyDescent="0.2">
      <c r="A1841" s="1"/>
      <c r="B1841" s="13">
        <v>43041</v>
      </c>
      <c r="C1841" s="14">
        <v>65.349999999999994</v>
      </c>
      <c r="D1841" s="15">
        <v>148206</v>
      </c>
      <c r="E1841" s="14">
        <v>64.400000000000006</v>
      </c>
      <c r="F1841" s="14">
        <v>65.900000000000006</v>
      </c>
      <c r="G1841" s="16">
        <v>64.400000000000006</v>
      </c>
      <c r="H1841" s="69">
        <f t="shared" si="44"/>
        <v>1.475155279503082E-2</v>
      </c>
      <c r="O1841" s="1319"/>
      <c r="P1841" s="1319"/>
      <c r="Q1841" s="35">
        <v>45006</v>
      </c>
      <c r="R1841" s="36">
        <v>3.5900000000000001E-2</v>
      </c>
      <c r="S1841" s="37">
        <v>3.73E-2</v>
      </c>
    </row>
    <row r="1842" spans="1:19" x14ac:dyDescent="0.2">
      <c r="A1842" s="1"/>
      <c r="B1842" s="13">
        <v>43040</v>
      </c>
      <c r="C1842" s="14">
        <v>64.400000000000006</v>
      </c>
      <c r="D1842" s="15">
        <v>195832</v>
      </c>
      <c r="E1842" s="14">
        <v>65.650000000000006</v>
      </c>
      <c r="F1842" s="14">
        <v>65.650000000000006</v>
      </c>
      <c r="G1842" s="16">
        <v>64.099999999999994</v>
      </c>
      <c r="H1842" s="69">
        <f t="shared" si="44"/>
        <v>-6.1728395061727559E-3</v>
      </c>
      <c r="O1842" s="1319"/>
      <c r="P1842" s="1319"/>
      <c r="Q1842" s="35">
        <v>45007</v>
      </c>
      <c r="R1842" s="36">
        <v>3.4799999999999998E-2</v>
      </c>
      <c r="S1842" s="37">
        <v>3.5400000000000001E-2</v>
      </c>
    </row>
    <row r="1843" spans="1:19" x14ac:dyDescent="0.2">
      <c r="A1843" s="1"/>
      <c r="B1843" s="13">
        <v>43039</v>
      </c>
      <c r="C1843" s="14">
        <v>64.8</v>
      </c>
      <c r="D1843" s="15">
        <v>209987</v>
      </c>
      <c r="E1843" s="14">
        <v>64.55</v>
      </c>
      <c r="F1843" s="14">
        <v>65.150000000000006</v>
      </c>
      <c r="G1843" s="16">
        <v>63.6</v>
      </c>
      <c r="H1843" s="69">
        <f t="shared" si="44"/>
        <v>6.9930069930070893E-3</v>
      </c>
      <c r="O1843" s="1319"/>
      <c r="P1843" s="1319"/>
      <c r="Q1843" s="35">
        <v>45008</v>
      </c>
      <c r="R1843" s="36">
        <v>3.3799999999999997E-2</v>
      </c>
      <c r="S1843" s="37">
        <v>3.39E-2</v>
      </c>
    </row>
    <row r="1844" spans="1:19" x14ac:dyDescent="0.2">
      <c r="A1844" s="1"/>
      <c r="B1844" s="13">
        <v>43038</v>
      </c>
      <c r="C1844" s="14">
        <v>64.349999999999994</v>
      </c>
      <c r="D1844" s="15">
        <v>225679</v>
      </c>
      <c r="E1844" s="14">
        <v>66.650000000000006</v>
      </c>
      <c r="F1844" s="14">
        <v>67.349999999999994</v>
      </c>
      <c r="G1844" s="16">
        <v>63.45</v>
      </c>
      <c r="H1844" s="69">
        <f t="shared" si="44"/>
        <v>-2.9411764705882359E-2</v>
      </c>
      <c r="O1844" s="1319"/>
      <c r="P1844" s="1319"/>
      <c r="Q1844" s="35">
        <v>45009</v>
      </c>
      <c r="R1844" s="36">
        <v>3.3799999999999997E-2</v>
      </c>
      <c r="S1844" s="37">
        <v>3.4099999999999998E-2</v>
      </c>
    </row>
    <row r="1845" spans="1:19" x14ac:dyDescent="0.2">
      <c r="A1845" s="1"/>
      <c r="B1845" s="13">
        <v>43035</v>
      </c>
      <c r="C1845" s="14">
        <v>66.3</v>
      </c>
      <c r="D1845" s="15">
        <v>293196</v>
      </c>
      <c r="E1845" s="14">
        <v>60.55</v>
      </c>
      <c r="F1845" s="14">
        <v>66.525000000000006</v>
      </c>
      <c r="G1845" s="16">
        <v>60.4</v>
      </c>
      <c r="H1845" s="69">
        <f t="shared" si="44"/>
        <v>5.9952038369304628E-2</v>
      </c>
      <c r="O1845" s="1319"/>
      <c r="P1845" s="1319"/>
      <c r="Q1845" s="35">
        <v>45012</v>
      </c>
      <c r="R1845" s="36">
        <v>3.5299999999999998E-2</v>
      </c>
      <c r="S1845" s="37">
        <v>3.5900000000000001E-2</v>
      </c>
    </row>
    <row r="1846" spans="1:19" x14ac:dyDescent="0.2">
      <c r="A1846" s="1"/>
      <c r="B1846" s="13">
        <v>43034</v>
      </c>
      <c r="C1846" s="14">
        <v>62.55</v>
      </c>
      <c r="D1846" s="15">
        <v>330245</v>
      </c>
      <c r="E1846" s="14">
        <v>61.2</v>
      </c>
      <c r="F1846" s="14">
        <v>63</v>
      </c>
      <c r="G1846" s="16">
        <v>61.2</v>
      </c>
      <c r="H1846" s="69">
        <f t="shared" si="44"/>
        <v>2.7093596059113212E-2</v>
      </c>
      <c r="O1846" s="1319"/>
      <c r="P1846" s="1319"/>
      <c r="Q1846" s="35">
        <v>45013</v>
      </c>
      <c r="R1846" s="36">
        <v>3.5499999999999997E-2</v>
      </c>
      <c r="S1846" s="37">
        <v>3.6299999999999999E-2</v>
      </c>
    </row>
    <row r="1847" spans="1:19" x14ac:dyDescent="0.2">
      <c r="A1847" s="1"/>
      <c r="B1847" s="13">
        <v>43033</v>
      </c>
      <c r="C1847" s="14">
        <v>60.9</v>
      </c>
      <c r="D1847" s="15">
        <v>94254</v>
      </c>
      <c r="E1847" s="14">
        <v>60.85</v>
      </c>
      <c r="F1847" s="14">
        <v>61.375</v>
      </c>
      <c r="G1847" s="16">
        <v>60.1</v>
      </c>
      <c r="H1847" s="69">
        <f t="shared" si="44"/>
        <v>0</v>
      </c>
      <c r="O1847" s="1319"/>
      <c r="P1847" s="1319"/>
      <c r="Q1847" s="35">
        <v>45014</v>
      </c>
      <c r="R1847" s="36">
        <v>3.5699999999999996E-2</v>
      </c>
      <c r="S1847" s="37">
        <v>3.6699999999999997E-2</v>
      </c>
    </row>
    <row r="1848" spans="1:19" x14ac:dyDescent="0.2">
      <c r="A1848" s="1"/>
      <c r="B1848" s="13">
        <v>43032</v>
      </c>
      <c r="C1848" s="14">
        <v>60.9</v>
      </c>
      <c r="D1848" s="15">
        <v>187822</v>
      </c>
      <c r="E1848" s="14">
        <v>60.8</v>
      </c>
      <c r="F1848" s="14">
        <v>61.7</v>
      </c>
      <c r="G1848" s="16">
        <v>60.8</v>
      </c>
      <c r="H1848" s="69">
        <f t="shared" si="44"/>
        <v>7.4441687344912744E-3</v>
      </c>
      <c r="O1848" s="1319"/>
      <c r="P1848" s="1319"/>
      <c r="Q1848" s="35">
        <v>45015</v>
      </c>
      <c r="R1848" s="36">
        <v>3.5499999999999997E-2</v>
      </c>
      <c r="S1848" s="37">
        <v>3.6600000000000001E-2</v>
      </c>
    </row>
    <row r="1849" spans="1:19" x14ac:dyDescent="0.2">
      <c r="A1849" s="1"/>
      <c r="B1849" s="13">
        <v>43031</v>
      </c>
      <c r="C1849" s="14">
        <v>60.45</v>
      </c>
      <c r="D1849" s="15">
        <v>119632</v>
      </c>
      <c r="E1849" s="14">
        <v>62.45</v>
      </c>
      <c r="F1849" s="14">
        <v>62.45</v>
      </c>
      <c r="G1849" s="16">
        <v>59.85</v>
      </c>
      <c r="H1849" s="69">
        <f t="shared" si="44"/>
        <v>-3.279999999999994E-2</v>
      </c>
      <c r="O1849" s="1319"/>
      <c r="P1849" s="1319"/>
      <c r="Q1849" s="35">
        <v>45016</v>
      </c>
      <c r="R1849" s="36">
        <v>3.4799999999999998E-2</v>
      </c>
      <c r="S1849" s="37">
        <v>3.6000000000000004E-2</v>
      </c>
    </row>
    <row r="1850" spans="1:19" x14ac:dyDescent="0.2">
      <c r="A1850" s="1"/>
      <c r="B1850" s="13">
        <v>43028</v>
      </c>
      <c r="C1850" s="14">
        <v>62.5</v>
      </c>
      <c r="D1850" s="15">
        <v>200701</v>
      </c>
      <c r="E1850" s="14">
        <v>60.85</v>
      </c>
      <c r="F1850" s="14">
        <v>63.1</v>
      </c>
      <c r="G1850" s="16">
        <v>60.8</v>
      </c>
      <c r="H1850" s="69">
        <f t="shared" si="44"/>
        <v>3.2204789430223091E-2</v>
      </c>
      <c r="O1850" s="1319"/>
      <c r="P1850" s="1319"/>
      <c r="Q1850" s="35">
        <v>45019</v>
      </c>
      <c r="R1850" s="36">
        <v>3.4300000000000004E-2</v>
      </c>
      <c r="S1850" s="37">
        <v>3.5200000000000002E-2</v>
      </c>
    </row>
    <row r="1851" spans="1:19" x14ac:dyDescent="0.2">
      <c r="A1851" s="1"/>
      <c r="B1851" s="13">
        <v>43027</v>
      </c>
      <c r="C1851" s="14">
        <v>60.55</v>
      </c>
      <c r="D1851" s="15">
        <v>311689</v>
      </c>
      <c r="E1851" s="14">
        <v>57.65</v>
      </c>
      <c r="F1851" s="14">
        <v>60.8</v>
      </c>
      <c r="G1851" s="16">
        <v>56.35</v>
      </c>
      <c r="H1851" s="69">
        <f t="shared" si="44"/>
        <v>4.1272570937231245E-2</v>
      </c>
      <c r="O1851" s="1319"/>
      <c r="P1851" s="1319"/>
      <c r="Q1851" s="35">
        <v>45020</v>
      </c>
      <c r="R1851" s="36">
        <v>3.3500000000000002E-2</v>
      </c>
      <c r="S1851" s="37">
        <v>3.39E-2</v>
      </c>
    </row>
    <row r="1852" spans="1:19" x14ac:dyDescent="0.2">
      <c r="A1852" s="1"/>
      <c r="B1852" s="13">
        <v>43026</v>
      </c>
      <c r="C1852" s="14">
        <v>58.15</v>
      </c>
      <c r="D1852" s="15">
        <v>119720</v>
      </c>
      <c r="E1852" s="14">
        <v>57.15</v>
      </c>
      <c r="F1852" s="14">
        <v>58.3</v>
      </c>
      <c r="G1852" s="16">
        <v>56.6</v>
      </c>
      <c r="H1852" s="69">
        <f t="shared" si="44"/>
        <v>2.4669603524229089E-2</v>
      </c>
      <c r="O1852" s="1319"/>
      <c r="P1852" s="1319"/>
      <c r="Q1852" s="35">
        <v>45021</v>
      </c>
      <c r="R1852" s="36">
        <v>3.3000000000000002E-2</v>
      </c>
      <c r="S1852" s="37">
        <v>3.3599999999999998E-2</v>
      </c>
    </row>
    <row r="1853" spans="1:19" x14ac:dyDescent="0.2">
      <c r="A1853" s="1"/>
      <c r="B1853" s="13">
        <v>43025</v>
      </c>
      <c r="C1853" s="14">
        <v>56.75</v>
      </c>
      <c r="D1853" s="15">
        <v>108011</v>
      </c>
      <c r="E1853" s="14">
        <v>56.55</v>
      </c>
      <c r="F1853" s="14">
        <v>57</v>
      </c>
      <c r="G1853" s="16">
        <v>55.160699999999999</v>
      </c>
      <c r="H1853" s="69">
        <f t="shared" si="44"/>
        <v>1.765225066195919E-3</v>
      </c>
      <c r="O1853" s="1319"/>
      <c r="P1853" s="1319"/>
      <c r="Q1853" s="35">
        <v>45022</v>
      </c>
      <c r="R1853" s="36">
        <v>3.3000000000000002E-2</v>
      </c>
      <c r="S1853" s="37">
        <v>3.3700000000000001E-2</v>
      </c>
    </row>
    <row r="1854" spans="1:19" x14ac:dyDescent="0.2">
      <c r="A1854" s="1"/>
      <c r="B1854" s="13">
        <v>43024</v>
      </c>
      <c r="C1854" s="14">
        <v>56.65</v>
      </c>
      <c r="D1854" s="15">
        <v>127515</v>
      </c>
      <c r="E1854" s="14">
        <v>57.2</v>
      </c>
      <c r="F1854" s="14">
        <v>57.4</v>
      </c>
      <c r="G1854" s="16">
        <v>55.85</v>
      </c>
      <c r="H1854" s="69">
        <f t="shared" si="44"/>
        <v>-1.3066202090592283E-2</v>
      </c>
      <c r="O1854" s="1319"/>
      <c r="P1854" s="1319"/>
      <c r="Q1854" s="35">
        <v>45023</v>
      </c>
      <c r="R1854" s="36">
        <v>3.39E-2</v>
      </c>
      <c r="S1854" s="37">
        <v>3.49E-2</v>
      </c>
    </row>
    <row r="1855" spans="1:19" x14ac:dyDescent="0.2">
      <c r="A1855" s="1"/>
      <c r="B1855" s="13">
        <v>43021</v>
      </c>
      <c r="C1855" s="14">
        <v>57.4</v>
      </c>
      <c r="D1855" s="15">
        <v>131500</v>
      </c>
      <c r="E1855" s="14">
        <v>60.1</v>
      </c>
      <c r="F1855" s="14">
        <v>61.49</v>
      </c>
      <c r="G1855" s="16">
        <v>57.3</v>
      </c>
      <c r="H1855" s="69">
        <f t="shared" si="44"/>
        <v>-3.8525963149078746E-2</v>
      </c>
      <c r="O1855" s="1319"/>
      <c r="P1855" s="1319"/>
      <c r="Q1855" s="35">
        <v>45026</v>
      </c>
      <c r="R1855" s="36">
        <v>3.4099999999999998E-2</v>
      </c>
      <c r="S1855" s="37">
        <v>3.5200000000000002E-2</v>
      </c>
    </row>
    <row r="1856" spans="1:19" x14ac:dyDescent="0.2">
      <c r="A1856" s="1"/>
      <c r="B1856" s="13">
        <v>43020</v>
      </c>
      <c r="C1856" s="14">
        <v>59.7</v>
      </c>
      <c r="D1856" s="15">
        <v>138531</v>
      </c>
      <c r="E1856" s="14">
        <v>59.2</v>
      </c>
      <c r="F1856" s="14">
        <v>60.2</v>
      </c>
      <c r="G1856" s="16">
        <v>59.15</v>
      </c>
      <c r="H1856" s="69">
        <f t="shared" si="44"/>
        <v>5.050505050505194E-3</v>
      </c>
      <c r="O1856" s="1319"/>
      <c r="P1856" s="1319"/>
      <c r="Q1856" s="35">
        <v>45027</v>
      </c>
      <c r="R1856" s="36">
        <v>3.4300000000000004E-2</v>
      </c>
      <c r="S1856" s="37">
        <v>3.5400000000000001E-2</v>
      </c>
    </row>
    <row r="1857" spans="1:19" x14ac:dyDescent="0.2">
      <c r="A1857" s="1"/>
      <c r="B1857" s="13">
        <v>43019</v>
      </c>
      <c r="C1857" s="14">
        <v>59.4</v>
      </c>
      <c r="D1857" s="15">
        <v>116042</v>
      </c>
      <c r="E1857" s="14">
        <v>58.9</v>
      </c>
      <c r="F1857" s="14">
        <v>59.55</v>
      </c>
      <c r="G1857" s="16">
        <v>58.85</v>
      </c>
      <c r="H1857" s="69">
        <f t="shared" si="44"/>
        <v>7.6335877862594437E-3</v>
      </c>
      <c r="O1857" s="1319"/>
      <c r="P1857" s="1319"/>
      <c r="Q1857" s="35">
        <v>45028</v>
      </c>
      <c r="R1857" s="36">
        <v>3.4099999999999998E-2</v>
      </c>
      <c r="S1857" s="37">
        <v>3.4599999999999999E-2</v>
      </c>
    </row>
    <row r="1858" spans="1:19" x14ac:dyDescent="0.2">
      <c r="A1858" s="1"/>
      <c r="B1858" s="13">
        <v>43018</v>
      </c>
      <c r="C1858" s="14">
        <v>58.95</v>
      </c>
      <c r="D1858" s="15">
        <v>121580</v>
      </c>
      <c r="E1858" s="14">
        <v>59.45</v>
      </c>
      <c r="F1858" s="14">
        <v>59.55</v>
      </c>
      <c r="G1858" s="16">
        <v>58.65</v>
      </c>
      <c r="H1858" s="69">
        <f t="shared" si="44"/>
        <v>-8.410428931875491E-3</v>
      </c>
      <c r="O1858" s="1319"/>
      <c r="P1858" s="1319"/>
      <c r="Q1858" s="35">
        <v>45029</v>
      </c>
      <c r="R1858" s="36">
        <v>3.4500000000000003E-2</v>
      </c>
      <c r="S1858" s="37">
        <v>3.5099999999999999E-2</v>
      </c>
    </row>
    <row r="1859" spans="1:19" x14ac:dyDescent="0.2">
      <c r="A1859" s="1"/>
      <c r="B1859" s="13">
        <v>43017</v>
      </c>
      <c r="C1859" s="14">
        <v>59.45</v>
      </c>
      <c r="D1859" s="15">
        <v>143733</v>
      </c>
      <c r="E1859" s="14">
        <v>59.6</v>
      </c>
      <c r="F1859" s="14">
        <v>60.25</v>
      </c>
      <c r="G1859" s="16">
        <v>59.15</v>
      </c>
      <c r="H1859" s="69">
        <f t="shared" si="44"/>
        <v>-3.3528918692371512E-3</v>
      </c>
      <c r="O1859" s="1319"/>
      <c r="P1859" s="1319"/>
      <c r="Q1859" s="35">
        <v>45030</v>
      </c>
      <c r="R1859" s="36">
        <v>3.5200000000000002E-2</v>
      </c>
      <c r="S1859" s="37">
        <v>3.6000000000000004E-2</v>
      </c>
    </row>
    <row r="1860" spans="1:19" x14ac:dyDescent="0.2">
      <c r="A1860" s="1"/>
      <c r="B1860" s="13">
        <v>43014</v>
      </c>
      <c r="C1860" s="14">
        <v>59.65</v>
      </c>
      <c r="D1860" s="15">
        <v>163324</v>
      </c>
      <c r="E1860" s="14">
        <v>59</v>
      </c>
      <c r="F1860" s="14">
        <v>60.05</v>
      </c>
      <c r="G1860" s="16">
        <v>58.66</v>
      </c>
      <c r="H1860" s="69">
        <f t="shared" si="44"/>
        <v>-1.6736401673640433E-3</v>
      </c>
      <c r="O1860" s="1319"/>
      <c r="P1860" s="1319"/>
      <c r="Q1860" s="35">
        <v>45033</v>
      </c>
      <c r="R1860" s="36">
        <v>3.6000000000000004E-2</v>
      </c>
      <c r="S1860" s="37">
        <v>3.6900000000000002E-2</v>
      </c>
    </row>
    <row r="1861" spans="1:19" x14ac:dyDescent="0.2">
      <c r="A1861" s="1"/>
      <c r="B1861" s="13">
        <v>43013</v>
      </c>
      <c r="C1861" s="14">
        <v>59.75</v>
      </c>
      <c r="D1861" s="15">
        <v>225968</v>
      </c>
      <c r="E1861" s="14">
        <v>61.15</v>
      </c>
      <c r="F1861" s="14">
        <v>61.75</v>
      </c>
      <c r="G1861" s="16">
        <v>59.45</v>
      </c>
      <c r="H1861" s="69">
        <f t="shared" si="44"/>
        <v>-2.1294021294021248E-2</v>
      </c>
      <c r="O1861" s="1319"/>
      <c r="P1861" s="1319"/>
      <c r="Q1861" s="35">
        <v>45034</v>
      </c>
      <c r="R1861" s="36">
        <v>3.5799999999999998E-2</v>
      </c>
      <c r="S1861" s="37">
        <v>3.6900000000000002E-2</v>
      </c>
    </row>
    <row r="1862" spans="1:19" x14ac:dyDescent="0.2">
      <c r="A1862" s="1"/>
      <c r="B1862" s="13">
        <v>43012</v>
      </c>
      <c r="C1862" s="14">
        <v>61.05</v>
      </c>
      <c r="D1862" s="15">
        <v>228440</v>
      </c>
      <c r="E1862" s="14">
        <v>62.1</v>
      </c>
      <c r="F1862" s="14">
        <v>62.325000000000003</v>
      </c>
      <c r="G1862" s="16">
        <v>60.5</v>
      </c>
      <c r="H1862" s="69">
        <f t="shared" si="44"/>
        <v>-1.7699115044247815E-2</v>
      </c>
      <c r="O1862" s="1319"/>
      <c r="P1862" s="1319"/>
      <c r="Q1862" s="35">
        <v>45035</v>
      </c>
      <c r="R1862" s="36">
        <v>3.6000000000000004E-2</v>
      </c>
      <c r="S1862" s="37">
        <v>3.7100000000000001E-2</v>
      </c>
    </row>
    <row r="1863" spans="1:19" x14ac:dyDescent="0.2">
      <c r="A1863" s="1"/>
      <c r="B1863" s="13">
        <v>43011</v>
      </c>
      <c r="C1863" s="14">
        <v>62.15</v>
      </c>
      <c r="D1863" s="15">
        <v>209761</v>
      </c>
      <c r="E1863" s="14">
        <v>62.6</v>
      </c>
      <c r="F1863" s="14">
        <v>63.05</v>
      </c>
      <c r="G1863" s="16">
        <v>61.9</v>
      </c>
      <c r="H1863" s="69">
        <f t="shared" si="44"/>
        <v>-1.0350318471337605E-2</v>
      </c>
      <c r="O1863" s="1319"/>
      <c r="P1863" s="1319"/>
      <c r="Q1863" s="35">
        <v>45036</v>
      </c>
      <c r="R1863" s="36">
        <v>3.5400000000000001E-2</v>
      </c>
      <c r="S1863" s="37">
        <v>3.6299999999999999E-2</v>
      </c>
    </row>
    <row r="1864" spans="1:19" x14ac:dyDescent="0.2">
      <c r="A1864" s="1"/>
      <c r="B1864" s="13">
        <v>43010</v>
      </c>
      <c r="C1864" s="14">
        <v>62.8</v>
      </c>
      <c r="D1864" s="15">
        <v>97152</v>
      </c>
      <c r="E1864" s="14">
        <v>62.75</v>
      </c>
      <c r="F1864" s="14">
        <v>63.05</v>
      </c>
      <c r="G1864" s="16">
        <v>61.85</v>
      </c>
      <c r="H1864" s="69">
        <f t="shared" si="44"/>
        <v>2.3942537909018569E-3</v>
      </c>
      <c r="O1864" s="1319"/>
      <c r="P1864" s="1319"/>
      <c r="Q1864" s="35">
        <v>45037</v>
      </c>
      <c r="R1864" s="36">
        <v>3.5699999999999996E-2</v>
      </c>
      <c r="S1864" s="37">
        <v>3.6600000000000001E-2</v>
      </c>
    </row>
    <row r="1865" spans="1:19" x14ac:dyDescent="0.2">
      <c r="A1865" s="1"/>
      <c r="B1865" s="13">
        <v>43007</v>
      </c>
      <c r="C1865" s="14">
        <v>62.65</v>
      </c>
      <c r="D1865" s="15">
        <v>195610</v>
      </c>
      <c r="E1865" s="14">
        <v>62.05</v>
      </c>
      <c r="F1865" s="14">
        <v>62.8</v>
      </c>
      <c r="G1865" s="16">
        <v>61.75</v>
      </c>
      <c r="H1865" s="69">
        <f t="shared" si="44"/>
        <v>1.1299435028248483E-2</v>
      </c>
      <c r="O1865" s="1319"/>
      <c r="P1865" s="1319"/>
      <c r="Q1865" s="35">
        <v>45040</v>
      </c>
      <c r="R1865" s="36">
        <v>3.5200000000000002E-2</v>
      </c>
      <c r="S1865" s="37">
        <v>3.6000000000000004E-2</v>
      </c>
    </row>
    <row r="1866" spans="1:19" x14ac:dyDescent="0.2">
      <c r="A1866" s="1"/>
      <c r="B1866" s="13">
        <v>43006</v>
      </c>
      <c r="C1866" s="14">
        <v>61.95</v>
      </c>
      <c r="D1866" s="15">
        <v>112291</v>
      </c>
      <c r="E1866" s="14">
        <v>61.95</v>
      </c>
      <c r="F1866" s="14">
        <v>62.65</v>
      </c>
      <c r="G1866" s="16">
        <v>61.475000000000001</v>
      </c>
      <c r="H1866" s="69">
        <f t="shared" si="44"/>
        <v>8.077544426494665E-4</v>
      </c>
      <c r="O1866" s="1319"/>
      <c r="P1866" s="1319"/>
      <c r="Q1866" s="35">
        <v>45041</v>
      </c>
      <c r="R1866" s="36">
        <v>3.4000000000000002E-2</v>
      </c>
      <c r="S1866" s="37">
        <v>3.4300000000000004E-2</v>
      </c>
    </row>
    <row r="1867" spans="1:19" x14ac:dyDescent="0.2">
      <c r="A1867" s="1"/>
      <c r="B1867" s="13">
        <v>43005</v>
      </c>
      <c r="C1867" s="14">
        <v>61.9</v>
      </c>
      <c r="D1867" s="15">
        <v>202324</v>
      </c>
      <c r="E1867" s="14">
        <v>60.9</v>
      </c>
      <c r="F1867" s="14">
        <v>62.2</v>
      </c>
      <c r="G1867" s="16">
        <v>60.25</v>
      </c>
      <c r="H1867" s="69">
        <f t="shared" si="44"/>
        <v>2.3140495867768562E-2</v>
      </c>
      <c r="O1867" s="1319"/>
      <c r="P1867" s="1319"/>
      <c r="Q1867" s="35">
        <v>45042</v>
      </c>
      <c r="R1867" s="36">
        <v>3.4300000000000004E-2</v>
      </c>
      <c r="S1867" s="37">
        <v>3.4599999999999999E-2</v>
      </c>
    </row>
    <row r="1868" spans="1:19" x14ac:dyDescent="0.2">
      <c r="A1868" s="1"/>
      <c r="B1868" s="13">
        <v>43004</v>
      </c>
      <c r="C1868" s="14">
        <v>60.5</v>
      </c>
      <c r="D1868" s="15">
        <v>166454</v>
      </c>
      <c r="E1868" s="14">
        <v>60.55</v>
      </c>
      <c r="F1868" s="14">
        <v>61.05</v>
      </c>
      <c r="G1868" s="16">
        <v>59.95</v>
      </c>
      <c r="H1868" s="69">
        <f t="shared" si="44"/>
        <v>0</v>
      </c>
      <c r="O1868" s="1319"/>
      <c r="P1868" s="1319"/>
      <c r="Q1868" s="35">
        <v>45043</v>
      </c>
      <c r="R1868" s="36">
        <v>3.5299999999999998E-2</v>
      </c>
      <c r="S1868" s="37">
        <v>3.6000000000000004E-2</v>
      </c>
    </row>
    <row r="1869" spans="1:19" x14ac:dyDescent="0.2">
      <c r="A1869" s="1"/>
      <c r="B1869" s="13">
        <v>43003</v>
      </c>
      <c r="C1869" s="14">
        <v>60.5</v>
      </c>
      <c r="D1869" s="15">
        <v>161082</v>
      </c>
      <c r="E1869" s="14">
        <v>60.55</v>
      </c>
      <c r="F1869" s="14">
        <v>60.95</v>
      </c>
      <c r="G1869" s="16">
        <v>59.725000000000001</v>
      </c>
      <c r="H1869" s="69">
        <f t="shared" si="44"/>
        <v>-6.5681444991789739E-3</v>
      </c>
      <c r="O1869" s="1319"/>
      <c r="P1869" s="1319"/>
      <c r="Q1869" s="35">
        <v>45044</v>
      </c>
      <c r="R1869" s="36">
        <v>3.44E-2</v>
      </c>
      <c r="S1869" s="37">
        <v>3.5099999999999999E-2</v>
      </c>
    </row>
    <row r="1870" spans="1:19" x14ac:dyDescent="0.2">
      <c r="A1870" s="1"/>
      <c r="B1870" s="13">
        <v>43000</v>
      </c>
      <c r="C1870" s="14">
        <v>60.9</v>
      </c>
      <c r="D1870" s="15">
        <v>179236</v>
      </c>
      <c r="E1870" s="14">
        <v>60.25</v>
      </c>
      <c r="F1870" s="14">
        <v>61.25</v>
      </c>
      <c r="G1870" s="16">
        <v>60.25</v>
      </c>
      <c r="H1870" s="69">
        <f t="shared" si="44"/>
        <v>1.1627906976744207E-2</v>
      </c>
      <c r="O1870" s="1319"/>
      <c r="P1870" s="1319"/>
      <c r="Q1870" s="35">
        <v>45047</v>
      </c>
      <c r="R1870" s="36">
        <v>3.5900000000000001E-2</v>
      </c>
      <c r="S1870" s="37">
        <v>3.6400000000000002E-2</v>
      </c>
    </row>
    <row r="1871" spans="1:19" x14ac:dyDescent="0.2">
      <c r="A1871" s="1"/>
      <c r="B1871" s="13">
        <v>42999</v>
      </c>
      <c r="C1871" s="14">
        <v>60.2</v>
      </c>
      <c r="D1871" s="15">
        <v>110622</v>
      </c>
      <c r="E1871" s="14">
        <v>59.65</v>
      </c>
      <c r="F1871" s="14">
        <v>60.41</v>
      </c>
      <c r="G1871" s="16">
        <v>59.25</v>
      </c>
      <c r="H1871" s="69">
        <f t="shared" si="44"/>
        <v>8.3752093802345051E-3</v>
      </c>
      <c r="O1871" s="1319"/>
      <c r="P1871" s="1319"/>
      <c r="Q1871" s="35">
        <v>45048</v>
      </c>
      <c r="R1871" s="36">
        <v>3.44E-2</v>
      </c>
      <c r="S1871" s="37">
        <v>3.4599999999999999E-2</v>
      </c>
    </row>
    <row r="1872" spans="1:19" x14ac:dyDescent="0.2">
      <c r="A1872" s="1"/>
      <c r="B1872" s="13">
        <v>42998</v>
      </c>
      <c r="C1872" s="14">
        <v>59.7</v>
      </c>
      <c r="D1872" s="15">
        <v>120707</v>
      </c>
      <c r="E1872" s="14">
        <v>59.2</v>
      </c>
      <c r="F1872" s="14">
        <v>60.024999999999999</v>
      </c>
      <c r="G1872" s="16">
        <v>59.024999999999999</v>
      </c>
      <c r="H1872" s="69">
        <f t="shared" si="44"/>
        <v>7.5949367088608E-3</v>
      </c>
      <c r="O1872" s="1319"/>
      <c r="P1872" s="1319"/>
      <c r="Q1872" s="35">
        <v>45049</v>
      </c>
      <c r="R1872" s="36">
        <v>3.3799999999999997E-2</v>
      </c>
      <c r="S1872" s="37">
        <v>3.3700000000000001E-2</v>
      </c>
    </row>
    <row r="1873" spans="1:19" x14ac:dyDescent="0.2">
      <c r="A1873" s="1"/>
      <c r="B1873" s="13">
        <v>42997</v>
      </c>
      <c r="C1873" s="14">
        <v>59.25</v>
      </c>
      <c r="D1873" s="15">
        <v>106820</v>
      </c>
      <c r="E1873" s="14">
        <v>59.35</v>
      </c>
      <c r="F1873" s="14">
        <v>60.05</v>
      </c>
      <c r="G1873" s="16">
        <v>58.784500000000001</v>
      </c>
      <c r="H1873" s="69">
        <f t="shared" si="44"/>
        <v>-1.6849199663016012E-3</v>
      </c>
      <c r="O1873" s="1319"/>
      <c r="P1873" s="1319"/>
      <c r="Q1873" s="35">
        <v>45050</v>
      </c>
      <c r="R1873" s="36">
        <v>3.3700000000000001E-2</v>
      </c>
      <c r="S1873" s="37">
        <v>3.2899999999999999E-2</v>
      </c>
    </row>
    <row r="1874" spans="1:19" x14ac:dyDescent="0.2">
      <c r="A1874" s="1"/>
      <c r="B1874" s="13">
        <v>42996</v>
      </c>
      <c r="C1874" s="14">
        <v>59.35</v>
      </c>
      <c r="D1874" s="15">
        <v>234912</v>
      </c>
      <c r="E1874" s="14">
        <v>58.95</v>
      </c>
      <c r="F1874" s="14">
        <v>60.5</v>
      </c>
      <c r="G1874" s="16">
        <v>58.95</v>
      </c>
      <c r="H1874" s="69">
        <f t="shared" si="44"/>
        <v>1.1073253833049357E-2</v>
      </c>
      <c r="O1874" s="1319"/>
      <c r="P1874" s="1319"/>
      <c r="Q1874" s="35">
        <v>45051</v>
      </c>
      <c r="R1874" s="36">
        <v>3.44E-2</v>
      </c>
      <c r="S1874" s="37">
        <v>3.4099999999999998E-2</v>
      </c>
    </row>
    <row r="1875" spans="1:19" x14ac:dyDescent="0.2">
      <c r="A1875" s="1"/>
      <c r="B1875" s="13">
        <v>42993</v>
      </c>
      <c r="C1875" s="14">
        <v>58.7</v>
      </c>
      <c r="D1875" s="15">
        <v>324041</v>
      </c>
      <c r="E1875" s="14">
        <v>57.6</v>
      </c>
      <c r="F1875" s="14">
        <v>58.75</v>
      </c>
      <c r="G1875" s="16">
        <v>57.05</v>
      </c>
      <c r="H1875" s="69">
        <f t="shared" si="44"/>
        <v>1.9982623805386623E-2</v>
      </c>
      <c r="O1875" s="1319"/>
      <c r="P1875" s="1319"/>
      <c r="Q1875" s="35">
        <v>45054</v>
      </c>
      <c r="R1875" s="36">
        <v>3.5200000000000002E-2</v>
      </c>
      <c r="S1875" s="37">
        <v>3.49E-2</v>
      </c>
    </row>
    <row r="1876" spans="1:19" x14ac:dyDescent="0.2">
      <c r="A1876" s="1"/>
      <c r="B1876" s="13">
        <v>42992</v>
      </c>
      <c r="C1876" s="14">
        <v>57.55</v>
      </c>
      <c r="D1876" s="15">
        <v>182030</v>
      </c>
      <c r="E1876" s="14">
        <v>56.85</v>
      </c>
      <c r="F1876" s="14">
        <v>57.65</v>
      </c>
      <c r="G1876" s="16">
        <v>56.828800000000001</v>
      </c>
      <c r="H1876" s="69">
        <f t="shared" si="44"/>
        <v>7.8809106830122211E-3</v>
      </c>
      <c r="O1876" s="1319"/>
      <c r="P1876" s="1319"/>
      <c r="Q1876" s="35">
        <v>45055</v>
      </c>
      <c r="R1876" s="36">
        <v>3.5299999999999998E-2</v>
      </c>
      <c r="S1876" s="37">
        <v>3.5099999999999999E-2</v>
      </c>
    </row>
    <row r="1877" spans="1:19" x14ac:dyDescent="0.2">
      <c r="A1877" s="1"/>
      <c r="B1877" s="13">
        <v>42991</v>
      </c>
      <c r="C1877" s="14">
        <v>57.1</v>
      </c>
      <c r="D1877" s="15">
        <v>176278</v>
      </c>
      <c r="E1877" s="14">
        <v>57.25</v>
      </c>
      <c r="F1877" s="14">
        <v>57.4</v>
      </c>
      <c r="G1877" s="16">
        <v>56.9</v>
      </c>
      <c r="H1877" s="69">
        <f t="shared" si="44"/>
        <v>-8.6805555555555802E-3</v>
      </c>
      <c r="O1877" s="1319"/>
      <c r="P1877" s="1319"/>
      <c r="Q1877" s="35">
        <v>45056</v>
      </c>
      <c r="R1877" s="36">
        <v>3.4300000000000004E-2</v>
      </c>
      <c r="S1877" s="37">
        <v>3.3700000000000001E-2</v>
      </c>
    </row>
    <row r="1878" spans="1:19" x14ac:dyDescent="0.2">
      <c r="A1878" s="1"/>
      <c r="B1878" s="13">
        <v>42990</v>
      </c>
      <c r="C1878" s="14">
        <v>57.6</v>
      </c>
      <c r="D1878" s="15">
        <v>246071</v>
      </c>
      <c r="E1878" s="14">
        <v>57.55</v>
      </c>
      <c r="F1878" s="14">
        <v>57.85</v>
      </c>
      <c r="G1878" s="16">
        <v>57.25</v>
      </c>
      <c r="H1878" s="69">
        <f t="shared" si="44"/>
        <v>3.4843205574912606E-3</v>
      </c>
      <c r="O1878" s="1319"/>
      <c r="P1878" s="1319"/>
      <c r="Q1878" s="35">
        <v>45057</v>
      </c>
      <c r="R1878" s="36">
        <v>3.39E-2</v>
      </c>
      <c r="S1878" s="37">
        <v>3.3599999999999998E-2</v>
      </c>
    </row>
    <row r="1879" spans="1:19" x14ac:dyDescent="0.2">
      <c r="A1879" s="1"/>
      <c r="B1879" s="13">
        <v>42989</v>
      </c>
      <c r="C1879" s="14">
        <v>57.4</v>
      </c>
      <c r="D1879" s="15">
        <v>253148</v>
      </c>
      <c r="E1879" s="14">
        <v>58.3</v>
      </c>
      <c r="F1879" s="14">
        <v>58.7</v>
      </c>
      <c r="G1879" s="16">
        <v>56.65</v>
      </c>
      <c r="H1879" s="69">
        <f t="shared" si="44"/>
        <v>-1.5437392795883298E-2</v>
      </c>
      <c r="O1879" s="1319"/>
      <c r="P1879" s="1319"/>
      <c r="Q1879" s="35">
        <v>45058</v>
      </c>
      <c r="R1879" s="36">
        <v>3.4599999999999999E-2</v>
      </c>
      <c r="S1879" s="37">
        <v>3.4500000000000003E-2</v>
      </c>
    </row>
    <row r="1880" spans="1:19" x14ac:dyDescent="0.2">
      <c r="A1880" s="1"/>
      <c r="B1880" s="13">
        <v>42986</v>
      </c>
      <c r="C1880" s="14">
        <v>58.3</v>
      </c>
      <c r="D1880" s="15">
        <v>180322</v>
      </c>
      <c r="E1880" s="14">
        <v>57.95</v>
      </c>
      <c r="F1880" s="14">
        <v>58.65</v>
      </c>
      <c r="G1880" s="16">
        <v>57.45</v>
      </c>
      <c r="H1880" s="69">
        <f t="shared" si="44"/>
        <v>0</v>
      </c>
      <c r="O1880" s="1319"/>
      <c r="P1880" s="1319"/>
      <c r="Q1880" s="35">
        <v>45061</v>
      </c>
      <c r="R1880" s="36">
        <v>3.5000000000000003E-2</v>
      </c>
      <c r="S1880" s="37">
        <v>3.4599999999999999E-2</v>
      </c>
    </row>
    <row r="1881" spans="1:19" x14ac:dyDescent="0.2">
      <c r="A1881" s="1"/>
      <c r="B1881" s="13">
        <v>42985</v>
      </c>
      <c r="C1881" s="14">
        <v>58.3</v>
      </c>
      <c r="D1881" s="15">
        <v>246675</v>
      </c>
      <c r="E1881" s="14">
        <v>58.35</v>
      </c>
      <c r="F1881" s="14">
        <v>59.25</v>
      </c>
      <c r="G1881" s="16">
        <v>58.25</v>
      </c>
      <c r="H1881" s="69">
        <f t="shared" si="44"/>
        <v>8.5836909871250811E-4</v>
      </c>
      <c r="O1881" s="1319"/>
      <c r="P1881" s="1319"/>
      <c r="Q1881" s="35">
        <v>45062</v>
      </c>
      <c r="R1881" s="36">
        <v>3.5400000000000001E-2</v>
      </c>
      <c r="S1881" s="37">
        <v>3.5200000000000002E-2</v>
      </c>
    </row>
    <row r="1882" spans="1:19" x14ac:dyDescent="0.2">
      <c r="A1882" s="1"/>
      <c r="B1882" s="13">
        <v>42984</v>
      </c>
      <c r="C1882" s="14">
        <v>58.25</v>
      </c>
      <c r="D1882" s="15">
        <v>228807</v>
      </c>
      <c r="E1882" s="14">
        <v>57.7</v>
      </c>
      <c r="F1882" s="14">
        <v>58.4</v>
      </c>
      <c r="G1882" s="16">
        <v>57</v>
      </c>
      <c r="H1882" s="69">
        <f t="shared" si="44"/>
        <v>9.5320623916810288E-3</v>
      </c>
      <c r="O1882" s="1319"/>
      <c r="P1882" s="1319"/>
      <c r="Q1882" s="35">
        <v>45063</v>
      </c>
      <c r="R1882" s="36">
        <v>3.5699999999999996E-2</v>
      </c>
      <c r="S1882" s="37">
        <v>3.5799999999999998E-2</v>
      </c>
    </row>
    <row r="1883" spans="1:19" x14ac:dyDescent="0.2">
      <c r="A1883" s="1"/>
      <c r="B1883" s="13">
        <v>42983</v>
      </c>
      <c r="C1883" s="14">
        <v>57.7</v>
      </c>
      <c r="D1883" s="15">
        <v>155966</v>
      </c>
      <c r="E1883" s="14">
        <v>57.35</v>
      </c>
      <c r="F1883" s="14">
        <v>57.9</v>
      </c>
      <c r="G1883" s="16">
        <v>56.11</v>
      </c>
      <c r="H1883" s="69">
        <f t="shared" si="44"/>
        <v>2.6064291920071536E-3</v>
      </c>
      <c r="O1883" s="1319"/>
      <c r="P1883" s="1319"/>
      <c r="Q1883" s="35">
        <v>45064</v>
      </c>
      <c r="R1883" s="36">
        <v>3.6499999999999998E-2</v>
      </c>
      <c r="S1883" s="37">
        <v>3.6900000000000002E-2</v>
      </c>
    </row>
    <row r="1884" spans="1:19" x14ac:dyDescent="0.2">
      <c r="A1884" s="1"/>
      <c r="B1884" s="13">
        <v>42979</v>
      </c>
      <c r="C1884" s="14">
        <v>57.55</v>
      </c>
      <c r="D1884" s="15">
        <v>162373</v>
      </c>
      <c r="E1884" s="14">
        <v>56.75</v>
      </c>
      <c r="F1884" s="14">
        <v>57.65</v>
      </c>
      <c r="G1884" s="16">
        <v>56.2</v>
      </c>
      <c r="H1884" s="69">
        <f t="shared" si="44"/>
        <v>1.7683465959328126E-2</v>
      </c>
      <c r="O1884" s="1319"/>
      <c r="P1884" s="1319"/>
      <c r="Q1884" s="35">
        <v>45065</v>
      </c>
      <c r="R1884" s="36">
        <v>3.7000000000000005E-2</v>
      </c>
      <c r="S1884" s="37">
        <v>3.7599999999999995E-2</v>
      </c>
    </row>
    <row r="1885" spans="1:19" x14ac:dyDescent="0.2">
      <c r="A1885" s="1"/>
      <c r="B1885" s="13">
        <v>42978</v>
      </c>
      <c r="C1885" s="14">
        <v>56.55</v>
      </c>
      <c r="D1885" s="15">
        <v>130314</v>
      </c>
      <c r="E1885" s="14">
        <v>56.3</v>
      </c>
      <c r="F1885" s="14">
        <v>56.6</v>
      </c>
      <c r="G1885" s="16">
        <v>55.924999999999997</v>
      </c>
      <c r="H1885" s="69">
        <f t="shared" si="44"/>
        <v>7.1237756010684716E-3</v>
      </c>
      <c r="O1885" s="1319"/>
      <c r="P1885" s="1319"/>
      <c r="Q1885" s="35">
        <v>45068</v>
      </c>
      <c r="R1885" s="36">
        <v>3.7200000000000004E-2</v>
      </c>
      <c r="S1885" s="37">
        <v>3.7699999999999997E-2</v>
      </c>
    </row>
    <row r="1886" spans="1:19" x14ac:dyDescent="0.2">
      <c r="A1886" s="1"/>
      <c r="B1886" s="13">
        <v>42977</v>
      </c>
      <c r="C1886" s="14">
        <v>56.15</v>
      </c>
      <c r="D1886" s="15">
        <v>217234</v>
      </c>
      <c r="E1886" s="14">
        <v>54.5</v>
      </c>
      <c r="F1886" s="14">
        <v>56.6</v>
      </c>
      <c r="G1886" s="16">
        <v>54.5</v>
      </c>
      <c r="H1886" s="69">
        <f t="shared" si="44"/>
        <v>3.2169117647058876E-2</v>
      </c>
      <c r="O1886" s="1319"/>
      <c r="P1886" s="1319"/>
      <c r="Q1886" s="35">
        <v>45069</v>
      </c>
      <c r="R1886" s="36">
        <v>3.7000000000000005E-2</v>
      </c>
      <c r="S1886" s="37">
        <v>3.7599999999999995E-2</v>
      </c>
    </row>
    <row r="1887" spans="1:19" x14ac:dyDescent="0.2">
      <c r="A1887" s="1"/>
      <c r="B1887" s="13">
        <v>42976</v>
      </c>
      <c r="C1887" s="14">
        <v>54.4</v>
      </c>
      <c r="D1887" s="15">
        <v>281560</v>
      </c>
      <c r="E1887" s="14">
        <v>53.3</v>
      </c>
      <c r="F1887" s="14">
        <v>54.5</v>
      </c>
      <c r="G1887" s="16">
        <v>53.3</v>
      </c>
      <c r="H1887" s="69">
        <f t="shared" si="44"/>
        <v>1.3979496738117492E-2</v>
      </c>
      <c r="O1887" s="1319"/>
      <c r="P1887" s="1319"/>
      <c r="Q1887" s="35">
        <v>45070</v>
      </c>
      <c r="R1887" s="36">
        <v>3.73E-2</v>
      </c>
      <c r="S1887" s="37">
        <v>3.7499999999999999E-2</v>
      </c>
    </row>
    <row r="1888" spans="1:19" x14ac:dyDescent="0.2">
      <c r="A1888" s="1"/>
      <c r="B1888" s="13">
        <v>42975</v>
      </c>
      <c r="C1888" s="14">
        <v>53.65</v>
      </c>
      <c r="D1888" s="15">
        <v>267387</v>
      </c>
      <c r="E1888" s="14">
        <v>52.95</v>
      </c>
      <c r="F1888" s="14">
        <v>53.8</v>
      </c>
      <c r="G1888" s="16">
        <v>52.45</v>
      </c>
      <c r="H1888" s="69">
        <f t="shared" si="44"/>
        <v>1.8993352326685642E-2</v>
      </c>
      <c r="O1888" s="1319"/>
      <c r="P1888" s="1319"/>
      <c r="Q1888" s="35">
        <v>45071</v>
      </c>
      <c r="R1888" s="36">
        <v>3.8300000000000001E-2</v>
      </c>
      <c r="S1888" s="37">
        <v>3.9E-2</v>
      </c>
    </row>
    <row r="1889" spans="1:19" x14ac:dyDescent="0.2">
      <c r="A1889" s="1"/>
      <c r="B1889" s="13">
        <v>42972</v>
      </c>
      <c r="C1889" s="14">
        <v>52.65</v>
      </c>
      <c r="D1889" s="15">
        <v>147400</v>
      </c>
      <c r="E1889" s="14">
        <v>51.65</v>
      </c>
      <c r="F1889" s="14">
        <v>52.7</v>
      </c>
      <c r="G1889" s="16">
        <v>51.4</v>
      </c>
      <c r="H1889" s="69">
        <f t="shared" si="44"/>
        <v>2.5316455696202445E-2</v>
      </c>
      <c r="O1889" s="1319"/>
      <c r="P1889" s="1319"/>
      <c r="Q1889" s="35">
        <v>45072</v>
      </c>
      <c r="R1889" s="36">
        <v>3.7999999999999999E-2</v>
      </c>
      <c r="S1889" s="37">
        <v>3.9199999999999999E-2</v>
      </c>
    </row>
    <row r="1890" spans="1:19" x14ac:dyDescent="0.2">
      <c r="A1890" s="1"/>
      <c r="B1890" s="13">
        <v>42971</v>
      </c>
      <c r="C1890" s="14">
        <v>51.35</v>
      </c>
      <c r="D1890" s="15">
        <v>122810</v>
      </c>
      <c r="E1890" s="14">
        <v>51.95</v>
      </c>
      <c r="F1890" s="14">
        <v>52</v>
      </c>
      <c r="G1890" s="16">
        <v>51.1</v>
      </c>
      <c r="H1890" s="69">
        <f t="shared" si="44"/>
        <v>-9.6432015429122053E-3</v>
      </c>
      <c r="O1890" s="1319"/>
      <c r="P1890" s="1319"/>
      <c r="Q1890" s="35">
        <v>45076</v>
      </c>
      <c r="R1890" s="36">
        <v>3.6900000000000002E-2</v>
      </c>
      <c r="S1890" s="37">
        <v>3.8100000000000002E-2</v>
      </c>
    </row>
    <row r="1891" spans="1:19" x14ac:dyDescent="0.2">
      <c r="A1891" s="1"/>
      <c r="B1891" s="13">
        <v>42970</v>
      </c>
      <c r="C1891" s="14">
        <v>51.85</v>
      </c>
      <c r="D1891" s="15">
        <v>123734</v>
      </c>
      <c r="E1891" s="14">
        <v>51.9</v>
      </c>
      <c r="F1891" s="14">
        <v>52.15</v>
      </c>
      <c r="G1891" s="16">
        <v>51.45</v>
      </c>
      <c r="H1891" s="69">
        <f t="shared" si="44"/>
        <v>-5.7526366251198224E-3</v>
      </c>
      <c r="O1891" s="1319"/>
      <c r="P1891" s="1319"/>
      <c r="Q1891" s="35">
        <v>45077</v>
      </c>
      <c r="R1891" s="36">
        <v>3.6400000000000002E-2</v>
      </c>
      <c r="S1891" s="37">
        <v>3.7400000000000003E-2</v>
      </c>
    </row>
    <row r="1892" spans="1:19" x14ac:dyDescent="0.2">
      <c r="A1892" s="1"/>
      <c r="B1892" s="13">
        <v>42969</v>
      </c>
      <c r="C1892" s="14">
        <v>52.15</v>
      </c>
      <c r="D1892" s="15">
        <v>155015</v>
      </c>
      <c r="E1892" s="14">
        <v>52</v>
      </c>
      <c r="F1892" s="14">
        <v>53.25</v>
      </c>
      <c r="G1892" s="16">
        <v>51.65</v>
      </c>
      <c r="H1892" s="69">
        <f t="shared" si="44"/>
        <v>3.8498556304138454E-3</v>
      </c>
      <c r="O1892" s="1319"/>
      <c r="P1892" s="1319"/>
      <c r="Q1892" s="35">
        <v>45078</v>
      </c>
      <c r="R1892" s="36">
        <v>3.61E-2</v>
      </c>
      <c r="S1892" s="37">
        <v>3.7000000000000005E-2</v>
      </c>
    </row>
    <row r="1893" spans="1:19" x14ac:dyDescent="0.2">
      <c r="A1893" s="1"/>
      <c r="B1893" s="13">
        <v>42968</v>
      </c>
      <c r="C1893" s="14">
        <v>51.95</v>
      </c>
      <c r="D1893" s="15">
        <v>100931</v>
      </c>
      <c r="E1893" s="14">
        <v>52.7</v>
      </c>
      <c r="F1893" s="14">
        <v>54.562199999999997</v>
      </c>
      <c r="G1893" s="16">
        <v>51.5</v>
      </c>
      <c r="H1893" s="69">
        <f t="shared" si="44"/>
        <v>-1.3295346628679927E-2</v>
      </c>
      <c r="O1893" s="1319"/>
      <c r="P1893" s="1319"/>
      <c r="Q1893" s="35">
        <v>45079</v>
      </c>
      <c r="R1893" s="36">
        <v>3.6900000000000002E-2</v>
      </c>
      <c r="S1893" s="37">
        <v>3.8399999999999997E-2</v>
      </c>
    </row>
    <row r="1894" spans="1:19" x14ac:dyDescent="0.2">
      <c r="A1894" s="1"/>
      <c r="B1894" s="13">
        <v>42965</v>
      </c>
      <c r="C1894" s="14">
        <v>52.65</v>
      </c>
      <c r="D1894" s="15">
        <v>151039</v>
      </c>
      <c r="E1894" s="14">
        <v>52.8</v>
      </c>
      <c r="F1894" s="14">
        <v>52.9</v>
      </c>
      <c r="G1894" s="16">
        <v>52.25</v>
      </c>
      <c r="H1894" s="69">
        <f t="shared" si="44"/>
        <v>-2.8409090909090606E-3</v>
      </c>
      <c r="O1894" s="1319"/>
      <c r="P1894" s="1319"/>
      <c r="Q1894" s="35">
        <v>45082</v>
      </c>
      <c r="R1894" s="36">
        <v>3.6900000000000002E-2</v>
      </c>
      <c r="S1894" s="37">
        <v>3.8199999999999998E-2</v>
      </c>
    </row>
    <row r="1895" spans="1:19" x14ac:dyDescent="0.2">
      <c r="A1895" s="1"/>
      <c r="B1895" s="13">
        <v>42964</v>
      </c>
      <c r="C1895" s="14">
        <v>52.8</v>
      </c>
      <c r="D1895" s="15">
        <v>213817</v>
      </c>
      <c r="E1895" s="14">
        <v>53</v>
      </c>
      <c r="F1895" s="14">
        <v>53.2</v>
      </c>
      <c r="G1895" s="16">
        <v>51.9</v>
      </c>
      <c r="H1895" s="69">
        <f t="shared" si="44"/>
        <v>-8.4507042253522124E-3</v>
      </c>
      <c r="O1895" s="1319"/>
      <c r="P1895" s="1319"/>
      <c r="Q1895" s="35">
        <v>45083</v>
      </c>
      <c r="R1895" s="36">
        <v>3.7000000000000005E-2</v>
      </c>
      <c r="S1895" s="37">
        <v>3.85E-2</v>
      </c>
    </row>
    <row r="1896" spans="1:19" x14ac:dyDescent="0.2">
      <c r="A1896" s="1"/>
      <c r="B1896" s="13">
        <v>42963</v>
      </c>
      <c r="C1896" s="14">
        <v>53.25</v>
      </c>
      <c r="D1896" s="15">
        <v>198004</v>
      </c>
      <c r="E1896" s="14">
        <v>54.75</v>
      </c>
      <c r="F1896" s="14">
        <v>55</v>
      </c>
      <c r="G1896" s="16">
        <v>53</v>
      </c>
      <c r="H1896" s="69">
        <f t="shared" ref="H1896:H1959" si="45">C1896/C1897-1</f>
        <v>-2.4725274725274748E-2</v>
      </c>
      <c r="O1896" s="1319"/>
      <c r="P1896" s="1319"/>
      <c r="Q1896" s="35">
        <v>45084</v>
      </c>
      <c r="R1896" s="36">
        <v>3.7900000000000003E-2</v>
      </c>
      <c r="S1896" s="37">
        <v>3.9300000000000002E-2</v>
      </c>
    </row>
    <row r="1897" spans="1:19" x14ac:dyDescent="0.2">
      <c r="A1897" s="1"/>
      <c r="B1897" s="13">
        <v>42962</v>
      </c>
      <c r="C1897" s="14">
        <v>54.6</v>
      </c>
      <c r="D1897" s="15">
        <v>225153</v>
      </c>
      <c r="E1897" s="14">
        <v>54.05</v>
      </c>
      <c r="F1897" s="14">
        <v>54.8</v>
      </c>
      <c r="G1897" s="16">
        <v>53.9</v>
      </c>
      <c r="H1897" s="69">
        <f t="shared" si="45"/>
        <v>1.1111111111111072E-2</v>
      </c>
      <c r="O1897" s="1319"/>
      <c r="P1897" s="1319"/>
      <c r="Q1897" s="35">
        <v>45085</v>
      </c>
      <c r="R1897" s="36">
        <v>3.73E-2</v>
      </c>
      <c r="S1897" s="37">
        <v>3.8699999999999998E-2</v>
      </c>
    </row>
    <row r="1898" spans="1:19" x14ac:dyDescent="0.2">
      <c r="A1898" s="1"/>
      <c r="B1898" s="13">
        <v>42961</v>
      </c>
      <c r="C1898" s="14">
        <v>54</v>
      </c>
      <c r="D1898" s="15">
        <v>337072</v>
      </c>
      <c r="E1898" s="14">
        <v>54.35</v>
      </c>
      <c r="F1898" s="14">
        <v>54.55</v>
      </c>
      <c r="G1898" s="16">
        <v>53.7</v>
      </c>
      <c r="H1898" s="69">
        <f t="shared" si="45"/>
        <v>3.7174721189592308E-3</v>
      </c>
      <c r="O1898" s="1319"/>
      <c r="P1898" s="1319"/>
      <c r="Q1898" s="35">
        <v>45086</v>
      </c>
      <c r="R1898" s="36">
        <v>3.7499999999999999E-2</v>
      </c>
      <c r="S1898" s="37">
        <v>3.9199999999999999E-2</v>
      </c>
    </row>
    <row r="1899" spans="1:19" x14ac:dyDescent="0.2">
      <c r="A1899" s="1"/>
      <c r="B1899" s="13">
        <v>42958</v>
      </c>
      <c r="C1899" s="14">
        <v>53.8</v>
      </c>
      <c r="D1899" s="15">
        <v>208950</v>
      </c>
      <c r="E1899" s="14">
        <v>53.3</v>
      </c>
      <c r="F1899" s="14">
        <v>53.85</v>
      </c>
      <c r="G1899" s="16">
        <v>52.85</v>
      </c>
      <c r="H1899" s="69">
        <f t="shared" si="45"/>
        <v>1.6052880075542841E-2</v>
      </c>
      <c r="O1899" s="1319"/>
      <c r="P1899" s="1319"/>
      <c r="Q1899" s="35">
        <v>45089</v>
      </c>
      <c r="R1899" s="36">
        <v>3.73E-2</v>
      </c>
      <c r="S1899" s="37">
        <v>3.8900000000000004E-2</v>
      </c>
    </row>
    <row r="1900" spans="1:19" x14ac:dyDescent="0.2">
      <c r="A1900" s="1"/>
      <c r="B1900" s="13">
        <v>42957</v>
      </c>
      <c r="C1900" s="14">
        <v>52.95</v>
      </c>
      <c r="D1900" s="15">
        <v>202789</v>
      </c>
      <c r="E1900" s="14">
        <v>52.95</v>
      </c>
      <c r="F1900" s="14">
        <v>53.7</v>
      </c>
      <c r="G1900" s="16">
        <v>52.774999999999999</v>
      </c>
      <c r="H1900" s="69">
        <f t="shared" si="45"/>
        <v>-6.5666041275795894E-3</v>
      </c>
      <c r="O1900" s="1319"/>
      <c r="P1900" s="1319"/>
      <c r="Q1900" s="35">
        <v>45090</v>
      </c>
      <c r="R1900" s="36">
        <v>3.8399999999999997E-2</v>
      </c>
      <c r="S1900" s="37">
        <v>4.0099999999999997E-2</v>
      </c>
    </row>
    <row r="1901" spans="1:19" x14ac:dyDescent="0.2">
      <c r="A1901" s="1"/>
      <c r="B1901" s="13">
        <v>42956</v>
      </c>
      <c r="C1901" s="14">
        <v>53.3</v>
      </c>
      <c r="D1901" s="15">
        <v>193203</v>
      </c>
      <c r="E1901" s="14">
        <v>52.7</v>
      </c>
      <c r="F1901" s="14">
        <v>53.55</v>
      </c>
      <c r="G1901" s="16">
        <v>52.55</v>
      </c>
      <c r="H1901" s="69">
        <f t="shared" si="45"/>
        <v>6.6100094428704903E-3</v>
      </c>
      <c r="O1901" s="1319"/>
      <c r="P1901" s="1319"/>
      <c r="Q1901" s="35">
        <v>45091</v>
      </c>
      <c r="R1901" s="36">
        <v>3.8300000000000001E-2</v>
      </c>
      <c r="S1901" s="37">
        <v>4.0599999999999997E-2</v>
      </c>
    </row>
    <row r="1902" spans="1:19" x14ac:dyDescent="0.2">
      <c r="A1902" s="1"/>
      <c r="B1902" s="13">
        <v>42955</v>
      </c>
      <c r="C1902" s="14">
        <v>52.95</v>
      </c>
      <c r="D1902" s="15">
        <v>194407</v>
      </c>
      <c r="E1902" s="14">
        <v>53.3</v>
      </c>
      <c r="F1902" s="14">
        <v>53.75</v>
      </c>
      <c r="G1902" s="16">
        <v>52.825000000000003</v>
      </c>
      <c r="H1902" s="69">
        <f t="shared" si="45"/>
        <v>-1.3047530288909481E-2</v>
      </c>
      <c r="O1902" s="1319"/>
      <c r="P1902" s="1319"/>
      <c r="Q1902" s="35">
        <v>45092</v>
      </c>
      <c r="R1902" s="36">
        <v>3.7200000000000004E-2</v>
      </c>
      <c r="S1902" s="37">
        <v>3.9100000000000003E-2</v>
      </c>
    </row>
    <row r="1903" spans="1:19" x14ac:dyDescent="0.2">
      <c r="A1903" s="1"/>
      <c r="B1903" s="13">
        <v>42954</v>
      </c>
      <c r="C1903" s="14">
        <v>53.65</v>
      </c>
      <c r="D1903" s="15">
        <v>139681</v>
      </c>
      <c r="E1903" s="14">
        <v>53.4</v>
      </c>
      <c r="F1903" s="14">
        <v>53.95</v>
      </c>
      <c r="G1903" s="16">
        <v>52.56</v>
      </c>
      <c r="H1903" s="69">
        <f t="shared" si="45"/>
        <v>3.7418147801682178E-3</v>
      </c>
      <c r="O1903" s="1319"/>
      <c r="P1903" s="1319"/>
      <c r="Q1903" s="35">
        <v>45093</v>
      </c>
      <c r="R1903" s="36">
        <v>3.7699999999999997E-2</v>
      </c>
      <c r="S1903" s="37">
        <v>3.9900000000000005E-2</v>
      </c>
    </row>
    <row r="1904" spans="1:19" x14ac:dyDescent="0.2">
      <c r="A1904" s="1"/>
      <c r="B1904" s="13">
        <v>42951</v>
      </c>
      <c r="C1904" s="14">
        <v>53.45</v>
      </c>
      <c r="D1904" s="15">
        <v>165613</v>
      </c>
      <c r="E1904" s="14">
        <v>53.35</v>
      </c>
      <c r="F1904" s="14">
        <v>53.65</v>
      </c>
      <c r="G1904" s="16">
        <v>52.9</v>
      </c>
      <c r="H1904" s="69">
        <f t="shared" si="45"/>
        <v>6.5913370998116338E-3</v>
      </c>
      <c r="O1904" s="1319"/>
      <c r="P1904" s="1319"/>
      <c r="Q1904" s="35">
        <v>45097</v>
      </c>
      <c r="R1904" s="36">
        <v>3.7400000000000003E-2</v>
      </c>
      <c r="S1904" s="37">
        <v>3.9599999999999996E-2</v>
      </c>
    </row>
    <row r="1905" spans="1:19" x14ac:dyDescent="0.2">
      <c r="A1905" s="1"/>
      <c r="B1905" s="13">
        <v>42950</v>
      </c>
      <c r="C1905" s="14">
        <v>53.1</v>
      </c>
      <c r="D1905" s="15">
        <v>175506</v>
      </c>
      <c r="E1905" s="14">
        <v>53.75</v>
      </c>
      <c r="F1905" s="14">
        <v>53.9</v>
      </c>
      <c r="G1905" s="16">
        <v>53</v>
      </c>
      <c r="H1905" s="69">
        <f t="shared" si="45"/>
        <v>-1.1173184357541888E-2</v>
      </c>
      <c r="O1905" s="1319"/>
      <c r="P1905" s="1319"/>
      <c r="Q1905" s="35">
        <v>45098</v>
      </c>
      <c r="R1905" s="36">
        <v>3.7200000000000004E-2</v>
      </c>
      <c r="S1905" s="37">
        <v>3.95E-2</v>
      </c>
    </row>
    <row r="1906" spans="1:19" x14ac:dyDescent="0.2">
      <c r="A1906" s="1"/>
      <c r="B1906" s="13">
        <v>42949</v>
      </c>
      <c r="C1906" s="14">
        <v>53.7</v>
      </c>
      <c r="D1906" s="15">
        <v>285920</v>
      </c>
      <c r="E1906" s="14">
        <v>53.75</v>
      </c>
      <c r="F1906" s="14">
        <v>55</v>
      </c>
      <c r="G1906" s="16">
        <v>53.55</v>
      </c>
      <c r="H1906" s="69">
        <f t="shared" si="45"/>
        <v>-9.3023255813950989E-4</v>
      </c>
      <c r="O1906" s="1319"/>
      <c r="P1906" s="1319"/>
      <c r="Q1906" s="35">
        <v>45099</v>
      </c>
      <c r="R1906" s="36">
        <v>3.7999999999999999E-2</v>
      </c>
      <c r="S1906" s="37">
        <v>4.0300000000000002E-2</v>
      </c>
    </row>
    <row r="1907" spans="1:19" x14ac:dyDescent="0.2">
      <c r="A1907" s="1"/>
      <c r="B1907" s="13">
        <v>42948</v>
      </c>
      <c r="C1907" s="14">
        <v>53.75</v>
      </c>
      <c r="D1907" s="15">
        <v>331674</v>
      </c>
      <c r="E1907" s="14">
        <v>54.55</v>
      </c>
      <c r="F1907" s="14">
        <v>58</v>
      </c>
      <c r="G1907" s="16">
        <v>53.2</v>
      </c>
      <c r="H1907" s="69">
        <f t="shared" si="45"/>
        <v>-1.1039558417663353E-2</v>
      </c>
      <c r="O1907" s="1319"/>
      <c r="P1907" s="1319"/>
      <c r="Q1907" s="35">
        <v>45100</v>
      </c>
      <c r="R1907" s="36">
        <v>3.7400000000000003E-2</v>
      </c>
      <c r="S1907" s="37">
        <v>3.9900000000000005E-2</v>
      </c>
    </row>
    <row r="1908" spans="1:19" x14ac:dyDescent="0.2">
      <c r="A1908" s="1"/>
      <c r="B1908" s="13">
        <v>42947</v>
      </c>
      <c r="C1908" s="14">
        <v>54.35</v>
      </c>
      <c r="D1908" s="15">
        <v>254043</v>
      </c>
      <c r="E1908" s="14">
        <v>55.3</v>
      </c>
      <c r="F1908" s="14">
        <v>55.3</v>
      </c>
      <c r="G1908" s="16">
        <v>53.55</v>
      </c>
      <c r="H1908" s="69">
        <f t="shared" si="45"/>
        <v>-6.3985374771481363E-3</v>
      </c>
      <c r="O1908" s="1319"/>
      <c r="P1908" s="1319"/>
      <c r="Q1908" s="35">
        <v>45103</v>
      </c>
      <c r="R1908" s="36">
        <v>3.7200000000000004E-2</v>
      </c>
      <c r="S1908" s="37">
        <v>3.9599999999999996E-2</v>
      </c>
    </row>
    <row r="1909" spans="1:19" x14ac:dyDescent="0.2">
      <c r="A1909" s="1"/>
      <c r="B1909" s="13">
        <v>42944</v>
      </c>
      <c r="C1909" s="14">
        <v>54.7</v>
      </c>
      <c r="D1909" s="15">
        <v>386740</v>
      </c>
      <c r="E1909" s="14">
        <v>53.05</v>
      </c>
      <c r="F1909" s="14">
        <v>56.6</v>
      </c>
      <c r="G1909" s="16">
        <v>51.555</v>
      </c>
      <c r="H1909" s="69">
        <f t="shared" si="45"/>
        <v>5.5984555984556206E-2</v>
      </c>
      <c r="O1909" s="1319"/>
      <c r="P1909" s="1319"/>
      <c r="Q1909" s="35">
        <v>45104</v>
      </c>
      <c r="R1909" s="36">
        <v>3.7699999999999997E-2</v>
      </c>
      <c r="S1909" s="37">
        <v>4.0199999999999993E-2</v>
      </c>
    </row>
    <row r="1910" spans="1:19" x14ac:dyDescent="0.2">
      <c r="A1910" s="1"/>
      <c r="B1910" s="13">
        <v>42943</v>
      </c>
      <c r="C1910" s="14">
        <v>51.8</v>
      </c>
      <c r="D1910" s="15">
        <v>323811</v>
      </c>
      <c r="E1910" s="14">
        <v>54.1</v>
      </c>
      <c r="F1910" s="14">
        <v>54.1</v>
      </c>
      <c r="G1910" s="16">
        <v>51.05</v>
      </c>
      <c r="H1910" s="69">
        <f t="shared" si="45"/>
        <v>-3.3582089552238847E-2</v>
      </c>
      <c r="O1910" s="1319"/>
      <c r="P1910" s="1319"/>
      <c r="Q1910" s="35">
        <v>45105</v>
      </c>
      <c r="R1910" s="36">
        <v>3.7100000000000001E-2</v>
      </c>
      <c r="S1910" s="37">
        <v>3.9699999999999999E-2</v>
      </c>
    </row>
    <row r="1911" spans="1:19" x14ac:dyDescent="0.2">
      <c r="A1911" s="1"/>
      <c r="B1911" s="13">
        <v>42942</v>
      </c>
      <c r="C1911" s="14">
        <v>53.6</v>
      </c>
      <c r="D1911" s="15">
        <v>78115</v>
      </c>
      <c r="E1911" s="14">
        <v>54</v>
      </c>
      <c r="F1911" s="14">
        <v>54</v>
      </c>
      <c r="G1911" s="16">
        <v>52.138100000000001</v>
      </c>
      <c r="H1911" s="69">
        <f t="shared" si="45"/>
        <v>-1.8621973929237035E-3</v>
      </c>
      <c r="O1911" s="1319"/>
      <c r="P1911" s="1319"/>
      <c r="Q1911" s="35">
        <v>45106</v>
      </c>
      <c r="R1911" s="36">
        <v>3.85E-2</v>
      </c>
      <c r="S1911" s="37">
        <v>4.1399999999999999E-2</v>
      </c>
    </row>
    <row r="1912" spans="1:19" x14ac:dyDescent="0.2">
      <c r="A1912" s="1"/>
      <c r="B1912" s="13">
        <v>42941</v>
      </c>
      <c r="C1912" s="14">
        <v>53.7</v>
      </c>
      <c r="D1912" s="15">
        <v>174597</v>
      </c>
      <c r="E1912" s="14">
        <v>52.65</v>
      </c>
      <c r="F1912" s="14">
        <v>53.85</v>
      </c>
      <c r="G1912" s="16">
        <v>52.5</v>
      </c>
      <c r="H1912" s="69">
        <f t="shared" si="45"/>
        <v>2.8735632183908066E-2</v>
      </c>
      <c r="O1912" s="1319"/>
      <c r="P1912" s="1319"/>
      <c r="Q1912" s="35">
        <v>45107</v>
      </c>
      <c r="R1912" s="36">
        <v>3.8100000000000002E-2</v>
      </c>
      <c r="S1912" s="37">
        <v>4.1299999999999996E-2</v>
      </c>
    </row>
    <row r="1913" spans="1:19" x14ac:dyDescent="0.2">
      <c r="A1913" s="1"/>
      <c r="B1913" s="13">
        <v>42940</v>
      </c>
      <c r="C1913" s="14">
        <v>52.2</v>
      </c>
      <c r="D1913" s="15">
        <v>81729</v>
      </c>
      <c r="E1913" s="14">
        <v>51.9</v>
      </c>
      <c r="F1913" s="14">
        <v>52.45</v>
      </c>
      <c r="G1913" s="16">
        <v>51.524999999999999</v>
      </c>
      <c r="H1913" s="69">
        <f t="shared" si="45"/>
        <v>6.7502410800386325E-3</v>
      </c>
      <c r="O1913" s="1319"/>
      <c r="P1913" s="1319"/>
      <c r="Q1913" s="35">
        <v>45110</v>
      </c>
      <c r="R1913" s="36">
        <v>3.8599999999999995E-2</v>
      </c>
      <c r="S1913" s="37">
        <v>4.1900000000000007E-2</v>
      </c>
    </row>
    <row r="1914" spans="1:19" x14ac:dyDescent="0.2">
      <c r="A1914" s="1"/>
      <c r="B1914" s="13">
        <v>42937</v>
      </c>
      <c r="C1914" s="14">
        <v>51.85</v>
      </c>
      <c r="D1914" s="15">
        <v>123907</v>
      </c>
      <c r="E1914" s="14">
        <v>51.95</v>
      </c>
      <c r="F1914" s="14">
        <v>52.05</v>
      </c>
      <c r="G1914" s="16">
        <v>51.15</v>
      </c>
      <c r="H1914" s="69">
        <f t="shared" si="45"/>
        <v>3.8722168441434057E-3</v>
      </c>
      <c r="O1914" s="1319"/>
      <c r="P1914" s="1319"/>
      <c r="Q1914" s="35">
        <v>45112</v>
      </c>
      <c r="R1914" s="36">
        <v>3.95E-2</v>
      </c>
      <c r="S1914" s="37">
        <v>4.2500000000000003E-2</v>
      </c>
    </row>
    <row r="1915" spans="1:19" x14ac:dyDescent="0.2">
      <c r="A1915" s="1"/>
      <c r="B1915" s="13">
        <v>42936</v>
      </c>
      <c r="C1915" s="14">
        <v>51.65</v>
      </c>
      <c r="D1915" s="15">
        <v>102174</v>
      </c>
      <c r="E1915" s="14">
        <v>52.25</v>
      </c>
      <c r="F1915" s="14">
        <v>52.25</v>
      </c>
      <c r="G1915" s="16">
        <v>51.6</v>
      </c>
      <c r="H1915" s="69">
        <f t="shared" si="45"/>
        <v>-1.24282982791587E-2</v>
      </c>
      <c r="O1915" s="1319"/>
      <c r="P1915" s="1319"/>
      <c r="Q1915" s="35">
        <v>45113</v>
      </c>
      <c r="R1915" s="36">
        <v>4.0500000000000001E-2</v>
      </c>
      <c r="S1915" s="37">
        <v>4.3700000000000003E-2</v>
      </c>
    </row>
    <row r="1916" spans="1:19" x14ac:dyDescent="0.2">
      <c r="A1916" s="1"/>
      <c r="B1916" s="13">
        <v>42935</v>
      </c>
      <c r="C1916" s="14">
        <v>52.3</v>
      </c>
      <c r="D1916" s="15">
        <v>142524</v>
      </c>
      <c r="E1916" s="14">
        <v>51.75</v>
      </c>
      <c r="F1916" s="14">
        <v>52.6</v>
      </c>
      <c r="G1916" s="16">
        <v>51.6</v>
      </c>
      <c r="H1916" s="69">
        <f t="shared" si="45"/>
        <v>8.6788813886209404E-3</v>
      </c>
      <c r="O1916" s="1319"/>
      <c r="P1916" s="1319"/>
      <c r="Q1916" s="35">
        <v>45114</v>
      </c>
      <c r="R1916" s="36">
        <v>4.0599999999999997E-2</v>
      </c>
      <c r="S1916" s="37">
        <v>4.3499999999999997E-2</v>
      </c>
    </row>
    <row r="1917" spans="1:19" x14ac:dyDescent="0.2">
      <c r="A1917" s="1"/>
      <c r="B1917" s="13">
        <v>42934</v>
      </c>
      <c r="C1917" s="14">
        <v>51.85</v>
      </c>
      <c r="D1917" s="15">
        <v>114097</v>
      </c>
      <c r="E1917" s="14">
        <v>52.45</v>
      </c>
      <c r="F1917" s="14">
        <v>52.55</v>
      </c>
      <c r="G1917" s="16">
        <v>51.491</v>
      </c>
      <c r="H1917" s="69">
        <f t="shared" si="45"/>
        <v>-1.4258555133079831E-2</v>
      </c>
      <c r="O1917" s="1319"/>
      <c r="P1917" s="1319"/>
      <c r="Q1917" s="35">
        <v>45117</v>
      </c>
      <c r="R1917" s="36">
        <v>4.0099999999999997E-2</v>
      </c>
      <c r="S1917" s="37">
        <v>4.2500000000000003E-2</v>
      </c>
    </row>
    <row r="1918" spans="1:19" x14ac:dyDescent="0.2">
      <c r="A1918" s="1"/>
      <c r="B1918" s="13">
        <v>42933</v>
      </c>
      <c r="C1918" s="14">
        <v>52.6</v>
      </c>
      <c r="D1918" s="15">
        <v>122705</v>
      </c>
      <c r="E1918" s="14">
        <v>53.6</v>
      </c>
      <c r="F1918" s="14">
        <v>53.6</v>
      </c>
      <c r="G1918" s="16">
        <v>52.5</v>
      </c>
      <c r="H1918" s="69">
        <f t="shared" si="45"/>
        <v>-1.7740429505135324E-2</v>
      </c>
      <c r="O1918" s="1319"/>
      <c r="P1918" s="1319"/>
      <c r="Q1918" s="35">
        <v>45118</v>
      </c>
      <c r="R1918" s="36">
        <v>3.9900000000000005E-2</v>
      </c>
      <c r="S1918" s="37">
        <v>4.24E-2</v>
      </c>
    </row>
    <row r="1919" spans="1:19" x14ac:dyDescent="0.2">
      <c r="A1919" s="1"/>
      <c r="B1919" s="13">
        <v>42930</v>
      </c>
      <c r="C1919" s="14">
        <v>53.55</v>
      </c>
      <c r="D1919" s="15">
        <v>125074</v>
      </c>
      <c r="E1919" s="14">
        <v>53.45</v>
      </c>
      <c r="F1919" s="14">
        <v>53.95</v>
      </c>
      <c r="G1919" s="16">
        <v>53</v>
      </c>
      <c r="H1919" s="69">
        <f t="shared" si="45"/>
        <v>4.6904315196998336E-3</v>
      </c>
      <c r="O1919" s="1319"/>
      <c r="P1919" s="1319"/>
      <c r="Q1919" s="35">
        <v>45119</v>
      </c>
      <c r="R1919" s="36">
        <v>3.8599999999999995E-2</v>
      </c>
      <c r="S1919" s="37">
        <v>4.07E-2</v>
      </c>
    </row>
    <row r="1920" spans="1:19" x14ac:dyDescent="0.2">
      <c r="A1920" s="1"/>
      <c r="B1920" s="13">
        <v>42929</v>
      </c>
      <c r="C1920" s="14">
        <v>53.3</v>
      </c>
      <c r="D1920" s="15">
        <v>111315</v>
      </c>
      <c r="E1920" s="14">
        <v>54.1</v>
      </c>
      <c r="F1920" s="14">
        <v>54.125</v>
      </c>
      <c r="G1920" s="16">
        <v>52.9</v>
      </c>
      <c r="H1920" s="69">
        <f t="shared" si="45"/>
        <v>-1.4787430683918745E-2</v>
      </c>
      <c r="O1920" s="1319"/>
      <c r="P1920" s="1319"/>
      <c r="Q1920" s="35">
        <v>45120</v>
      </c>
      <c r="R1920" s="36">
        <v>3.7599999999999995E-2</v>
      </c>
      <c r="S1920" s="37">
        <v>3.9300000000000002E-2</v>
      </c>
    </row>
    <row r="1921" spans="1:19" x14ac:dyDescent="0.2">
      <c r="A1921" s="1"/>
      <c r="B1921" s="13">
        <v>42928</v>
      </c>
      <c r="C1921" s="14">
        <v>54.1</v>
      </c>
      <c r="D1921" s="15">
        <v>151185</v>
      </c>
      <c r="E1921" s="14">
        <v>52.6</v>
      </c>
      <c r="F1921" s="14">
        <v>54.3</v>
      </c>
      <c r="G1921" s="16">
        <v>51.9</v>
      </c>
      <c r="H1921" s="69">
        <f t="shared" si="45"/>
        <v>4.3394406943105146E-2</v>
      </c>
      <c r="O1921" s="1319"/>
      <c r="P1921" s="1319"/>
      <c r="Q1921" s="35">
        <v>45121</v>
      </c>
      <c r="R1921" s="36">
        <v>3.8300000000000001E-2</v>
      </c>
      <c r="S1921" s="37">
        <v>4.0399999999999998E-2</v>
      </c>
    </row>
    <row r="1922" spans="1:19" x14ac:dyDescent="0.2">
      <c r="A1922" s="1"/>
      <c r="B1922" s="13">
        <v>42927</v>
      </c>
      <c r="C1922" s="14">
        <v>51.85</v>
      </c>
      <c r="D1922" s="15">
        <v>154398</v>
      </c>
      <c r="E1922" s="14">
        <v>53.15</v>
      </c>
      <c r="F1922" s="14">
        <v>53.325000000000003</v>
      </c>
      <c r="G1922" s="16">
        <v>51.674999999999997</v>
      </c>
      <c r="H1922" s="69">
        <f t="shared" si="45"/>
        <v>-2.3540489642184581E-2</v>
      </c>
      <c r="O1922" s="1319"/>
      <c r="P1922" s="1319"/>
      <c r="Q1922" s="35">
        <v>45124</v>
      </c>
      <c r="R1922" s="36">
        <v>3.8100000000000002E-2</v>
      </c>
      <c r="S1922" s="37">
        <v>4.0199999999999993E-2</v>
      </c>
    </row>
    <row r="1923" spans="1:19" x14ac:dyDescent="0.2">
      <c r="A1923" s="1"/>
      <c r="B1923" s="13">
        <v>42926</v>
      </c>
      <c r="C1923" s="14">
        <v>53.1</v>
      </c>
      <c r="D1923" s="15">
        <v>154007</v>
      </c>
      <c r="E1923" s="14">
        <v>53</v>
      </c>
      <c r="F1923" s="14">
        <v>53.65</v>
      </c>
      <c r="G1923" s="16">
        <v>52.25</v>
      </c>
      <c r="H1923" s="69">
        <f t="shared" si="45"/>
        <v>2.8328611898016387E-3</v>
      </c>
      <c r="O1923" s="1319"/>
      <c r="P1923" s="1319"/>
      <c r="Q1923" s="35">
        <v>45125</v>
      </c>
      <c r="R1923" s="36">
        <v>3.7999999999999999E-2</v>
      </c>
      <c r="S1923" s="37">
        <v>0.04</v>
      </c>
    </row>
    <row r="1924" spans="1:19" x14ac:dyDescent="0.2">
      <c r="A1924" s="1"/>
      <c r="B1924" s="13">
        <v>42923</v>
      </c>
      <c r="C1924" s="14">
        <v>52.95</v>
      </c>
      <c r="D1924" s="15">
        <v>65652</v>
      </c>
      <c r="E1924" s="14">
        <v>52.25</v>
      </c>
      <c r="F1924" s="14">
        <v>53</v>
      </c>
      <c r="G1924" s="16">
        <v>51.65</v>
      </c>
      <c r="H1924" s="69">
        <f t="shared" si="45"/>
        <v>1.9249278152069227E-2</v>
      </c>
      <c r="O1924" s="1319"/>
      <c r="P1924" s="1319"/>
      <c r="Q1924" s="35">
        <v>45126</v>
      </c>
      <c r="R1924" s="36">
        <v>3.7499999999999999E-2</v>
      </c>
      <c r="S1924" s="37">
        <v>3.9800000000000002E-2</v>
      </c>
    </row>
    <row r="1925" spans="1:19" x14ac:dyDescent="0.2">
      <c r="A1925" s="1"/>
      <c r="B1925" s="13">
        <v>42922</v>
      </c>
      <c r="C1925" s="14">
        <v>51.95</v>
      </c>
      <c r="D1925" s="15">
        <v>163018</v>
      </c>
      <c r="E1925" s="14">
        <v>52.25</v>
      </c>
      <c r="F1925" s="14">
        <v>52.55</v>
      </c>
      <c r="G1925" s="16">
        <v>51.35</v>
      </c>
      <c r="H1925" s="69">
        <f t="shared" si="45"/>
        <v>-1.5165876777251119E-2</v>
      </c>
      <c r="O1925" s="1319"/>
      <c r="P1925" s="1319"/>
      <c r="Q1925" s="35">
        <v>45127</v>
      </c>
      <c r="R1925" s="36">
        <v>3.85E-2</v>
      </c>
      <c r="S1925" s="37">
        <v>4.0800000000000003E-2</v>
      </c>
    </row>
    <row r="1926" spans="1:19" x14ac:dyDescent="0.2">
      <c r="A1926" s="1"/>
      <c r="B1926" s="13">
        <v>42921</v>
      </c>
      <c r="C1926" s="14">
        <v>52.75</v>
      </c>
      <c r="D1926" s="15">
        <v>204913</v>
      </c>
      <c r="E1926" s="14">
        <v>52.1</v>
      </c>
      <c r="F1926" s="14">
        <v>53.25</v>
      </c>
      <c r="G1926" s="16">
        <v>51.35</v>
      </c>
      <c r="H1926" s="69">
        <f t="shared" si="45"/>
        <v>1.2476007677543199E-2</v>
      </c>
      <c r="O1926" s="1319"/>
      <c r="P1926" s="1319"/>
      <c r="Q1926" s="35">
        <v>45128</v>
      </c>
      <c r="R1926" s="36">
        <v>3.8399999999999997E-2</v>
      </c>
      <c r="S1926" s="37">
        <v>4.0899999999999999E-2</v>
      </c>
    </row>
    <row r="1927" spans="1:19" x14ac:dyDescent="0.2">
      <c r="A1927" s="1"/>
      <c r="B1927" s="13">
        <v>42919</v>
      </c>
      <c r="C1927" s="14">
        <v>52.1</v>
      </c>
      <c r="D1927" s="15">
        <v>69392</v>
      </c>
      <c r="E1927" s="14">
        <v>51.7</v>
      </c>
      <c r="F1927" s="14">
        <v>52.35</v>
      </c>
      <c r="G1927" s="16">
        <v>51.15</v>
      </c>
      <c r="H1927" s="69">
        <f t="shared" si="45"/>
        <v>1.5594541910331383E-2</v>
      </c>
      <c r="O1927" s="1319"/>
      <c r="P1927" s="1319"/>
      <c r="Q1927" s="35">
        <v>45131</v>
      </c>
      <c r="R1927" s="36">
        <v>3.8599999999999995E-2</v>
      </c>
      <c r="S1927" s="37">
        <v>4.1299999999999996E-2</v>
      </c>
    </row>
    <row r="1928" spans="1:19" x14ac:dyDescent="0.2">
      <c r="A1928" s="1"/>
      <c r="B1928" s="13">
        <v>42916</v>
      </c>
      <c r="C1928" s="14">
        <v>51.3</v>
      </c>
      <c r="D1928" s="15">
        <v>166977</v>
      </c>
      <c r="E1928" s="14">
        <v>50.95</v>
      </c>
      <c r="F1928" s="14">
        <v>51.6</v>
      </c>
      <c r="G1928" s="16">
        <v>50.7</v>
      </c>
      <c r="H1928" s="69">
        <f t="shared" si="45"/>
        <v>8.8495575221239076E-3</v>
      </c>
      <c r="O1928" s="1319"/>
      <c r="P1928" s="1319"/>
      <c r="Q1928" s="35">
        <v>45132</v>
      </c>
      <c r="R1928" s="36">
        <v>3.9100000000000003E-2</v>
      </c>
      <c r="S1928" s="37">
        <v>4.1500000000000002E-2</v>
      </c>
    </row>
    <row r="1929" spans="1:19" x14ac:dyDescent="0.2">
      <c r="A1929" s="1"/>
      <c r="B1929" s="13">
        <v>42915</v>
      </c>
      <c r="C1929" s="14">
        <v>50.85</v>
      </c>
      <c r="D1929" s="15">
        <v>167667</v>
      </c>
      <c r="E1929" s="14">
        <v>50.3</v>
      </c>
      <c r="F1929" s="14">
        <v>51.05</v>
      </c>
      <c r="G1929" s="16">
        <v>49.85</v>
      </c>
      <c r="H1929" s="69">
        <f t="shared" si="45"/>
        <v>1.1437095972153255E-2</v>
      </c>
      <c r="O1929" s="1319"/>
      <c r="P1929" s="1319"/>
      <c r="Q1929" s="35">
        <v>45133</v>
      </c>
      <c r="R1929" s="36">
        <v>3.8599999999999995E-2</v>
      </c>
      <c r="S1929" s="37">
        <v>4.0899999999999999E-2</v>
      </c>
    </row>
    <row r="1930" spans="1:19" x14ac:dyDescent="0.2">
      <c r="A1930" s="1"/>
      <c r="B1930" s="13">
        <v>42914</v>
      </c>
      <c r="C1930" s="14">
        <v>50.274999999999999</v>
      </c>
      <c r="D1930" s="15">
        <v>152610</v>
      </c>
      <c r="E1930" s="14">
        <v>49.15</v>
      </c>
      <c r="F1930" s="14">
        <v>50.4</v>
      </c>
      <c r="G1930" s="16">
        <v>49.075000000000003</v>
      </c>
      <c r="H1930" s="69">
        <f t="shared" si="45"/>
        <v>2.6020408163265341E-2</v>
      </c>
      <c r="O1930" s="1319"/>
      <c r="P1930" s="1319"/>
      <c r="Q1930" s="35">
        <v>45134</v>
      </c>
      <c r="R1930" s="36">
        <v>4.0099999999999997E-2</v>
      </c>
      <c r="S1930" s="37">
        <v>4.24E-2</v>
      </c>
    </row>
    <row r="1931" spans="1:19" x14ac:dyDescent="0.2">
      <c r="A1931" s="1"/>
      <c r="B1931" s="13">
        <v>42913</v>
      </c>
      <c r="C1931" s="14">
        <v>49</v>
      </c>
      <c r="D1931" s="15">
        <v>247466</v>
      </c>
      <c r="E1931" s="14">
        <v>47.8</v>
      </c>
      <c r="F1931" s="14">
        <v>49.15</v>
      </c>
      <c r="G1931" s="16">
        <v>47.5</v>
      </c>
      <c r="H1931" s="69">
        <f t="shared" si="45"/>
        <v>2.4033437826541215E-2</v>
      </c>
      <c r="O1931" s="1319"/>
      <c r="P1931" s="1319"/>
      <c r="Q1931" s="35">
        <v>45135</v>
      </c>
      <c r="R1931" s="36">
        <v>3.9599999999999996E-2</v>
      </c>
      <c r="S1931" s="37">
        <v>4.1799999999999997E-2</v>
      </c>
    </row>
    <row r="1932" spans="1:19" x14ac:dyDescent="0.2">
      <c r="A1932" s="1"/>
      <c r="B1932" s="13">
        <v>42912</v>
      </c>
      <c r="C1932" s="14">
        <v>47.85</v>
      </c>
      <c r="D1932" s="15">
        <v>76583</v>
      </c>
      <c r="E1932" s="14">
        <v>47.65</v>
      </c>
      <c r="F1932" s="14">
        <v>48</v>
      </c>
      <c r="G1932" s="16">
        <v>47.1</v>
      </c>
      <c r="H1932" s="69">
        <f t="shared" si="45"/>
        <v>1.2698412698412653E-2</v>
      </c>
      <c r="O1932" s="1319"/>
      <c r="P1932" s="1319"/>
      <c r="Q1932" s="35">
        <v>45138</v>
      </c>
      <c r="R1932" s="36">
        <v>3.9699999999999999E-2</v>
      </c>
      <c r="S1932" s="37">
        <v>4.1799999999999997E-2</v>
      </c>
    </row>
    <row r="1933" spans="1:19" x14ac:dyDescent="0.2">
      <c r="A1933" s="1"/>
      <c r="B1933" s="13">
        <v>42909</v>
      </c>
      <c r="C1933" s="14">
        <v>47.25</v>
      </c>
      <c r="D1933" s="15">
        <v>514774</v>
      </c>
      <c r="E1933" s="14">
        <v>46.55</v>
      </c>
      <c r="F1933" s="14">
        <v>47.75</v>
      </c>
      <c r="G1933" s="16">
        <v>46.25</v>
      </c>
      <c r="H1933" s="69">
        <f t="shared" si="45"/>
        <v>1.5037593984962516E-2</v>
      </c>
      <c r="O1933" s="1319"/>
      <c r="P1933" s="1319"/>
      <c r="Q1933" s="35">
        <v>45139</v>
      </c>
      <c r="R1933" s="36">
        <v>4.0500000000000001E-2</v>
      </c>
      <c r="S1933" s="37">
        <v>4.24E-2</v>
      </c>
    </row>
    <row r="1934" spans="1:19" x14ac:dyDescent="0.2">
      <c r="A1934" s="1"/>
      <c r="B1934" s="13">
        <v>42908</v>
      </c>
      <c r="C1934" s="14">
        <v>46.55</v>
      </c>
      <c r="D1934" s="15">
        <v>109907</v>
      </c>
      <c r="E1934" s="14">
        <v>47</v>
      </c>
      <c r="F1934" s="14">
        <v>47.15</v>
      </c>
      <c r="G1934" s="16">
        <v>45.8</v>
      </c>
      <c r="H1934" s="69">
        <f t="shared" si="45"/>
        <v>-1.062699256110522E-2</v>
      </c>
      <c r="O1934" s="1319"/>
      <c r="P1934" s="1319"/>
      <c r="Q1934" s="35">
        <v>45140</v>
      </c>
      <c r="R1934" s="36">
        <v>4.0800000000000003E-2</v>
      </c>
      <c r="S1934" s="37">
        <v>4.24E-2</v>
      </c>
    </row>
    <row r="1935" spans="1:19" x14ac:dyDescent="0.2">
      <c r="A1935" s="1"/>
      <c r="B1935" s="13">
        <v>42907</v>
      </c>
      <c r="C1935" s="14">
        <v>47.05</v>
      </c>
      <c r="D1935" s="15">
        <v>133484</v>
      </c>
      <c r="E1935" s="14">
        <v>47.8</v>
      </c>
      <c r="F1935" s="14">
        <v>48</v>
      </c>
      <c r="G1935" s="16">
        <v>46.85</v>
      </c>
      <c r="H1935" s="69">
        <f t="shared" si="45"/>
        <v>-1.3626834381551434E-2</v>
      </c>
      <c r="O1935" s="1319"/>
      <c r="P1935" s="1319"/>
      <c r="Q1935" s="35">
        <v>45141</v>
      </c>
      <c r="R1935" s="36">
        <v>4.2000000000000003E-2</v>
      </c>
      <c r="S1935" s="37">
        <v>4.2999999999999997E-2</v>
      </c>
    </row>
    <row r="1936" spans="1:19" x14ac:dyDescent="0.2">
      <c r="A1936" s="1"/>
      <c r="B1936" s="13">
        <v>42906</v>
      </c>
      <c r="C1936" s="14">
        <v>47.7</v>
      </c>
      <c r="D1936" s="15">
        <v>146797</v>
      </c>
      <c r="E1936" s="14">
        <v>49.35</v>
      </c>
      <c r="F1936" s="14">
        <v>49.35</v>
      </c>
      <c r="G1936" s="16">
        <v>47.55</v>
      </c>
      <c r="H1936" s="69">
        <f t="shared" si="45"/>
        <v>-3.5389282103134523E-2</v>
      </c>
      <c r="O1936" s="1319"/>
      <c r="P1936" s="1319"/>
      <c r="Q1936" s="35">
        <v>45142</v>
      </c>
      <c r="R1936" s="36">
        <v>4.0500000000000001E-2</v>
      </c>
      <c r="S1936" s="37">
        <v>4.1500000000000002E-2</v>
      </c>
    </row>
    <row r="1937" spans="1:19" x14ac:dyDescent="0.2">
      <c r="A1937" s="1"/>
      <c r="B1937" s="13">
        <v>42905</v>
      </c>
      <c r="C1937" s="14">
        <v>49.45</v>
      </c>
      <c r="D1937" s="15">
        <v>183814</v>
      </c>
      <c r="E1937" s="14">
        <v>49.75</v>
      </c>
      <c r="F1937" s="14">
        <v>51.05</v>
      </c>
      <c r="G1937" s="16">
        <v>49.25</v>
      </c>
      <c r="H1937" s="69">
        <f t="shared" si="45"/>
        <v>-6.0301507537687815E-3</v>
      </c>
      <c r="O1937" s="1319"/>
      <c r="P1937" s="1319"/>
      <c r="Q1937" s="35">
        <v>45145</v>
      </c>
      <c r="R1937" s="36">
        <v>4.0899999999999999E-2</v>
      </c>
      <c r="S1937" s="37">
        <v>4.1599999999999998E-2</v>
      </c>
    </row>
    <row r="1938" spans="1:19" x14ac:dyDescent="0.2">
      <c r="A1938" s="1"/>
      <c r="B1938" s="13">
        <v>42902</v>
      </c>
      <c r="C1938" s="14">
        <v>49.75</v>
      </c>
      <c r="D1938" s="15">
        <v>189023</v>
      </c>
      <c r="E1938" s="14">
        <v>50.3</v>
      </c>
      <c r="F1938" s="14">
        <v>50.85</v>
      </c>
      <c r="G1938" s="16">
        <v>49.55</v>
      </c>
      <c r="H1938" s="69">
        <f t="shared" si="45"/>
        <v>-1.4851485148514865E-2</v>
      </c>
      <c r="O1938" s="1319"/>
      <c r="P1938" s="1319"/>
      <c r="Q1938" s="35">
        <v>45146</v>
      </c>
      <c r="R1938" s="36">
        <v>4.0199999999999993E-2</v>
      </c>
      <c r="S1938" s="37">
        <v>4.0999999999999995E-2</v>
      </c>
    </row>
    <row r="1939" spans="1:19" x14ac:dyDescent="0.2">
      <c r="A1939" s="1"/>
      <c r="B1939" s="13">
        <v>42901</v>
      </c>
      <c r="C1939" s="14">
        <v>50.5</v>
      </c>
      <c r="D1939" s="15">
        <v>80941</v>
      </c>
      <c r="E1939" s="14">
        <v>49.7</v>
      </c>
      <c r="F1939" s="14">
        <v>50.95</v>
      </c>
      <c r="G1939" s="16">
        <v>49.505000000000003</v>
      </c>
      <c r="H1939" s="69">
        <f t="shared" si="45"/>
        <v>-1.9762845849802257E-3</v>
      </c>
      <c r="O1939" s="1319"/>
      <c r="P1939" s="1319"/>
      <c r="Q1939" s="35">
        <v>45147</v>
      </c>
      <c r="R1939" s="36">
        <v>0.04</v>
      </c>
      <c r="S1939" s="37">
        <v>4.1200000000000001E-2</v>
      </c>
    </row>
    <row r="1940" spans="1:19" x14ac:dyDescent="0.2">
      <c r="A1940" s="1"/>
      <c r="B1940" s="13">
        <v>42900</v>
      </c>
      <c r="C1940" s="14">
        <v>50.6</v>
      </c>
      <c r="D1940" s="15">
        <v>205580</v>
      </c>
      <c r="E1940" s="14">
        <v>52.05</v>
      </c>
      <c r="F1940" s="14">
        <v>52.35</v>
      </c>
      <c r="G1940" s="16">
        <v>50.05</v>
      </c>
      <c r="H1940" s="69">
        <f t="shared" si="45"/>
        <v>-2.8790786948176605E-2</v>
      </c>
      <c r="O1940" s="1319"/>
      <c r="P1940" s="1319"/>
      <c r="Q1940" s="35">
        <v>45148</v>
      </c>
      <c r="R1940" s="36">
        <v>4.0899999999999999E-2</v>
      </c>
      <c r="S1940" s="37">
        <v>4.2099999999999999E-2</v>
      </c>
    </row>
    <row r="1941" spans="1:19" x14ac:dyDescent="0.2">
      <c r="A1941" s="1"/>
      <c r="B1941" s="13">
        <v>42899</v>
      </c>
      <c r="C1941" s="14">
        <v>52.1</v>
      </c>
      <c r="D1941" s="15">
        <v>321309</v>
      </c>
      <c r="E1941" s="14">
        <v>51.25</v>
      </c>
      <c r="F1941" s="14">
        <v>52.35</v>
      </c>
      <c r="G1941" s="16">
        <v>51</v>
      </c>
      <c r="H1941" s="69">
        <f t="shared" si="45"/>
        <v>2.0568070519098924E-2</v>
      </c>
      <c r="O1941" s="1319"/>
      <c r="P1941" s="1319"/>
      <c r="Q1941" s="35">
        <v>45149</v>
      </c>
      <c r="R1941" s="36">
        <v>4.1599999999999998E-2</v>
      </c>
      <c r="S1941" s="37">
        <v>4.3099999999999999E-2</v>
      </c>
    </row>
    <row r="1942" spans="1:19" x14ac:dyDescent="0.2">
      <c r="A1942" s="1"/>
      <c r="B1942" s="13">
        <v>42898</v>
      </c>
      <c r="C1942" s="14">
        <v>51.05</v>
      </c>
      <c r="D1942" s="15">
        <v>184074</v>
      </c>
      <c r="E1942" s="14">
        <v>50.3</v>
      </c>
      <c r="F1942" s="14">
        <v>51.65</v>
      </c>
      <c r="G1942" s="16">
        <v>50.3</v>
      </c>
      <c r="H1942" s="69">
        <f t="shared" si="45"/>
        <v>1.1892963330029538E-2</v>
      </c>
      <c r="O1942" s="1319"/>
      <c r="P1942" s="1319"/>
      <c r="Q1942" s="35">
        <v>45152</v>
      </c>
      <c r="R1942" s="36">
        <v>4.1900000000000007E-2</v>
      </c>
      <c r="S1942" s="37">
        <v>4.36E-2</v>
      </c>
    </row>
    <row r="1943" spans="1:19" x14ac:dyDescent="0.2">
      <c r="A1943" s="1"/>
      <c r="B1943" s="13">
        <v>42895</v>
      </c>
      <c r="C1943" s="14">
        <v>50.45</v>
      </c>
      <c r="D1943" s="15">
        <v>277774</v>
      </c>
      <c r="E1943" s="14">
        <v>50.75</v>
      </c>
      <c r="F1943" s="14">
        <v>51.45</v>
      </c>
      <c r="G1943" s="16">
        <v>50.274999999999999</v>
      </c>
      <c r="H1943" s="69">
        <f t="shared" si="45"/>
        <v>-9.9009900990087996E-4</v>
      </c>
      <c r="O1943" s="1319"/>
      <c r="P1943" s="1319"/>
      <c r="Q1943" s="35">
        <v>45153</v>
      </c>
      <c r="R1943" s="36">
        <v>4.2099999999999999E-2</v>
      </c>
      <c r="S1943" s="37">
        <v>4.36E-2</v>
      </c>
    </row>
    <row r="1944" spans="1:19" x14ac:dyDescent="0.2">
      <c r="A1944" s="1"/>
      <c r="B1944" s="13">
        <v>42894</v>
      </c>
      <c r="C1944" s="14">
        <v>50.5</v>
      </c>
      <c r="D1944" s="15">
        <v>99643</v>
      </c>
      <c r="E1944" s="14">
        <v>49.95</v>
      </c>
      <c r="F1944" s="14">
        <v>50.55</v>
      </c>
      <c r="G1944" s="16">
        <v>49.4</v>
      </c>
      <c r="H1944" s="69">
        <f t="shared" si="45"/>
        <v>1.2024048096192397E-2</v>
      </c>
      <c r="O1944" s="1319"/>
      <c r="P1944" s="1319"/>
      <c r="Q1944" s="35">
        <v>45154</v>
      </c>
      <c r="R1944" s="36">
        <v>4.2800000000000005E-2</v>
      </c>
      <c r="S1944" s="37">
        <v>4.4199999999999996E-2</v>
      </c>
    </row>
    <row r="1945" spans="1:19" x14ac:dyDescent="0.2">
      <c r="A1945" s="1"/>
      <c r="B1945" s="13">
        <v>42893</v>
      </c>
      <c r="C1945" s="14">
        <v>49.9</v>
      </c>
      <c r="D1945" s="15">
        <v>222113</v>
      </c>
      <c r="E1945" s="14">
        <v>49.55</v>
      </c>
      <c r="F1945" s="14">
        <v>50.05</v>
      </c>
      <c r="G1945" s="16">
        <v>49.3</v>
      </c>
      <c r="H1945" s="69">
        <f t="shared" si="45"/>
        <v>1.0121457489878471E-2</v>
      </c>
      <c r="O1945" s="1319"/>
      <c r="P1945" s="1319"/>
      <c r="Q1945" s="35">
        <v>45155</v>
      </c>
      <c r="R1945" s="36">
        <v>4.2999999999999997E-2</v>
      </c>
      <c r="S1945" s="37">
        <v>4.4199999999999996E-2</v>
      </c>
    </row>
    <row r="1946" spans="1:19" x14ac:dyDescent="0.2">
      <c r="A1946" s="1"/>
      <c r="B1946" s="13">
        <v>42892</v>
      </c>
      <c r="C1946" s="14">
        <v>49.4</v>
      </c>
      <c r="D1946" s="15">
        <v>74101</v>
      </c>
      <c r="E1946" s="14">
        <v>49</v>
      </c>
      <c r="F1946" s="14">
        <v>49.9</v>
      </c>
      <c r="G1946" s="16">
        <v>48.9</v>
      </c>
      <c r="H1946" s="69">
        <f t="shared" si="45"/>
        <v>3.0456852791878042E-3</v>
      </c>
      <c r="O1946" s="1319"/>
      <c r="P1946" s="1319"/>
      <c r="Q1946" s="35">
        <v>45156</v>
      </c>
      <c r="R1946" s="36">
        <v>4.2599999999999999E-2</v>
      </c>
      <c r="S1946" s="37">
        <v>4.3799999999999999E-2</v>
      </c>
    </row>
    <row r="1947" spans="1:19" x14ac:dyDescent="0.2">
      <c r="A1947" s="1"/>
      <c r="B1947" s="13">
        <v>42891</v>
      </c>
      <c r="C1947" s="14">
        <v>49.25</v>
      </c>
      <c r="D1947" s="15">
        <v>129136</v>
      </c>
      <c r="E1947" s="14">
        <v>48.8</v>
      </c>
      <c r="F1947" s="14">
        <v>49.7</v>
      </c>
      <c r="G1947" s="16">
        <v>48.55</v>
      </c>
      <c r="H1947" s="69">
        <f t="shared" si="45"/>
        <v>8.1883316274309337E-3</v>
      </c>
      <c r="O1947" s="1319"/>
      <c r="P1947" s="1319"/>
      <c r="Q1947" s="35">
        <v>45159</v>
      </c>
      <c r="R1947" s="36">
        <v>4.3400000000000001E-2</v>
      </c>
      <c r="S1947" s="37">
        <v>4.4600000000000001E-2</v>
      </c>
    </row>
    <row r="1948" spans="1:19" x14ac:dyDescent="0.2">
      <c r="A1948" s="1"/>
      <c r="B1948" s="13">
        <v>42888</v>
      </c>
      <c r="C1948" s="14">
        <v>48.85</v>
      </c>
      <c r="D1948" s="15">
        <v>145236</v>
      </c>
      <c r="E1948" s="14">
        <v>47</v>
      </c>
      <c r="F1948" s="14">
        <v>49.3</v>
      </c>
      <c r="G1948" s="16">
        <v>47</v>
      </c>
      <c r="H1948" s="69">
        <f t="shared" si="45"/>
        <v>3.8257173219978791E-2</v>
      </c>
      <c r="O1948" s="1319"/>
      <c r="P1948" s="1319"/>
      <c r="Q1948" s="35">
        <v>45160</v>
      </c>
      <c r="R1948" s="36">
        <v>4.3400000000000001E-2</v>
      </c>
      <c r="S1948" s="37">
        <v>4.4900000000000002E-2</v>
      </c>
    </row>
    <row r="1949" spans="1:19" x14ac:dyDescent="0.2">
      <c r="A1949" s="1"/>
      <c r="B1949" s="13">
        <v>42887</v>
      </c>
      <c r="C1949" s="14">
        <v>47.05</v>
      </c>
      <c r="D1949" s="15">
        <v>182339</v>
      </c>
      <c r="E1949" s="14">
        <v>46.75</v>
      </c>
      <c r="F1949" s="14">
        <v>47.396000000000001</v>
      </c>
      <c r="G1949" s="16">
        <v>46.05</v>
      </c>
      <c r="H1949" s="69">
        <f t="shared" si="45"/>
        <v>1.8398268398268192E-2</v>
      </c>
      <c r="O1949" s="1319"/>
      <c r="P1949" s="1319"/>
      <c r="Q1949" s="35">
        <v>45161</v>
      </c>
      <c r="R1949" s="36">
        <v>4.1900000000000007E-2</v>
      </c>
      <c r="S1949" s="37">
        <v>4.36E-2</v>
      </c>
    </row>
    <row r="1950" spans="1:19" x14ac:dyDescent="0.2">
      <c r="A1950" s="1"/>
      <c r="B1950" s="13">
        <v>42886</v>
      </c>
      <c r="C1950" s="14">
        <v>46.2</v>
      </c>
      <c r="D1950" s="15">
        <v>96795</v>
      </c>
      <c r="E1950" s="14">
        <v>46.55</v>
      </c>
      <c r="F1950" s="14">
        <v>46.6</v>
      </c>
      <c r="G1950" s="16">
        <v>45.15</v>
      </c>
      <c r="H1950" s="69">
        <f t="shared" si="45"/>
        <v>-1.08108108108107E-3</v>
      </c>
      <c r="O1950" s="1319"/>
      <c r="P1950" s="1319"/>
      <c r="Q1950" s="35">
        <v>45162</v>
      </c>
      <c r="R1950" s="36">
        <v>4.2300000000000004E-2</v>
      </c>
      <c r="S1950" s="37">
        <v>4.3899999999999995E-2</v>
      </c>
    </row>
    <row r="1951" spans="1:19" x14ac:dyDescent="0.2">
      <c r="A1951" s="1"/>
      <c r="B1951" s="13">
        <v>42885</v>
      </c>
      <c r="C1951" s="14">
        <v>46.25</v>
      </c>
      <c r="D1951" s="15">
        <v>103925</v>
      </c>
      <c r="E1951" s="14">
        <v>46.1</v>
      </c>
      <c r="F1951" s="14">
        <v>46.55</v>
      </c>
      <c r="G1951" s="16">
        <v>45.55</v>
      </c>
      <c r="H1951" s="69">
        <f t="shared" si="45"/>
        <v>1.0822510822510178E-3</v>
      </c>
      <c r="O1951" s="1319"/>
      <c r="P1951" s="1319"/>
      <c r="Q1951" s="35">
        <v>45163</v>
      </c>
      <c r="R1951" s="36">
        <v>4.2500000000000003E-2</v>
      </c>
      <c r="S1951" s="37">
        <v>4.4400000000000002E-2</v>
      </c>
    </row>
    <row r="1952" spans="1:19" x14ac:dyDescent="0.2">
      <c r="A1952" s="1"/>
      <c r="B1952" s="13">
        <v>42881</v>
      </c>
      <c r="C1952" s="14">
        <v>46.2</v>
      </c>
      <c r="D1952" s="15">
        <v>89532</v>
      </c>
      <c r="E1952" s="14">
        <v>46.9</v>
      </c>
      <c r="F1952" s="14">
        <v>46.9</v>
      </c>
      <c r="G1952" s="16">
        <v>46</v>
      </c>
      <c r="H1952" s="69">
        <f t="shared" si="45"/>
        <v>-1.492537313432829E-2</v>
      </c>
      <c r="O1952" s="1319"/>
      <c r="P1952" s="1319"/>
      <c r="Q1952" s="35">
        <v>45166</v>
      </c>
      <c r="R1952" s="36">
        <v>4.2000000000000003E-2</v>
      </c>
      <c r="S1952" s="37">
        <v>4.3799999999999999E-2</v>
      </c>
    </row>
    <row r="1953" spans="1:19" x14ac:dyDescent="0.2">
      <c r="A1953" s="1"/>
      <c r="B1953" s="13">
        <v>42880</v>
      </c>
      <c r="C1953" s="14">
        <v>46.9</v>
      </c>
      <c r="D1953" s="15">
        <v>221051</v>
      </c>
      <c r="E1953" s="14">
        <v>46.1</v>
      </c>
      <c r="F1953" s="14">
        <v>46.95</v>
      </c>
      <c r="G1953" s="16">
        <v>45.95</v>
      </c>
      <c r="H1953" s="69">
        <f t="shared" si="45"/>
        <v>2.5136612021857907E-2</v>
      </c>
      <c r="O1953" s="1319"/>
      <c r="P1953" s="1319"/>
      <c r="Q1953" s="35">
        <v>45167</v>
      </c>
      <c r="R1953" s="36">
        <v>4.1200000000000001E-2</v>
      </c>
      <c r="S1953" s="37">
        <v>4.2599999999999999E-2</v>
      </c>
    </row>
    <row r="1954" spans="1:19" x14ac:dyDescent="0.2">
      <c r="A1954" s="1"/>
      <c r="B1954" s="13">
        <v>42879</v>
      </c>
      <c r="C1954" s="14">
        <v>45.75</v>
      </c>
      <c r="D1954" s="15">
        <v>142232</v>
      </c>
      <c r="E1954" s="14">
        <v>45.25</v>
      </c>
      <c r="F1954" s="14">
        <v>46.05</v>
      </c>
      <c r="G1954" s="16">
        <v>45.2</v>
      </c>
      <c r="H1954" s="69">
        <f t="shared" si="45"/>
        <v>1.2168141592920234E-2</v>
      </c>
      <c r="O1954" s="1319"/>
      <c r="P1954" s="1319"/>
      <c r="Q1954" s="35">
        <v>45168</v>
      </c>
      <c r="R1954" s="36">
        <v>4.1200000000000001E-2</v>
      </c>
      <c r="S1954" s="37">
        <v>4.2699999999999995E-2</v>
      </c>
    </row>
    <row r="1955" spans="1:19" x14ac:dyDescent="0.2">
      <c r="A1955" s="1"/>
      <c r="B1955" s="13">
        <v>42878</v>
      </c>
      <c r="C1955" s="14">
        <v>45.2</v>
      </c>
      <c r="D1955" s="15">
        <v>112560</v>
      </c>
      <c r="E1955" s="14">
        <v>44.3</v>
      </c>
      <c r="F1955" s="14">
        <v>45.35</v>
      </c>
      <c r="G1955" s="16">
        <v>43.7</v>
      </c>
      <c r="H1955" s="69">
        <f t="shared" si="45"/>
        <v>2.3782559456398733E-2</v>
      </c>
      <c r="O1955" s="1319"/>
      <c r="P1955" s="1319"/>
      <c r="Q1955" s="35">
        <v>45169</v>
      </c>
      <c r="R1955" s="36">
        <v>4.0899999999999999E-2</v>
      </c>
      <c r="S1955" s="37">
        <v>4.2300000000000004E-2</v>
      </c>
    </row>
    <row r="1956" spans="1:19" x14ac:dyDescent="0.2">
      <c r="A1956" s="1"/>
      <c r="B1956" s="13">
        <v>42877</v>
      </c>
      <c r="C1956" s="14">
        <v>44.15</v>
      </c>
      <c r="D1956" s="15">
        <v>77948</v>
      </c>
      <c r="E1956" s="14">
        <v>43.6</v>
      </c>
      <c r="F1956" s="14">
        <v>44.15</v>
      </c>
      <c r="G1956" s="16">
        <v>43</v>
      </c>
      <c r="H1956" s="69">
        <f t="shared" si="45"/>
        <v>1.1454753722794919E-2</v>
      </c>
      <c r="O1956" s="1319"/>
      <c r="P1956" s="1319"/>
      <c r="Q1956" s="35">
        <v>45170</v>
      </c>
      <c r="R1956" s="36">
        <v>4.1799999999999997E-2</v>
      </c>
      <c r="S1956" s="37">
        <v>4.2900000000000001E-2</v>
      </c>
    </row>
    <row r="1957" spans="1:19" x14ac:dyDescent="0.2">
      <c r="A1957" s="1"/>
      <c r="B1957" s="13">
        <v>42874</v>
      </c>
      <c r="C1957" s="14">
        <v>43.65</v>
      </c>
      <c r="D1957" s="15">
        <v>164249</v>
      </c>
      <c r="E1957" s="14">
        <v>42.95</v>
      </c>
      <c r="F1957" s="14">
        <v>44.1</v>
      </c>
      <c r="G1957" s="16">
        <v>42.45</v>
      </c>
      <c r="H1957" s="69">
        <f t="shared" si="45"/>
        <v>1.8669778296382722E-2</v>
      </c>
      <c r="O1957" s="1319"/>
      <c r="P1957" s="1319"/>
      <c r="Q1957" s="35">
        <v>45174</v>
      </c>
      <c r="R1957" s="36">
        <v>4.2699999999999995E-2</v>
      </c>
      <c r="S1957" s="37">
        <v>4.3700000000000003E-2</v>
      </c>
    </row>
    <row r="1958" spans="1:19" x14ac:dyDescent="0.2">
      <c r="A1958" s="1"/>
      <c r="B1958" s="13">
        <v>42873</v>
      </c>
      <c r="C1958" s="14">
        <v>42.85</v>
      </c>
      <c r="D1958" s="15">
        <v>108681</v>
      </c>
      <c r="E1958" s="14">
        <v>41.95</v>
      </c>
      <c r="F1958" s="14">
        <v>43.35</v>
      </c>
      <c r="G1958" s="16">
        <v>41.8</v>
      </c>
      <c r="H1958" s="69">
        <f t="shared" si="45"/>
        <v>2.0238095238095166E-2</v>
      </c>
      <c r="O1958" s="1319"/>
      <c r="P1958" s="1319"/>
      <c r="Q1958" s="35">
        <v>45175</v>
      </c>
      <c r="R1958" s="36">
        <v>4.2999999999999997E-2</v>
      </c>
      <c r="S1958" s="37">
        <v>4.4400000000000002E-2</v>
      </c>
    </row>
    <row r="1959" spans="1:19" x14ac:dyDescent="0.2">
      <c r="A1959" s="1"/>
      <c r="B1959" s="13">
        <v>42872</v>
      </c>
      <c r="C1959" s="14">
        <v>42</v>
      </c>
      <c r="D1959" s="15">
        <v>168014</v>
      </c>
      <c r="E1959" s="14">
        <v>42.8</v>
      </c>
      <c r="F1959" s="14">
        <v>43.05</v>
      </c>
      <c r="G1959" s="16">
        <v>41.28</v>
      </c>
      <c r="H1959" s="69">
        <f t="shared" si="45"/>
        <v>-4.3280182232346198E-2</v>
      </c>
      <c r="O1959" s="1319"/>
      <c r="P1959" s="1319"/>
      <c r="Q1959" s="35">
        <v>45176</v>
      </c>
      <c r="R1959" s="36">
        <v>4.2699999999999995E-2</v>
      </c>
      <c r="S1959" s="37">
        <v>4.3799999999999999E-2</v>
      </c>
    </row>
    <row r="1960" spans="1:19" x14ac:dyDescent="0.2">
      <c r="A1960" s="1"/>
      <c r="B1960" s="13">
        <v>42871</v>
      </c>
      <c r="C1960" s="14">
        <v>43.9</v>
      </c>
      <c r="D1960" s="15">
        <v>177080</v>
      </c>
      <c r="E1960" s="14">
        <v>43.2</v>
      </c>
      <c r="F1960" s="14">
        <v>43.95</v>
      </c>
      <c r="G1960" s="16">
        <v>42.55</v>
      </c>
      <c r="H1960" s="69">
        <f t="shared" ref="H1960:H2023" si="46">C1960/C1961-1</f>
        <v>1.6203703703703498E-2</v>
      </c>
      <c r="O1960" s="1319"/>
      <c r="P1960" s="1319"/>
      <c r="Q1960" s="35">
        <v>45177</v>
      </c>
      <c r="R1960" s="36">
        <v>4.2599999999999999E-2</v>
      </c>
      <c r="S1960" s="37">
        <v>4.3899999999999995E-2</v>
      </c>
    </row>
    <row r="1961" spans="1:19" x14ac:dyDescent="0.2">
      <c r="A1961" s="1"/>
      <c r="B1961" s="13">
        <v>42870</v>
      </c>
      <c r="C1961" s="14">
        <v>43.2</v>
      </c>
      <c r="D1961" s="15">
        <v>87556</v>
      </c>
      <c r="E1961" s="14">
        <v>43</v>
      </c>
      <c r="F1961" s="14">
        <v>43.5</v>
      </c>
      <c r="G1961" s="16">
        <v>42.65</v>
      </c>
      <c r="H1961" s="69">
        <f t="shared" si="46"/>
        <v>9.3457943925234765E-3</v>
      </c>
      <c r="O1961" s="1319"/>
      <c r="P1961" s="1319"/>
      <c r="Q1961" s="35">
        <v>45180</v>
      </c>
      <c r="R1961" s="36">
        <v>4.2900000000000001E-2</v>
      </c>
      <c r="S1961" s="37">
        <v>4.4000000000000004E-2</v>
      </c>
    </row>
    <row r="1962" spans="1:19" x14ac:dyDescent="0.2">
      <c r="A1962" s="1"/>
      <c r="B1962" s="13">
        <v>42867</v>
      </c>
      <c r="C1962" s="14">
        <v>42.8</v>
      </c>
      <c r="D1962" s="15">
        <v>122527</v>
      </c>
      <c r="E1962" s="14">
        <v>43.5</v>
      </c>
      <c r="F1962" s="14">
        <v>43.65</v>
      </c>
      <c r="G1962" s="16">
        <v>42.8</v>
      </c>
      <c r="H1962" s="69">
        <f t="shared" si="46"/>
        <v>-1.9473081328751474E-2</v>
      </c>
      <c r="O1962" s="1319"/>
      <c r="P1962" s="1319"/>
      <c r="Q1962" s="35">
        <v>45181</v>
      </c>
      <c r="R1962" s="36">
        <v>4.2699999999999995E-2</v>
      </c>
      <c r="S1962" s="37">
        <v>4.41E-2</v>
      </c>
    </row>
    <row r="1963" spans="1:19" x14ac:dyDescent="0.2">
      <c r="A1963" s="1"/>
      <c r="B1963" s="13">
        <v>42866</v>
      </c>
      <c r="C1963" s="14">
        <v>43.65</v>
      </c>
      <c r="D1963" s="15">
        <v>100533</v>
      </c>
      <c r="E1963" s="14">
        <v>44.15</v>
      </c>
      <c r="F1963" s="14">
        <v>44.15</v>
      </c>
      <c r="G1963" s="16">
        <v>43</v>
      </c>
      <c r="H1963" s="69">
        <f t="shared" si="46"/>
        <v>-1.7997750281214975E-2</v>
      </c>
      <c r="O1963" s="1319"/>
      <c r="P1963" s="1319"/>
      <c r="Q1963" s="35">
        <v>45182</v>
      </c>
      <c r="R1963" s="36">
        <v>4.2500000000000003E-2</v>
      </c>
      <c r="S1963" s="37">
        <v>4.3899999999999995E-2</v>
      </c>
    </row>
    <row r="1964" spans="1:19" x14ac:dyDescent="0.2">
      <c r="A1964" s="1"/>
      <c r="B1964" s="13">
        <v>42865</v>
      </c>
      <c r="C1964" s="14">
        <v>44.45</v>
      </c>
      <c r="D1964" s="15">
        <v>103279</v>
      </c>
      <c r="E1964" s="14">
        <v>44.25</v>
      </c>
      <c r="F1964" s="14">
        <v>44.45</v>
      </c>
      <c r="G1964" s="16">
        <v>43.6</v>
      </c>
      <c r="H1964" s="69">
        <f t="shared" si="46"/>
        <v>2.2547914317925244E-3</v>
      </c>
      <c r="O1964" s="1319"/>
      <c r="P1964" s="1319"/>
      <c r="Q1964" s="35">
        <v>45183</v>
      </c>
      <c r="R1964" s="36">
        <v>4.2900000000000001E-2</v>
      </c>
      <c r="S1964" s="37">
        <v>4.4199999999999996E-2</v>
      </c>
    </row>
    <row r="1965" spans="1:19" x14ac:dyDescent="0.2">
      <c r="A1965" s="1"/>
      <c r="B1965" s="13">
        <v>42864</v>
      </c>
      <c r="C1965" s="14">
        <v>44.35</v>
      </c>
      <c r="D1965" s="15">
        <v>117780</v>
      </c>
      <c r="E1965" s="14">
        <v>44.35</v>
      </c>
      <c r="F1965" s="14">
        <v>44.75</v>
      </c>
      <c r="G1965" s="16">
        <v>44</v>
      </c>
      <c r="H1965" s="69">
        <f t="shared" si="46"/>
        <v>1.1286681715576563E-3</v>
      </c>
      <c r="O1965" s="1319"/>
      <c r="P1965" s="1319"/>
      <c r="Q1965" s="35">
        <v>45184</v>
      </c>
      <c r="R1965" s="36">
        <v>4.3299999999999998E-2</v>
      </c>
      <c r="S1965" s="37">
        <v>4.4500000000000005E-2</v>
      </c>
    </row>
    <row r="1966" spans="1:19" x14ac:dyDescent="0.2">
      <c r="A1966" s="1"/>
      <c r="B1966" s="13">
        <v>42863</v>
      </c>
      <c r="C1966" s="14">
        <v>44.3</v>
      </c>
      <c r="D1966" s="15">
        <v>149557</v>
      </c>
      <c r="E1966" s="14">
        <v>45.05</v>
      </c>
      <c r="F1966" s="14">
        <v>45.674500000000002</v>
      </c>
      <c r="G1966" s="16">
        <v>44.2</v>
      </c>
      <c r="H1966" s="69">
        <f t="shared" si="46"/>
        <v>-1.7738359201773912E-2</v>
      </c>
      <c r="O1966" s="1319"/>
      <c r="P1966" s="1319"/>
      <c r="Q1966" s="35">
        <v>45187</v>
      </c>
      <c r="R1966" s="36">
        <v>4.3200000000000002E-2</v>
      </c>
      <c r="S1966" s="37">
        <v>4.4600000000000001E-2</v>
      </c>
    </row>
    <row r="1967" spans="1:19" x14ac:dyDescent="0.2">
      <c r="A1967" s="1"/>
      <c r="B1967" s="13">
        <v>42860</v>
      </c>
      <c r="C1967" s="14">
        <v>45.1</v>
      </c>
      <c r="D1967" s="15">
        <v>218515</v>
      </c>
      <c r="E1967" s="14">
        <v>45.5</v>
      </c>
      <c r="F1967" s="14">
        <v>45.575000000000003</v>
      </c>
      <c r="G1967" s="16">
        <v>44.55</v>
      </c>
      <c r="H1967" s="69">
        <f t="shared" si="46"/>
        <v>-5.5126791620727644E-3</v>
      </c>
      <c r="O1967" s="1319"/>
      <c r="P1967" s="1319"/>
      <c r="Q1967" s="35">
        <v>45188</v>
      </c>
      <c r="R1967" s="36">
        <v>4.3700000000000003E-2</v>
      </c>
      <c r="S1967" s="37">
        <v>4.5100000000000001E-2</v>
      </c>
    </row>
    <row r="1968" spans="1:19" x14ac:dyDescent="0.2">
      <c r="A1968" s="1"/>
      <c r="B1968" s="13">
        <v>42859</v>
      </c>
      <c r="C1968" s="14">
        <v>45.35</v>
      </c>
      <c r="D1968" s="15">
        <v>261866</v>
      </c>
      <c r="E1968" s="14">
        <v>45.75</v>
      </c>
      <c r="F1968" s="14">
        <v>45.825000000000003</v>
      </c>
      <c r="G1968" s="16">
        <v>44.65</v>
      </c>
      <c r="H1968" s="69">
        <f t="shared" si="46"/>
        <v>-5.482456140350922E-3</v>
      </c>
      <c r="O1968" s="1319"/>
      <c r="P1968" s="1319"/>
      <c r="Q1968" s="35">
        <v>45189</v>
      </c>
      <c r="R1968" s="36">
        <v>4.3499999999999997E-2</v>
      </c>
      <c r="S1968" s="37">
        <v>4.5199999999999997E-2</v>
      </c>
    </row>
    <row r="1969" spans="1:19" x14ac:dyDescent="0.2">
      <c r="A1969" s="1"/>
      <c r="B1969" s="13">
        <v>42858</v>
      </c>
      <c r="C1969" s="14">
        <v>45.6</v>
      </c>
      <c r="D1969" s="15">
        <v>164158</v>
      </c>
      <c r="E1969" s="14">
        <v>46.25</v>
      </c>
      <c r="F1969" s="14">
        <v>46.25</v>
      </c>
      <c r="G1969" s="16">
        <v>45.1</v>
      </c>
      <c r="H1969" s="69">
        <f t="shared" si="46"/>
        <v>-2.1459227467811148E-2</v>
      </c>
      <c r="O1969" s="1319"/>
      <c r="P1969" s="1319"/>
      <c r="Q1969" s="35">
        <v>45190</v>
      </c>
      <c r="R1969" s="36">
        <v>4.4900000000000002E-2</v>
      </c>
      <c r="S1969" s="37">
        <v>4.6100000000000002E-2</v>
      </c>
    </row>
    <row r="1970" spans="1:19" x14ac:dyDescent="0.2">
      <c r="A1970" s="1"/>
      <c r="B1970" s="13">
        <v>42857</v>
      </c>
      <c r="C1970" s="14">
        <v>46.6</v>
      </c>
      <c r="D1970" s="15">
        <v>206232</v>
      </c>
      <c r="E1970" s="14">
        <v>47.25</v>
      </c>
      <c r="F1970" s="14">
        <v>47.4</v>
      </c>
      <c r="G1970" s="16">
        <v>46.15</v>
      </c>
      <c r="H1970" s="69">
        <f t="shared" si="46"/>
        <v>-1.166489925768821E-2</v>
      </c>
      <c r="O1970" s="1319"/>
      <c r="P1970" s="1319"/>
      <c r="Q1970" s="35">
        <v>45191</v>
      </c>
      <c r="R1970" s="36">
        <v>4.4400000000000002E-2</v>
      </c>
      <c r="S1970" s="37">
        <v>4.5700000000000005E-2</v>
      </c>
    </row>
    <row r="1971" spans="1:19" x14ac:dyDescent="0.2">
      <c r="A1971" s="1"/>
      <c r="B1971" s="13">
        <v>42856</v>
      </c>
      <c r="C1971" s="14">
        <v>47.15</v>
      </c>
      <c r="D1971" s="15">
        <v>340569</v>
      </c>
      <c r="E1971" s="14">
        <v>48.55</v>
      </c>
      <c r="F1971" s="14">
        <v>48.55</v>
      </c>
      <c r="G1971" s="16">
        <v>45.617600000000003</v>
      </c>
      <c r="H1971" s="69">
        <f t="shared" si="46"/>
        <v>-2.0768431983385294E-2</v>
      </c>
      <c r="O1971" s="1319"/>
      <c r="P1971" s="1319"/>
      <c r="Q1971" s="35">
        <v>45194</v>
      </c>
      <c r="R1971" s="36">
        <v>4.5499999999999999E-2</v>
      </c>
      <c r="S1971" s="37">
        <v>4.6199999999999998E-2</v>
      </c>
    </row>
    <row r="1972" spans="1:19" x14ac:dyDescent="0.2">
      <c r="A1972" s="1"/>
      <c r="B1972" s="13">
        <v>42853</v>
      </c>
      <c r="C1972" s="14">
        <v>48.15</v>
      </c>
      <c r="D1972" s="15">
        <v>265691</v>
      </c>
      <c r="E1972" s="14">
        <v>48.7</v>
      </c>
      <c r="F1972" s="14">
        <v>48.75</v>
      </c>
      <c r="G1972" s="16">
        <v>46.9</v>
      </c>
      <c r="H1972" s="69">
        <f t="shared" si="46"/>
        <v>-2.0725388601036121E-3</v>
      </c>
      <c r="O1972" s="1319"/>
      <c r="P1972" s="1319"/>
      <c r="Q1972" s="35">
        <v>45195</v>
      </c>
      <c r="R1972" s="36">
        <v>4.5599999999999995E-2</v>
      </c>
      <c r="S1972" s="37">
        <v>4.6199999999999998E-2</v>
      </c>
    </row>
    <row r="1973" spans="1:19" x14ac:dyDescent="0.2">
      <c r="A1973" s="1"/>
      <c r="B1973" s="13">
        <v>42852</v>
      </c>
      <c r="C1973" s="14">
        <v>48.25</v>
      </c>
      <c r="D1973" s="15">
        <v>187735</v>
      </c>
      <c r="E1973" s="14">
        <v>47.65</v>
      </c>
      <c r="F1973" s="14">
        <v>48.6</v>
      </c>
      <c r="G1973" s="16">
        <v>47.55</v>
      </c>
      <c r="H1973" s="69">
        <f t="shared" si="46"/>
        <v>1.4721345951629994E-2</v>
      </c>
      <c r="O1973" s="1319"/>
      <c r="P1973" s="1319"/>
      <c r="Q1973" s="35">
        <v>45196</v>
      </c>
      <c r="R1973" s="36">
        <v>4.6100000000000002E-2</v>
      </c>
      <c r="S1973" s="37">
        <v>4.6699999999999998E-2</v>
      </c>
    </row>
    <row r="1974" spans="1:19" x14ac:dyDescent="0.2">
      <c r="A1974" s="1"/>
      <c r="B1974" s="13">
        <v>42851</v>
      </c>
      <c r="C1974" s="14">
        <v>47.55</v>
      </c>
      <c r="D1974" s="15">
        <v>237054</v>
      </c>
      <c r="E1974" s="14">
        <v>47.4</v>
      </c>
      <c r="F1974" s="14">
        <v>47.95</v>
      </c>
      <c r="G1974" s="16">
        <v>46.7</v>
      </c>
      <c r="H1974" s="69">
        <f t="shared" si="46"/>
        <v>0</v>
      </c>
      <c r="O1974" s="1319"/>
      <c r="P1974" s="1319"/>
      <c r="Q1974" s="35">
        <v>45197</v>
      </c>
      <c r="R1974" s="36">
        <v>4.5899999999999996E-2</v>
      </c>
      <c r="S1974" s="37">
        <v>4.6199999999999998E-2</v>
      </c>
    </row>
    <row r="1975" spans="1:19" x14ac:dyDescent="0.2">
      <c r="A1975" s="1"/>
      <c r="B1975" s="13">
        <v>42850</v>
      </c>
      <c r="C1975" s="14">
        <v>47.55</v>
      </c>
      <c r="D1975" s="15">
        <v>322129</v>
      </c>
      <c r="E1975" s="14">
        <v>47.6</v>
      </c>
      <c r="F1975" s="14">
        <v>47.85</v>
      </c>
      <c r="G1975" s="16">
        <v>47</v>
      </c>
      <c r="H1975" s="69">
        <f t="shared" si="46"/>
        <v>5.285412262156397E-3</v>
      </c>
      <c r="O1975" s="1319"/>
      <c r="P1975" s="1319"/>
      <c r="Q1975" s="35">
        <v>45198</v>
      </c>
      <c r="R1975" s="36">
        <v>4.5899999999999996E-2</v>
      </c>
      <c r="S1975" s="37">
        <v>4.5999999999999999E-2</v>
      </c>
    </row>
    <row r="1976" spans="1:19" x14ac:dyDescent="0.2">
      <c r="A1976" s="1"/>
      <c r="B1976" s="13">
        <v>42849</v>
      </c>
      <c r="C1976" s="14">
        <v>47.3</v>
      </c>
      <c r="D1976" s="15">
        <v>211339</v>
      </c>
      <c r="E1976" s="14">
        <v>46.45</v>
      </c>
      <c r="F1976" s="14">
        <v>47.85</v>
      </c>
      <c r="G1976" s="16">
        <v>46</v>
      </c>
      <c r="H1976" s="69">
        <f t="shared" si="46"/>
        <v>4.4150110375275942E-2</v>
      </c>
      <c r="O1976" s="1319"/>
      <c r="P1976" s="1319"/>
      <c r="Q1976" s="35">
        <v>45201</v>
      </c>
      <c r="R1976" s="36">
        <v>4.6900000000000004E-2</v>
      </c>
      <c r="S1976" s="37">
        <v>4.7199999999999999E-2</v>
      </c>
    </row>
    <row r="1977" spans="1:19" x14ac:dyDescent="0.2">
      <c r="A1977" s="1"/>
      <c r="B1977" s="13">
        <v>42846</v>
      </c>
      <c r="C1977" s="14">
        <v>45.3</v>
      </c>
      <c r="D1977" s="15">
        <v>197937</v>
      </c>
      <c r="E1977" s="14">
        <v>44.15</v>
      </c>
      <c r="F1977" s="14">
        <v>45.75</v>
      </c>
      <c r="G1977" s="16">
        <v>43.6</v>
      </c>
      <c r="H1977" s="69">
        <f t="shared" si="46"/>
        <v>2.6047565118912708E-2</v>
      </c>
      <c r="O1977" s="1319"/>
      <c r="P1977" s="1319"/>
      <c r="Q1977" s="35">
        <v>45202</v>
      </c>
      <c r="R1977" s="36">
        <v>4.8099999999999997E-2</v>
      </c>
      <c r="S1977" s="37">
        <v>4.8000000000000001E-2</v>
      </c>
    </row>
    <row r="1978" spans="1:19" x14ac:dyDescent="0.2">
      <c r="A1978" s="1"/>
      <c r="B1978" s="13">
        <v>42845</v>
      </c>
      <c r="C1978" s="14">
        <v>44.15</v>
      </c>
      <c r="D1978" s="15">
        <v>135810</v>
      </c>
      <c r="E1978" s="14">
        <v>43.25</v>
      </c>
      <c r="F1978" s="14">
        <v>44.2</v>
      </c>
      <c r="G1978" s="16">
        <v>43.05</v>
      </c>
      <c r="H1978" s="69">
        <f t="shared" si="46"/>
        <v>2.9137529137529095E-2</v>
      </c>
      <c r="O1978" s="1319"/>
      <c r="P1978" s="1319"/>
      <c r="Q1978" s="35">
        <v>45203</v>
      </c>
      <c r="R1978" s="36">
        <v>4.7300000000000002E-2</v>
      </c>
      <c r="S1978" s="37">
        <v>4.7199999999999999E-2</v>
      </c>
    </row>
    <row r="1979" spans="1:19" x14ac:dyDescent="0.2">
      <c r="A1979" s="1"/>
      <c r="B1979" s="13">
        <v>42844</v>
      </c>
      <c r="C1979" s="14">
        <v>42.9</v>
      </c>
      <c r="D1979" s="15">
        <v>83553</v>
      </c>
      <c r="E1979" s="14">
        <v>43.1</v>
      </c>
      <c r="F1979" s="14">
        <v>43.55</v>
      </c>
      <c r="G1979" s="16">
        <v>42.8</v>
      </c>
      <c r="H1979" s="69">
        <f t="shared" si="46"/>
        <v>2.3364485981309802E-3</v>
      </c>
      <c r="O1979" s="1319"/>
      <c r="P1979" s="1319"/>
      <c r="Q1979" s="35">
        <v>45204</v>
      </c>
      <c r="R1979" s="36">
        <v>4.7199999999999999E-2</v>
      </c>
      <c r="S1979" s="37">
        <v>4.6799999999999994E-2</v>
      </c>
    </row>
    <row r="1980" spans="1:19" x14ac:dyDescent="0.2">
      <c r="A1980" s="1"/>
      <c r="B1980" s="13">
        <v>42843</v>
      </c>
      <c r="C1980" s="14">
        <v>42.8</v>
      </c>
      <c r="D1980" s="15">
        <v>93073</v>
      </c>
      <c r="E1980" s="14">
        <v>42.45</v>
      </c>
      <c r="F1980" s="14">
        <v>42.875</v>
      </c>
      <c r="G1980" s="16">
        <v>42.1</v>
      </c>
      <c r="H1980" s="69">
        <f t="shared" si="46"/>
        <v>1.1695906432747094E-3</v>
      </c>
      <c r="O1980" s="1319"/>
      <c r="P1980" s="1319"/>
      <c r="Q1980" s="35">
        <v>45205</v>
      </c>
      <c r="R1980" s="36">
        <v>4.7800000000000002E-2</v>
      </c>
      <c r="S1980" s="37">
        <v>4.7500000000000001E-2</v>
      </c>
    </row>
    <row r="1981" spans="1:19" x14ac:dyDescent="0.2">
      <c r="A1981" s="1"/>
      <c r="B1981" s="13">
        <v>42842</v>
      </c>
      <c r="C1981" s="14">
        <v>42.75</v>
      </c>
      <c r="D1981" s="15">
        <v>98777</v>
      </c>
      <c r="E1981" s="14">
        <v>42</v>
      </c>
      <c r="F1981" s="14">
        <v>42.75</v>
      </c>
      <c r="G1981" s="16">
        <v>41.75</v>
      </c>
      <c r="H1981" s="69">
        <f t="shared" si="46"/>
        <v>2.7644230769230838E-2</v>
      </c>
      <c r="O1981" s="1319"/>
      <c r="P1981" s="1319"/>
      <c r="Q1981" s="35">
        <v>45209</v>
      </c>
      <c r="R1981" s="36">
        <v>4.6600000000000003E-2</v>
      </c>
      <c r="S1981" s="37">
        <v>4.6199999999999998E-2</v>
      </c>
    </row>
    <row r="1982" spans="1:19" x14ac:dyDescent="0.2">
      <c r="A1982" s="1"/>
      <c r="B1982" s="13">
        <v>42838</v>
      </c>
      <c r="C1982" s="14">
        <v>41.6</v>
      </c>
      <c r="D1982" s="15">
        <v>104688</v>
      </c>
      <c r="E1982" s="14">
        <v>42.15</v>
      </c>
      <c r="F1982" s="14">
        <v>42.55</v>
      </c>
      <c r="G1982" s="16">
        <v>41.575000000000003</v>
      </c>
      <c r="H1982" s="69">
        <f t="shared" si="46"/>
        <v>-1.6548463356973908E-2</v>
      </c>
      <c r="O1982" s="1319"/>
      <c r="P1982" s="1319"/>
      <c r="Q1982" s="35">
        <v>45210</v>
      </c>
      <c r="R1982" s="36">
        <v>4.58E-2</v>
      </c>
      <c r="S1982" s="37">
        <v>4.5899999999999996E-2</v>
      </c>
    </row>
    <row r="1983" spans="1:19" x14ac:dyDescent="0.2">
      <c r="A1983" s="1"/>
      <c r="B1983" s="13">
        <v>42837</v>
      </c>
      <c r="C1983" s="14">
        <v>42.3</v>
      </c>
      <c r="D1983" s="15">
        <v>120192</v>
      </c>
      <c r="E1983" s="14">
        <v>43.8</v>
      </c>
      <c r="F1983" s="14">
        <v>43.85</v>
      </c>
      <c r="G1983" s="16">
        <v>42.3</v>
      </c>
      <c r="H1983" s="69">
        <f t="shared" si="46"/>
        <v>-3.6446469248291646E-2</v>
      </c>
      <c r="O1983" s="1319"/>
      <c r="P1983" s="1319"/>
      <c r="Q1983" s="35">
        <v>45211</v>
      </c>
      <c r="R1983" s="36">
        <v>4.7E-2</v>
      </c>
      <c r="S1983" s="37">
        <v>4.6900000000000004E-2</v>
      </c>
    </row>
    <row r="1984" spans="1:19" x14ac:dyDescent="0.2">
      <c r="A1984" s="1"/>
      <c r="B1984" s="13">
        <v>42836</v>
      </c>
      <c r="C1984" s="14">
        <v>43.9</v>
      </c>
      <c r="D1984" s="15">
        <v>128313</v>
      </c>
      <c r="E1984" s="14">
        <v>44.2</v>
      </c>
      <c r="F1984" s="14">
        <v>45.05</v>
      </c>
      <c r="G1984" s="16">
        <v>43.35</v>
      </c>
      <c r="H1984" s="69">
        <f t="shared" si="46"/>
        <v>-1.3483146067415741E-2</v>
      </c>
      <c r="O1984" s="1319"/>
      <c r="P1984" s="1319"/>
      <c r="Q1984" s="35">
        <v>45212</v>
      </c>
      <c r="R1984" s="36">
        <v>4.6300000000000001E-2</v>
      </c>
      <c r="S1984" s="37">
        <v>4.6500000000000007E-2</v>
      </c>
    </row>
    <row r="1985" spans="1:19" x14ac:dyDescent="0.2">
      <c r="A1985" s="1"/>
      <c r="B1985" s="13">
        <v>42835</v>
      </c>
      <c r="C1985" s="14">
        <v>44.5</v>
      </c>
      <c r="D1985" s="15">
        <v>222172</v>
      </c>
      <c r="E1985" s="14">
        <v>43.65</v>
      </c>
      <c r="F1985" s="14">
        <v>45.15</v>
      </c>
      <c r="G1985" s="16">
        <v>43.65</v>
      </c>
      <c r="H1985" s="69">
        <f t="shared" si="46"/>
        <v>2.5345622119815614E-2</v>
      </c>
      <c r="O1985" s="1319"/>
      <c r="P1985" s="1319"/>
      <c r="Q1985" s="35">
        <v>45215</v>
      </c>
      <c r="R1985" s="36">
        <v>4.7100000000000003E-2</v>
      </c>
      <c r="S1985" s="37">
        <v>4.7199999999999999E-2</v>
      </c>
    </row>
    <row r="1986" spans="1:19" x14ac:dyDescent="0.2">
      <c r="A1986" s="1"/>
      <c r="B1986" s="13">
        <v>42832</v>
      </c>
      <c r="C1986" s="14">
        <v>43.4</v>
      </c>
      <c r="D1986" s="15">
        <v>228217</v>
      </c>
      <c r="E1986" s="14">
        <v>43.65</v>
      </c>
      <c r="F1986" s="14">
        <v>44.024999999999999</v>
      </c>
      <c r="G1986" s="16">
        <v>43.25</v>
      </c>
      <c r="H1986" s="69">
        <f t="shared" si="46"/>
        <v>-9.1324200913242004E-3</v>
      </c>
      <c r="O1986" s="1319"/>
      <c r="P1986" s="1319"/>
      <c r="Q1986" s="35">
        <v>45216</v>
      </c>
      <c r="R1986" s="36">
        <v>4.8300000000000003E-2</v>
      </c>
      <c r="S1986" s="37">
        <v>4.8600000000000004E-2</v>
      </c>
    </row>
    <row r="1987" spans="1:19" x14ac:dyDescent="0.2">
      <c r="A1987" s="1"/>
      <c r="B1987" s="13">
        <v>42831</v>
      </c>
      <c r="C1987" s="14">
        <v>43.8</v>
      </c>
      <c r="D1987" s="15">
        <v>141022</v>
      </c>
      <c r="E1987" s="14">
        <v>43.6</v>
      </c>
      <c r="F1987" s="14">
        <v>43.953499999999998</v>
      </c>
      <c r="G1987" s="16">
        <v>43.2</v>
      </c>
      <c r="H1987" s="69">
        <f t="shared" si="46"/>
        <v>6.8965517241379448E-3</v>
      </c>
      <c r="O1987" s="1319"/>
      <c r="P1987" s="1319"/>
      <c r="Q1987" s="35">
        <v>45217</v>
      </c>
      <c r="R1987" s="36">
        <v>4.9100000000000005E-2</v>
      </c>
      <c r="S1987" s="37">
        <v>4.9200000000000001E-2</v>
      </c>
    </row>
    <row r="1988" spans="1:19" x14ac:dyDescent="0.2">
      <c r="A1988" s="1"/>
      <c r="B1988" s="13">
        <v>42830</v>
      </c>
      <c r="C1988" s="14">
        <v>43.5</v>
      </c>
      <c r="D1988" s="15">
        <v>139066</v>
      </c>
      <c r="E1988" s="14">
        <v>44.3</v>
      </c>
      <c r="F1988" s="14">
        <v>45.05</v>
      </c>
      <c r="G1988" s="16">
        <v>43.45</v>
      </c>
      <c r="H1988" s="69">
        <f t="shared" si="46"/>
        <v>-9.1116173120728838E-3</v>
      </c>
      <c r="O1988" s="1319"/>
      <c r="P1988" s="1319"/>
      <c r="Q1988" s="35">
        <v>45218</v>
      </c>
      <c r="R1988" s="36">
        <v>4.9800000000000004E-2</v>
      </c>
      <c r="S1988" s="37">
        <v>4.9500000000000002E-2</v>
      </c>
    </row>
    <row r="1989" spans="1:19" x14ac:dyDescent="0.2">
      <c r="A1989" s="1"/>
      <c r="B1989" s="13">
        <v>42829</v>
      </c>
      <c r="C1989" s="14">
        <v>43.9</v>
      </c>
      <c r="D1989" s="15">
        <v>161618</v>
      </c>
      <c r="E1989" s="14">
        <v>43.2</v>
      </c>
      <c r="F1989" s="14">
        <v>44.15</v>
      </c>
      <c r="G1989" s="16">
        <v>43.15</v>
      </c>
      <c r="H1989" s="69">
        <f t="shared" si="46"/>
        <v>1.2687427912341231E-2</v>
      </c>
      <c r="O1989" s="1319"/>
      <c r="P1989" s="1319"/>
      <c r="Q1989" s="35">
        <v>45219</v>
      </c>
      <c r="R1989" s="36">
        <v>4.9299999999999997E-2</v>
      </c>
      <c r="S1989" s="37">
        <v>4.8600000000000004E-2</v>
      </c>
    </row>
    <row r="1990" spans="1:19" x14ac:dyDescent="0.2">
      <c r="A1990" s="1"/>
      <c r="B1990" s="13">
        <v>42828</v>
      </c>
      <c r="C1990" s="14">
        <v>43.35</v>
      </c>
      <c r="D1990" s="15">
        <v>94900</v>
      </c>
      <c r="E1990" s="14">
        <v>44.4</v>
      </c>
      <c r="F1990" s="14">
        <v>44.7</v>
      </c>
      <c r="G1990" s="16">
        <v>43.35</v>
      </c>
      <c r="H1990" s="69">
        <f t="shared" si="46"/>
        <v>-2.1444695259593582E-2</v>
      </c>
      <c r="O1990" s="1319"/>
      <c r="P1990" s="1319"/>
      <c r="Q1990" s="35">
        <v>45222</v>
      </c>
      <c r="R1990" s="36">
        <v>4.8600000000000004E-2</v>
      </c>
      <c r="S1990" s="37">
        <v>4.8099999999999997E-2</v>
      </c>
    </row>
    <row r="1991" spans="1:19" x14ac:dyDescent="0.2">
      <c r="A1991" s="1"/>
      <c r="B1991" s="13">
        <v>42825</v>
      </c>
      <c r="C1991" s="14">
        <v>44.3</v>
      </c>
      <c r="D1991" s="15">
        <v>169002</v>
      </c>
      <c r="E1991" s="14">
        <v>44.3</v>
      </c>
      <c r="F1991" s="14">
        <v>44.85</v>
      </c>
      <c r="G1991" s="16">
        <v>44.1</v>
      </c>
      <c r="H1991" s="69">
        <f t="shared" si="46"/>
        <v>-2.2522522522522292E-3</v>
      </c>
      <c r="O1991" s="1319"/>
      <c r="P1991" s="1319"/>
      <c r="Q1991" s="35">
        <v>45223</v>
      </c>
      <c r="R1991" s="36">
        <v>4.8300000000000003E-2</v>
      </c>
      <c r="S1991" s="37">
        <v>4.82E-2</v>
      </c>
    </row>
    <row r="1992" spans="1:19" x14ac:dyDescent="0.2">
      <c r="A1992" s="1"/>
      <c r="B1992" s="13">
        <v>42824</v>
      </c>
      <c r="C1992" s="14">
        <v>44.4</v>
      </c>
      <c r="D1992" s="15">
        <v>145598</v>
      </c>
      <c r="E1992" s="14">
        <v>44.15</v>
      </c>
      <c r="F1992" s="14">
        <v>44.774999999999999</v>
      </c>
      <c r="G1992" s="16">
        <v>44.15</v>
      </c>
      <c r="H1992" s="69">
        <f t="shared" si="46"/>
        <v>7.9455164585697791E-3</v>
      </c>
      <c r="O1992" s="1319"/>
      <c r="P1992" s="1319"/>
      <c r="Q1992" s="35">
        <v>45224</v>
      </c>
      <c r="R1992" s="36">
        <v>4.9500000000000002E-2</v>
      </c>
      <c r="S1992" s="37">
        <v>4.8899999999999999E-2</v>
      </c>
    </row>
    <row r="1993" spans="1:19" x14ac:dyDescent="0.2">
      <c r="A1993" s="1"/>
      <c r="B1993" s="13">
        <v>42823</v>
      </c>
      <c r="C1993" s="14">
        <v>44.05</v>
      </c>
      <c r="D1993" s="15">
        <v>104617</v>
      </c>
      <c r="E1993" s="14">
        <v>43.95</v>
      </c>
      <c r="F1993" s="14">
        <v>44.45</v>
      </c>
      <c r="G1993" s="16">
        <v>43.6</v>
      </c>
      <c r="H1993" s="69">
        <f t="shared" si="46"/>
        <v>-4.5197740112995488E-3</v>
      </c>
      <c r="O1993" s="1319"/>
      <c r="P1993" s="1319"/>
      <c r="Q1993" s="35">
        <v>45225</v>
      </c>
      <c r="R1993" s="36">
        <v>4.8600000000000004E-2</v>
      </c>
      <c r="S1993" s="37">
        <v>4.7899999999999998E-2</v>
      </c>
    </row>
    <row r="1994" spans="1:19" x14ac:dyDescent="0.2">
      <c r="A1994" s="1"/>
      <c r="B1994" s="13">
        <v>42822</v>
      </c>
      <c r="C1994" s="14">
        <v>44.25</v>
      </c>
      <c r="D1994" s="15">
        <v>157441</v>
      </c>
      <c r="E1994" s="14">
        <v>42.65</v>
      </c>
      <c r="F1994" s="14">
        <v>44.35</v>
      </c>
      <c r="G1994" s="16">
        <v>42.424999999999997</v>
      </c>
      <c r="H1994" s="69">
        <f t="shared" si="46"/>
        <v>3.6299765807962459E-2</v>
      </c>
      <c r="O1994" s="1319"/>
      <c r="P1994" s="1319"/>
      <c r="Q1994" s="35">
        <v>45226</v>
      </c>
      <c r="R1994" s="36">
        <v>4.8399999999999999E-2</v>
      </c>
      <c r="S1994" s="37">
        <v>4.7599999999999996E-2</v>
      </c>
    </row>
    <row r="1995" spans="1:19" x14ac:dyDescent="0.2">
      <c r="A1995" s="1"/>
      <c r="B1995" s="13">
        <v>42821</v>
      </c>
      <c r="C1995" s="14">
        <v>42.7</v>
      </c>
      <c r="D1995" s="15">
        <v>159549</v>
      </c>
      <c r="E1995" s="14">
        <v>42</v>
      </c>
      <c r="F1995" s="14">
        <v>43</v>
      </c>
      <c r="G1995" s="16">
        <v>41.6</v>
      </c>
      <c r="H1995" s="69">
        <f t="shared" si="46"/>
        <v>0</v>
      </c>
      <c r="O1995" s="1319"/>
      <c r="P1995" s="1319"/>
      <c r="Q1995" s="35">
        <v>45229</v>
      </c>
      <c r="R1995" s="36">
        <v>4.8799999999999996E-2</v>
      </c>
      <c r="S1995" s="37">
        <v>4.8000000000000001E-2</v>
      </c>
    </row>
    <row r="1996" spans="1:19" x14ac:dyDescent="0.2">
      <c r="A1996" s="1"/>
      <c r="B1996" s="13">
        <v>42818</v>
      </c>
      <c r="C1996" s="14">
        <v>42.7</v>
      </c>
      <c r="D1996" s="15">
        <v>230517</v>
      </c>
      <c r="E1996" s="14">
        <v>43</v>
      </c>
      <c r="F1996" s="14">
        <v>43.3</v>
      </c>
      <c r="G1996" s="16">
        <v>42.2</v>
      </c>
      <c r="H1996" s="69">
        <f t="shared" si="46"/>
        <v>-1.1695906432748204E-3</v>
      </c>
      <c r="O1996" s="1319"/>
      <c r="P1996" s="1319"/>
      <c r="Q1996" s="35">
        <v>45230</v>
      </c>
      <c r="R1996" s="36">
        <v>4.8799999999999996E-2</v>
      </c>
      <c r="S1996" s="37">
        <v>4.82E-2</v>
      </c>
    </row>
    <row r="1997" spans="1:19" x14ac:dyDescent="0.2">
      <c r="A1997" s="1"/>
      <c r="B1997" s="13">
        <v>42817</v>
      </c>
      <c r="C1997" s="14">
        <v>42.75</v>
      </c>
      <c r="D1997" s="15">
        <v>125063</v>
      </c>
      <c r="E1997" s="14">
        <v>42.85</v>
      </c>
      <c r="F1997" s="14">
        <v>43.65</v>
      </c>
      <c r="G1997" s="16">
        <v>42.35</v>
      </c>
      <c r="H1997" s="69">
        <f t="shared" si="46"/>
        <v>-1.1682242990653791E-3</v>
      </c>
      <c r="O1997" s="1319"/>
      <c r="P1997" s="1319"/>
      <c r="Q1997" s="35">
        <v>45231</v>
      </c>
      <c r="R1997" s="36">
        <v>4.7699999999999992E-2</v>
      </c>
      <c r="S1997" s="37">
        <v>4.6699999999999998E-2</v>
      </c>
    </row>
    <row r="1998" spans="1:19" x14ac:dyDescent="0.2">
      <c r="A1998" s="1"/>
      <c r="B1998" s="13">
        <v>42816</v>
      </c>
      <c r="C1998" s="14">
        <v>42.8</v>
      </c>
      <c r="D1998" s="15">
        <v>218090</v>
      </c>
      <c r="E1998" s="14">
        <v>43.55</v>
      </c>
      <c r="F1998" s="14">
        <v>43.6</v>
      </c>
      <c r="G1998" s="16">
        <v>42.575000000000003</v>
      </c>
      <c r="H1998" s="69">
        <f t="shared" si="46"/>
        <v>-1.9473081328751474E-2</v>
      </c>
      <c r="O1998" s="1319"/>
      <c r="P1998" s="1319"/>
      <c r="Q1998" s="35">
        <v>45232</v>
      </c>
      <c r="R1998" s="36">
        <v>4.6699999999999998E-2</v>
      </c>
      <c r="S1998" s="37">
        <v>4.6500000000000007E-2</v>
      </c>
    </row>
    <row r="1999" spans="1:19" x14ac:dyDescent="0.2">
      <c r="A1999" s="1"/>
      <c r="B1999" s="13">
        <v>42815</v>
      </c>
      <c r="C1999" s="14">
        <v>43.65</v>
      </c>
      <c r="D1999" s="15">
        <v>112512</v>
      </c>
      <c r="E1999" s="14">
        <v>45.9</v>
      </c>
      <c r="F1999" s="14">
        <v>45.9</v>
      </c>
      <c r="G1999" s="16">
        <v>43.55</v>
      </c>
      <c r="H1999" s="69">
        <f t="shared" si="46"/>
        <v>-4.0659340659340737E-2</v>
      </c>
      <c r="O1999" s="1319"/>
      <c r="P1999" s="1319"/>
      <c r="Q1999" s="35">
        <v>45233</v>
      </c>
      <c r="R1999" s="36">
        <v>4.5700000000000005E-2</v>
      </c>
      <c r="S1999" s="37">
        <v>4.4900000000000002E-2</v>
      </c>
    </row>
    <row r="2000" spans="1:19" x14ac:dyDescent="0.2">
      <c r="A2000" s="1"/>
      <c r="B2000" s="13">
        <v>42814</v>
      </c>
      <c r="C2000" s="14">
        <v>45.5</v>
      </c>
      <c r="D2000" s="15">
        <v>170395</v>
      </c>
      <c r="E2000" s="14">
        <v>45.55</v>
      </c>
      <c r="F2000" s="14">
        <v>46.25</v>
      </c>
      <c r="G2000" s="16">
        <v>44.55</v>
      </c>
      <c r="H2000" s="69">
        <f t="shared" si="46"/>
        <v>-3.2858707557502642E-3</v>
      </c>
      <c r="O2000" s="1319"/>
      <c r="P2000" s="1319"/>
      <c r="Q2000" s="35">
        <v>45236</v>
      </c>
      <c r="R2000" s="36">
        <v>4.6699999999999998E-2</v>
      </c>
      <c r="S2000" s="37">
        <v>4.5999999999999999E-2</v>
      </c>
    </row>
    <row r="2001" spans="1:19" x14ac:dyDescent="0.2">
      <c r="A2001" s="1"/>
      <c r="B2001" s="13">
        <v>42811</v>
      </c>
      <c r="C2001" s="14">
        <v>45.65</v>
      </c>
      <c r="D2001" s="15">
        <v>390608</v>
      </c>
      <c r="E2001" s="14">
        <v>45.05</v>
      </c>
      <c r="F2001" s="14">
        <v>45.9</v>
      </c>
      <c r="G2001" s="16">
        <v>45.05</v>
      </c>
      <c r="H2001" s="69">
        <f t="shared" si="46"/>
        <v>9.9557522123892017E-3</v>
      </c>
      <c r="O2001" s="1319"/>
      <c r="P2001" s="1319"/>
      <c r="Q2001" s="35">
        <v>45237</v>
      </c>
      <c r="R2001" s="36">
        <v>4.58E-2</v>
      </c>
      <c r="S2001" s="37">
        <v>4.53E-2</v>
      </c>
    </row>
    <row r="2002" spans="1:19" x14ac:dyDescent="0.2">
      <c r="A2002" s="1"/>
      <c r="B2002" s="13">
        <v>42810</v>
      </c>
      <c r="C2002" s="14">
        <v>45.2</v>
      </c>
      <c r="D2002" s="15">
        <v>179633</v>
      </c>
      <c r="E2002" s="14">
        <v>45.95</v>
      </c>
      <c r="F2002" s="14">
        <v>45.95</v>
      </c>
      <c r="G2002" s="16">
        <v>44.95</v>
      </c>
      <c r="H2002" s="69">
        <f t="shared" si="46"/>
        <v>-9.8576122672506816E-3</v>
      </c>
      <c r="O2002" s="1319"/>
      <c r="P2002" s="1319"/>
      <c r="Q2002" s="35">
        <v>45238</v>
      </c>
      <c r="R2002" s="36">
        <v>4.4900000000000002E-2</v>
      </c>
      <c r="S2002" s="37">
        <v>4.5100000000000001E-2</v>
      </c>
    </row>
    <row r="2003" spans="1:19" x14ac:dyDescent="0.2">
      <c r="A2003" s="1"/>
      <c r="B2003" s="13">
        <v>42809</v>
      </c>
      <c r="C2003" s="14">
        <v>45.65</v>
      </c>
      <c r="D2003" s="15">
        <v>218820</v>
      </c>
      <c r="E2003" s="14">
        <v>44.95</v>
      </c>
      <c r="F2003" s="14">
        <v>45.95</v>
      </c>
      <c r="G2003" s="16">
        <v>44.6</v>
      </c>
      <c r="H2003" s="69">
        <f t="shared" si="46"/>
        <v>2.0111731843575287E-2</v>
      </c>
      <c r="O2003" s="1319"/>
      <c r="P2003" s="1319"/>
      <c r="Q2003" s="35">
        <v>45239</v>
      </c>
      <c r="R2003" s="36">
        <v>4.6199999999999998E-2</v>
      </c>
      <c r="S2003" s="37">
        <v>4.6500000000000007E-2</v>
      </c>
    </row>
    <row r="2004" spans="1:19" x14ac:dyDescent="0.2">
      <c r="A2004" s="1"/>
      <c r="B2004" s="13">
        <v>42808</v>
      </c>
      <c r="C2004" s="14">
        <v>44.75</v>
      </c>
      <c r="D2004" s="15">
        <v>158937</v>
      </c>
      <c r="E2004" s="14">
        <v>45.3</v>
      </c>
      <c r="F2004" s="14">
        <v>45.75</v>
      </c>
      <c r="G2004" s="16">
        <v>44.1</v>
      </c>
      <c r="H2004" s="69">
        <f t="shared" si="46"/>
        <v>-1.9715224534501585E-2</v>
      </c>
      <c r="O2004" s="1319"/>
      <c r="P2004" s="1319"/>
      <c r="Q2004" s="35">
        <v>45240</v>
      </c>
      <c r="R2004" s="36">
        <v>4.6100000000000002E-2</v>
      </c>
      <c r="S2004" s="37">
        <v>4.6500000000000007E-2</v>
      </c>
    </row>
    <row r="2005" spans="1:19" x14ac:dyDescent="0.2">
      <c r="A2005" s="1"/>
      <c r="B2005" s="13">
        <v>42807</v>
      </c>
      <c r="C2005" s="14">
        <v>45.65</v>
      </c>
      <c r="D2005" s="15">
        <v>171516</v>
      </c>
      <c r="E2005" s="14">
        <v>45.8</v>
      </c>
      <c r="F2005" s="14">
        <v>45.95</v>
      </c>
      <c r="G2005" s="16">
        <v>45.45</v>
      </c>
      <c r="H2005" s="69">
        <f t="shared" si="46"/>
        <v>-2.1857923497268228E-3</v>
      </c>
      <c r="O2005" s="1319"/>
      <c r="P2005" s="1319"/>
      <c r="Q2005" s="35">
        <v>45243</v>
      </c>
      <c r="R2005" s="36">
        <v>4.6300000000000001E-2</v>
      </c>
      <c r="S2005" s="37">
        <v>4.6600000000000003E-2</v>
      </c>
    </row>
    <row r="2006" spans="1:19" x14ac:dyDescent="0.2">
      <c r="A2006" s="1"/>
      <c r="B2006" s="13">
        <v>42804</v>
      </c>
      <c r="C2006" s="14">
        <v>45.75</v>
      </c>
      <c r="D2006" s="15">
        <v>118094</v>
      </c>
      <c r="E2006" s="14">
        <v>45.55</v>
      </c>
      <c r="F2006" s="14">
        <v>45.95</v>
      </c>
      <c r="G2006" s="16">
        <v>44.65</v>
      </c>
      <c r="H2006" s="69">
        <f t="shared" si="46"/>
        <v>1.6666666666666607E-2</v>
      </c>
      <c r="O2006" s="1319"/>
      <c r="P2006" s="1319"/>
      <c r="Q2006" s="35">
        <v>45244</v>
      </c>
      <c r="R2006" s="36">
        <v>4.4400000000000002E-2</v>
      </c>
      <c r="S2006" s="37">
        <v>4.4199999999999996E-2</v>
      </c>
    </row>
    <row r="2007" spans="1:19" x14ac:dyDescent="0.2">
      <c r="A2007" s="1"/>
      <c r="B2007" s="13">
        <v>42803</v>
      </c>
      <c r="C2007" s="14">
        <v>45</v>
      </c>
      <c r="D2007" s="15">
        <v>120099</v>
      </c>
      <c r="E2007" s="14">
        <v>46.05</v>
      </c>
      <c r="F2007" s="14">
        <v>46.6</v>
      </c>
      <c r="G2007" s="16">
        <v>45</v>
      </c>
      <c r="H2007" s="69">
        <f t="shared" si="46"/>
        <v>-2.386117136659438E-2</v>
      </c>
      <c r="O2007" s="1319"/>
      <c r="P2007" s="1319"/>
      <c r="Q2007" s="35">
        <v>45245</v>
      </c>
      <c r="R2007" s="36">
        <v>4.53E-2</v>
      </c>
      <c r="S2007" s="37">
        <v>4.5199999999999997E-2</v>
      </c>
    </row>
    <row r="2008" spans="1:19" x14ac:dyDescent="0.2">
      <c r="A2008" s="1"/>
      <c r="B2008" s="13">
        <v>42802</v>
      </c>
      <c r="C2008" s="14">
        <v>46.1</v>
      </c>
      <c r="D2008" s="15">
        <v>200448</v>
      </c>
      <c r="E2008" s="14">
        <v>46.95</v>
      </c>
      <c r="F2008" s="14">
        <v>47.1</v>
      </c>
      <c r="G2008" s="16">
        <v>45.95</v>
      </c>
      <c r="H2008" s="69">
        <f t="shared" si="46"/>
        <v>-1.4957264957264904E-2</v>
      </c>
      <c r="O2008" s="1319"/>
      <c r="P2008" s="1319"/>
      <c r="Q2008" s="35">
        <v>45246</v>
      </c>
      <c r="R2008" s="36">
        <v>4.4500000000000005E-2</v>
      </c>
      <c r="S2008" s="37">
        <v>4.4299999999999999E-2</v>
      </c>
    </row>
    <row r="2009" spans="1:19" x14ac:dyDescent="0.2">
      <c r="A2009" s="1"/>
      <c r="B2009" s="13">
        <v>42801</v>
      </c>
      <c r="C2009" s="14">
        <v>46.8</v>
      </c>
      <c r="D2009" s="15">
        <v>173224</v>
      </c>
      <c r="E2009" s="14">
        <v>47.6</v>
      </c>
      <c r="F2009" s="14">
        <v>48.25</v>
      </c>
      <c r="G2009" s="16">
        <v>46.65</v>
      </c>
      <c r="H2009" s="69">
        <f t="shared" si="46"/>
        <v>-1.7838405036726179E-2</v>
      </c>
      <c r="O2009" s="1319"/>
      <c r="P2009" s="1319"/>
      <c r="Q2009" s="35">
        <v>45247</v>
      </c>
      <c r="R2009" s="36">
        <v>4.4400000000000002E-2</v>
      </c>
      <c r="S2009" s="37">
        <v>4.4500000000000005E-2</v>
      </c>
    </row>
    <row r="2010" spans="1:19" x14ac:dyDescent="0.2">
      <c r="A2010" s="1"/>
      <c r="B2010" s="13">
        <v>42800</v>
      </c>
      <c r="C2010" s="14">
        <v>47.65</v>
      </c>
      <c r="D2010" s="15">
        <v>111018</v>
      </c>
      <c r="E2010" s="14">
        <v>47.35</v>
      </c>
      <c r="F2010" s="14">
        <v>48</v>
      </c>
      <c r="G2010" s="16">
        <v>46.9</v>
      </c>
      <c r="H2010" s="69">
        <f t="shared" si="46"/>
        <v>-6.2565172054224183E-3</v>
      </c>
      <c r="O2010" s="1319"/>
      <c r="P2010" s="1319"/>
      <c r="Q2010" s="35">
        <v>45250</v>
      </c>
      <c r="R2010" s="36">
        <v>4.4199999999999996E-2</v>
      </c>
      <c r="S2010" s="37">
        <v>4.4400000000000002E-2</v>
      </c>
    </row>
    <row r="2011" spans="1:19" x14ac:dyDescent="0.2">
      <c r="A2011" s="1"/>
      <c r="B2011" s="13">
        <v>42797</v>
      </c>
      <c r="C2011" s="14">
        <v>47.95</v>
      </c>
      <c r="D2011" s="15">
        <v>167258</v>
      </c>
      <c r="E2011" s="14">
        <v>48.15</v>
      </c>
      <c r="F2011" s="14">
        <v>48.15</v>
      </c>
      <c r="G2011" s="16">
        <v>46.65</v>
      </c>
      <c r="H2011" s="69">
        <f t="shared" si="46"/>
        <v>-5.1867219917012264E-3</v>
      </c>
      <c r="O2011" s="1319"/>
      <c r="P2011" s="1319"/>
      <c r="Q2011" s="35">
        <v>45251</v>
      </c>
      <c r="R2011" s="36">
        <v>4.41E-2</v>
      </c>
      <c r="S2011" s="37">
        <v>4.41E-2</v>
      </c>
    </row>
    <row r="2012" spans="1:19" x14ac:dyDescent="0.2">
      <c r="A2012" s="1"/>
      <c r="B2012" s="13">
        <v>42796</v>
      </c>
      <c r="C2012" s="14">
        <v>48.2</v>
      </c>
      <c r="D2012" s="15">
        <v>171808</v>
      </c>
      <c r="E2012" s="14">
        <v>49.9</v>
      </c>
      <c r="F2012" s="14">
        <v>49.9</v>
      </c>
      <c r="G2012" s="16">
        <v>48.1</v>
      </c>
      <c r="H2012" s="69">
        <f t="shared" si="46"/>
        <v>-3.5999999999999921E-2</v>
      </c>
      <c r="O2012" s="1319"/>
      <c r="P2012" s="1319"/>
      <c r="Q2012" s="35">
        <v>45252</v>
      </c>
      <c r="R2012" s="36">
        <v>4.4199999999999996E-2</v>
      </c>
      <c r="S2012" s="37">
        <v>4.4400000000000002E-2</v>
      </c>
    </row>
    <row r="2013" spans="1:19" x14ac:dyDescent="0.2">
      <c r="A2013" s="1"/>
      <c r="B2013" s="13">
        <v>42795</v>
      </c>
      <c r="C2013" s="14">
        <v>50</v>
      </c>
      <c r="D2013" s="15">
        <v>211768</v>
      </c>
      <c r="E2013" s="14">
        <v>49.45</v>
      </c>
      <c r="F2013" s="14">
        <v>50.05</v>
      </c>
      <c r="G2013" s="16">
        <v>48.85</v>
      </c>
      <c r="H2013" s="69">
        <f t="shared" si="46"/>
        <v>3.4126163391933861E-2</v>
      </c>
      <c r="O2013" s="1319"/>
      <c r="P2013" s="1319"/>
      <c r="Q2013" s="35">
        <v>45254</v>
      </c>
      <c r="R2013" s="36">
        <v>4.4699999999999997E-2</v>
      </c>
      <c r="S2013" s="37">
        <v>4.4900000000000002E-2</v>
      </c>
    </row>
    <row r="2014" spans="1:19" x14ac:dyDescent="0.2">
      <c r="A2014" s="1"/>
      <c r="B2014" s="13">
        <v>42794</v>
      </c>
      <c r="C2014" s="14">
        <v>48.35</v>
      </c>
      <c r="D2014" s="15">
        <v>144289</v>
      </c>
      <c r="E2014" s="14">
        <v>48.65</v>
      </c>
      <c r="F2014" s="14">
        <v>49.1</v>
      </c>
      <c r="G2014" s="16">
        <v>48.1</v>
      </c>
      <c r="H2014" s="69">
        <f t="shared" si="46"/>
        <v>-1.1247443762781084E-2</v>
      </c>
      <c r="O2014" s="1319"/>
      <c r="P2014" s="1319"/>
      <c r="Q2014" s="35">
        <v>45257</v>
      </c>
      <c r="R2014" s="36">
        <v>4.3899999999999995E-2</v>
      </c>
      <c r="S2014" s="37">
        <v>4.3799999999999999E-2</v>
      </c>
    </row>
    <row r="2015" spans="1:19" x14ac:dyDescent="0.2">
      <c r="A2015" s="1"/>
      <c r="B2015" s="13">
        <v>42793</v>
      </c>
      <c r="C2015" s="14">
        <v>48.9</v>
      </c>
      <c r="D2015" s="15">
        <v>135741</v>
      </c>
      <c r="E2015" s="14">
        <v>48.2</v>
      </c>
      <c r="F2015" s="14">
        <v>49.15</v>
      </c>
      <c r="G2015" s="16">
        <v>48.1</v>
      </c>
      <c r="H2015" s="69">
        <f t="shared" si="46"/>
        <v>1.2422360248447228E-2</v>
      </c>
      <c r="O2015" s="1319"/>
      <c r="P2015" s="1319"/>
      <c r="Q2015" s="35">
        <v>45258</v>
      </c>
      <c r="R2015" s="36">
        <v>4.3400000000000001E-2</v>
      </c>
      <c r="S2015" s="37">
        <v>4.2900000000000001E-2</v>
      </c>
    </row>
    <row r="2016" spans="1:19" x14ac:dyDescent="0.2">
      <c r="A2016" s="1"/>
      <c r="B2016" s="13">
        <v>42790</v>
      </c>
      <c r="C2016" s="14">
        <v>48.3</v>
      </c>
      <c r="D2016" s="15">
        <v>147669</v>
      </c>
      <c r="E2016" s="14">
        <v>47.55</v>
      </c>
      <c r="F2016" s="14">
        <v>48.5</v>
      </c>
      <c r="G2016" s="16">
        <v>47.075000000000003</v>
      </c>
      <c r="H2016" s="69">
        <f t="shared" si="46"/>
        <v>1.0362694300518616E-3</v>
      </c>
      <c r="O2016" s="1319"/>
      <c r="P2016" s="1319"/>
      <c r="Q2016" s="35">
        <v>45259</v>
      </c>
      <c r="R2016" s="36">
        <v>4.2699999999999995E-2</v>
      </c>
      <c r="S2016" s="37">
        <v>4.2199999999999994E-2</v>
      </c>
    </row>
    <row r="2017" spans="1:19" x14ac:dyDescent="0.2">
      <c r="A2017" s="1"/>
      <c r="B2017" s="13">
        <v>42789</v>
      </c>
      <c r="C2017" s="14">
        <v>48.25</v>
      </c>
      <c r="D2017" s="15">
        <v>174230</v>
      </c>
      <c r="E2017" s="14">
        <v>49.15</v>
      </c>
      <c r="F2017" s="14">
        <v>49.15</v>
      </c>
      <c r="G2017" s="16">
        <v>47.4</v>
      </c>
      <c r="H2017" s="69">
        <f t="shared" si="46"/>
        <v>-1.4300306435137911E-2</v>
      </c>
      <c r="O2017" s="1319"/>
      <c r="P2017" s="1319"/>
      <c r="Q2017" s="35">
        <v>45260</v>
      </c>
      <c r="R2017" s="36">
        <v>4.3700000000000003E-2</v>
      </c>
      <c r="S2017" s="37">
        <v>4.3099999999999999E-2</v>
      </c>
    </row>
    <row r="2018" spans="1:19" x14ac:dyDescent="0.2">
      <c r="A2018" s="1"/>
      <c r="B2018" s="13">
        <v>42788</v>
      </c>
      <c r="C2018" s="14">
        <v>48.95</v>
      </c>
      <c r="D2018" s="15">
        <v>213607</v>
      </c>
      <c r="E2018" s="14">
        <v>49.25</v>
      </c>
      <c r="F2018" s="14">
        <v>49.55</v>
      </c>
      <c r="G2018" s="16">
        <v>48.65</v>
      </c>
      <c r="H2018" s="69">
        <f t="shared" si="46"/>
        <v>-9.1093117408905799E-3</v>
      </c>
      <c r="O2018" s="1319"/>
      <c r="P2018" s="1319"/>
      <c r="Q2018" s="35">
        <v>45261</v>
      </c>
      <c r="R2018" s="36">
        <v>4.2199999999999994E-2</v>
      </c>
      <c r="S2018" s="37">
        <v>4.1399999999999999E-2</v>
      </c>
    </row>
    <row r="2019" spans="1:19" x14ac:dyDescent="0.2">
      <c r="A2019" s="1"/>
      <c r="B2019" s="13">
        <v>42787</v>
      </c>
      <c r="C2019" s="14">
        <v>49.4</v>
      </c>
      <c r="D2019" s="15">
        <v>178455</v>
      </c>
      <c r="E2019" s="14">
        <v>48.85</v>
      </c>
      <c r="F2019" s="14">
        <v>49.55</v>
      </c>
      <c r="G2019" s="16">
        <v>48.8</v>
      </c>
      <c r="H2019" s="69">
        <f t="shared" si="46"/>
        <v>1.6460905349794164E-2</v>
      </c>
      <c r="O2019" s="1319"/>
      <c r="P2019" s="1319"/>
      <c r="Q2019" s="35">
        <v>45264</v>
      </c>
      <c r="R2019" s="36">
        <v>4.2800000000000005E-2</v>
      </c>
      <c r="S2019" s="37">
        <v>4.2300000000000004E-2</v>
      </c>
    </row>
    <row r="2020" spans="1:19" x14ac:dyDescent="0.2">
      <c r="A2020" s="1"/>
      <c r="B2020" s="13">
        <v>42783</v>
      </c>
      <c r="C2020" s="14">
        <v>48.6</v>
      </c>
      <c r="D2020" s="15">
        <v>96360</v>
      </c>
      <c r="E2020" s="14">
        <v>48.45</v>
      </c>
      <c r="F2020" s="14">
        <v>48.95</v>
      </c>
      <c r="G2020" s="16">
        <v>48.1</v>
      </c>
      <c r="H2020" s="69">
        <f t="shared" si="46"/>
        <v>1.029866117404854E-3</v>
      </c>
      <c r="O2020" s="1319"/>
      <c r="P2020" s="1319"/>
      <c r="Q2020" s="35">
        <v>45265</v>
      </c>
      <c r="R2020" s="36">
        <v>4.1799999999999997E-2</v>
      </c>
      <c r="S2020" s="37">
        <v>4.1399999999999999E-2</v>
      </c>
    </row>
    <row r="2021" spans="1:19" x14ac:dyDescent="0.2">
      <c r="A2021" s="1"/>
      <c r="B2021" s="13">
        <v>42782</v>
      </c>
      <c r="C2021" s="14">
        <v>48.55</v>
      </c>
      <c r="D2021" s="15">
        <v>155003</v>
      </c>
      <c r="E2021" s="14">
        <v>48.2</v>
      </c>
      <c r="F2021" s="14">
        <v>48.65</v>
      </c>
      <c r="G2021" s="16">
        <v>47.85</v>
      </c>
      <c r="H2021" s="69">
        <f t="shared" si="46"/>
        <v>8.3073727933540287E-3</v>
      </c>
      <c r="O2021" s="1319"/>
      <c r="P2021" s="1319"/>
      <c r="Q2021" s="35">
        <v>45266</v>
      </c>
      <c r="R2021" s="36">
        <v>4.1200000000000001E-2</v>
      </c>
      <c r="S2021" s="37">
        <v>4.1200000000000001E-2</v>
      </c>
    </row>
    <row r="2022" spans="1:19" x14ac:dyDescent="0.2">
      <c r="A2022" s="1"/>
      <c r="B2022" s="13">
        <v>42781</v>
      </c>
      <c r="C2022" s="14">
        <v>48.15</v>
      </c>
      <c r="D2022" s="15">
        <v>142190</v>
      </c>
      <c r="E2022" s="14">
        <v>47.45</v>
      </c>
      <c r="F2022" s="14">
        <v>48.45</v>
      </c>
      <c r="G2022" s="16">
        <v>47.45</v>
      </c>
      <c r="H2022" s="69">
        <f t="shared" si="46"/>
        <v>1.1554621848739455E-2</v>
      </c>
      <c r="O2022" s="1319"/>
      <c r="P2022" s="1319"/>
      <c r="Q2022" s="35">
        <v>45267</v>
      </c>
      <c r="R2022" s="36">
        <v>4.1399999999999999E-2</v>
      </c>
      <c r="S2022" s="37">
        <v>4.1100000000000005E-2</v>
      </c>
    </row>
    <row r="2023" spans="1:19" x14ac:dyDescent="0.2">
      <c r="A2023" s="1"/>
      <c r="B2023" s="13">
        <v>42780</v>
      </c>
      <c r="C2023" s="14">
        <v>47.6</v>
      </c>
      <c r="D2023" s="15">
        <v>147804</v>
      </c>
      <c r="E2023" s="14">
        <v>48.5</v>
      </c>
      <c r="F2023" s="14">
        <v>48.6</v>
      </c>
      <c r="G2023" s="16">
        <v>47.6</v>
      </c>
      <c r="H2023" s="69">
        <f t="shared" si="46"/>
        <v>-2.4590163934426146E-2</v>
      </c>
      <c r="O2023" s="1319"/>
      <c r="P2023" s="1319"/>
      <c r="Q2023" s="35">
        <v>45268</v>
      </c>
      <c r="R2023" s="36">
        <v>4.2300000000000004E-2</v>
      </c>
      <c r="S2023" s="37">
        <v>4.24E-2</v>
      </c>
    </row>
    <row r="2024" spans="1:19" x14ac:dyDescent="0.2">
      <c r="A2024" s="1"/>
      <c r="B2024" s="13">
        <v>42779</v>
      </c>
      <c r="C2024" s="14">
        <v>48.8</v>
      </c>
      <c r="D2024" s="15">
        <v>104413</v>
      </c>
      <c r="E2024" s="14">
        <v>48.8</v>
      </c>
      <c r="F2024" s="14">
        <v>49.2</v>
      </c>
      <c r="G2024" s="16">
        <v>48.325000000000003</v>
      </c>
      <c r="H2024" s="69">
        <f t="shared" ref="H2024:H2087" si="47">C2024/C2025-1</f>
        <v>5.1493305870236039E-3</v>
      </c>
      <c r="O2024" s="1319"/>
      <c r="P2024" s="1319"/>
      <c r="Q2024" s="35">
        <v>45271</v>
      </c>
      <c r="R2024" s="36">
        <v>4.2300000000000004E-2</v>
      </c>
      <c r="S2024" s="37">
        <v>4.2500000000000003E-2</v>
      </c>
    </row>
    <row r="2025" spans="1:19" x14ac:dyDescent="0.2">
      <c r="A2025" s="1"/>
      <c r="B2025" s="13">
        <v>42776</v>
      </c>
      <c r="C2025" s="14">
        <v>48.55</v>
      </c>
      <c r="D2025" s="15">
        <v>150623</v>
      </c>
      <c r="E2025" s="14">
        <v>47.8</v>
      </c>
      <c r="F2025" s="14">
        <v>48.65</v>
      </c>
      <c r="G2025" s="16">
        <v>47.55</v>
      </c>
      <c r="H2025" s="69">
        <f t="shared" si="47"/>
        <v>1.8887722980063026E-2</v>
      </c>
      <c r="O2025" s="1319"/>
      <c r="P2025" s="1319"/>
      <c r="Q2025" s="35">
        <v>45272</v>
      </c>
      <c r="R2025" s="36">
        <v>4.2000000000000003E-2</v>
      </c>
      <c r="S2025" s="37">
        <v>4.2300000000000004E-2</v>
      </c>
    </row>
    <row r="2026" spans="1:19" x14ac:dyDescent="0.2">
      <c r="A2026" s="1"/>
      <c r="B2026" s="13">
        <v>42775</v>
      </c>
      <c r="C2026" s="14">
        <v>47.65</v>
      </c>
      <c r="D2026" s="15">
        <v>285308</v>
      </c>
      <c r="E2026" s="14">
        <v>46.8</v>
      </c>
      <c r="F2026" s="14">
        <v>47.8</v>
      </c>
      <c r="G2026" s="16">
        <v>46.05</v>
      </c>
      <c r="H2026" s="69">
        <f t="shared" si="47"/>
        <v>2.2532188841201561E-2</v>
      </c>
      <c r="O2026" s="1319"/>
      <c r="P2026" s="1319"/>
      <c r="Q2026" s="35">
        <v>45273</v>
      </c>
      <c r="R2026" s="36">
        <v>4.0399999999999998E-2</v>
      </c>
      <c r="S2026" s="37">
        <v>0.04</v>
      </c>
    </row>
    <row r="2027" spans="1:19" x14ac:dyDescent="0.2">
      <c r="A2027" s="1"/>
      <c r="B2027" s="13">
        <v>42774</v>
      </c>
      <c r="C2027" s="14">
        <v>46.6</v>
      </c>
      <c r="D2027" s="15">
        <v>210607</v>
      </c>
      <c r="E2027" s="14">
        <v>46.2</v>
      </c>
      <c r="F2027" s="14">
        <v>46.8</v>
      </c>
      <c r="G2027" s="16">
        <v>45.45</v>
      </c>
      <c r="H2027" s="69">
        <f t="shared" si="47"/>
        <v>5.3937432578208266E-3</v>
      </c>
      <c r="O2027" s="1319"/>
      <c r="P2027" s="1319"/>
      <c r="Q2027" s="35">
        <v>45274</v>
      </c>
      <c r="R2027" s="36">
        <v>3.9199999999999999E-2</v>
      </c>
      <c r="S2027" s="37">
        <v>3.9E-2</v>
      </c>
    </row>
    <row r="2028" spans="1:19" x14ac:dyDescent="0.2">
      <c r="A2028" s="1"/>
      <c r="B2028" s="13">
        <v>42773</v>
      </c>
      <c r="C2028" s="14">
        <v>46.35</v>
      </c>
      <c r="D2028" s="15">
        <v>260244</v>
      </c>
      <c r="E2028" s="14">
        <v>47.1</v>
      </c>
      <c r="F2028" s="14">
        <v>47.55</v>
      </c>
      <c r="G2028" s="16">
        <v>45.7</v>
      </c>
      <c r="H2028" s="69">
        <f t="shared" si="47"/>
        <v>-1.382978723404249E-2</v>
      </c>
      <c r="O2028" s="1319"/>
      <c r="P2028" s="1319"/>
      <c r="Q2028" s="35">
        <v>45275</v>
      </c>
      <c r="R2028" s="36">
        <v>3.9100000000000003E-2</v>
      </c>
      <c r="S2028" s="37">
        <v>3.9100000000000003E-2</v>
      </c>
    </row>
    <row r="2029" spans="1:19" x14ac:dyDescent="0.2">
      <c r="A2029" s="1"/>
      <c r="B2029" s="13">
        <v>42772</v>
      </c>
      <c r="C2029" s="14">
        <v>47</v>
      </c>
      <c r="D2029" s="15">
        <v>476399</v>
      </c>
      <c r="E2029" s="14">
        <v>49.35</v>
      </c>
      <c r="F2029" s="14">
        <v>49.35</v>
      </c>
      <c r="G2029" s="16">
        <v>46.5</v>
      </c>
      <c r="H2029" s="69">
        <f t="shared" si="47"/>
        <v>-4.9544994944388354E-2</v>
      </c>
      <c r="O2029" s="1319"/>
      <c r="P2029" s="1319"/>
      <c r="Q2029" s="35">
        <v>45278</v>
      </c>
      <c r="R2029" s="36">
        <v>3.95E-2</v>
      </c>
      <c r="S2029" s="37">
        <v>3.9399999999999998E-2</v>
      </c>
    </row>
    <row r="2030" spans="1:19" x14ac:dyDescent="0.2">
      <c r="A2030" s="1"/>
      <c r="B2030" s="13">
        <v>42769</v>
      </c>
      <c r="C2030" s="14">
        <v>49.45</v>
      </c>
      <c r="D2030" s="15">
        <v>290472</v>
      </c>
      <c r="E2030" s="14">
        <v>47</v>
      </c>
      <c r="F2030" s="14">
        <v>49.65</v>
      </c>
      <c r="G2030" s="16">
        <v>45.01</v>
      </c>
      <c r="H2030" s="69">
        <f t="shared" si="47"/>
        <v>3.3437826541274918E-2</v>
      </c>
      <c r="O2030" s="1319"/>
      <c r="P2030" s="1319"/>
      <c r="Q2030" s="35">
        <v>45279</v>
      </c>
      <c r="R2030" s="36">
        <v>3.9300000000000002E-2</v>
      </c>
      <c r="S2030" s="37">
        <v>3.9399999999999998E-2</v>
      </c>
    </row>
    <row r="2031" spans="1:19" x14ac:dyDescent="0.2">
      <c r="A2031" s="1"/>
      <c r="B2031" s="13">
        <v>42768</v>
      </c>
      <c r="C2031" s="14">
        <v>47.85</v>
      </c>
      <c r="D2031" s="15">
        <v>238061</v>
      </c>
      <c r="E2031" s="14">
        <v>48.35</v>
      </c>
      <c r="F2031" s="14">
        <v>49.05</v>
      </c>
      <c r="G2031" s="16">
        <v>47.55</v>
      </c>
      <c r="H2031" s="69">
        <f t="shared" si="47"/>
        <v>-1.7453798767967155E-2</v>
      </c>
      <c r="O2031" s="1319"/>
      <c r="P2031" s="1319"/>
      <c r="Q2031" s="35">
        <v>45280</v>
      </c>
      <c r="R2031" s="36">
        <v>3.8599999999999995E-2</v>
      </c>
      <c r="S2031" s="37">
        <v>3.8599999999999995E-2</v>
      </c>
    </row>
    <row r="2032" spans="1:19" x14ac:dyDescent="0.2">
      <c r="A2032" s="1"/>
      <c r="B2032" s="13">
        <v>42767</v>
      </c>
      <c r="C2032" s="14">
        <v>48.7</v>
      </c>
      <c r="D2032" s="15">
        <v>194196</v>
      </c>
      <c r="E2032" s="14">
        <v>48.5</v>
      </c>
      <c r="F2032" s="14">
        <v>49.8</v>
      </c>
      <c r="G2032" s="16">
        <v>47.95</v>
      </c>
      <c r="H2032" s="69">
        <f t="shared" si="47"/>
        <v>1.3527575442247697E-2</v>
      </c>
      <c r="O2032" s="1319"/>
      <c r="P2032" s="1319"/>
      <c r="Q2032" s="35">
        <v>45281</v>
      </c>
      <c r="R2032" s="36">
        <v>3.8900000000000004E-2</v>
      </c>
      <c r="S2032" s="37">
        <v>3.8699999999999998E-2</v>
      </c>
    </row>
    <row r="2033" spans="1:19" x14ac:dyDescent="0.2">
      <c r="A2033" s="1"/>
      <c r="B2033" s="13">
        <v>42766</v>
      </c>
      <c r="C2033" s="14">
        <v>48.05</v>
      </c>
      <c r="D2033" s="15">
        <v>343098</v>
      </c>
      <c r="E2033" s="14">
        <v>48.75</v>
      </c>
      <c r="F2033" s="14">
        <v>48.85</v>
      </c>
      <c r="G2033" s="16">
        <v>47.5</v>
      </c>
      <c r="H2033" s="69">
        <f t="shared" si="47"/>
        <v>-1.6376663254861867E-2</v>
      </c>
      <c r="O2033" s="1319"/>
      <c r="P2033" s="1319"/>
      <c r="Q2033" s="35">
        <v>45282</v>
      </c>
      <c r="R2033" s="36">
        <v>3.9E-2</v>
      </c>
      <c r="S2033" s="37">
        <v>3.8699999999999998E-2</v>
      </c>
    </row>
    <row r="2034" spans="1:19" x14ac:dyDescent="0.2">
      <c r="A2034" s="1"/>
      <c r="B2034" s="13">
        <v>42765</v>
      </c>
      <c r="C2034" s="14">
        <v>48.85</v>
      </c>
      <c r="D2034" s="15">
        <v>202481</v>
      </c>
      <c r="E2034" s="14">
        <v>49.35</v>
      </c>
      <c r="F2034" s="14">
        <v>49.35</v>
      </c>
      <c r="G2034" s="16">
        <v>48.5</v>
      </c>
      <c r="H2034" s="69">
        <f t="shared" si="47"/>
        <v>-1.8090452261306456E-2</v>
      </c>
      <c r="O2034" s="1319"/>
      <c r="P2034" s="1319"/>
      <c r="Q2034" s="35">
        <v>45286</v>
      </c>
      <c r="R2034" s="36">
        <v>3.8900000000000004E-2</v>
      </c>
      <c r="S2034" s="37">
        <v>3.8900000000000004E-2</v>
      </c>
    </row>
    <row r="2035" spans="1:19" x14ac:dyDescent="0.2">
      <c r="A2035" s="1"/>
      <c r="B2035" s="13">
        <v>42762</v>
      </c>
      <c r="C2035" s="14">
        <v>49.75</v>
      </c>
      <c r="D2035" s="15">
        <v>400768</v>
      </c>
      <c r="E2035" s="14">
        <v>49.25</v>
      </c>
      <c r="F2035" s="14">
        <v>50</v>
      </c>
      <c r="G2035" s="16">
        <v>48.85</v>
      </c>
      <c r="H2035" s="69">
        <f t="shared" si="47"/>
        <v>9.1277890466532341E-3</v>
      </c>
      <c r="O2035" s="1319"/>
      <c r="P2035" s="1319"/>
      <c r="Q2035" s="35">
        <v>45287</v>
      </c>
      <c r="R2035" s="36">
        <v>3.7900000000000003E-2</v>
      </c>
      <c r="S2035" s="37">
        <v>3.78E-2</v>
      </c>
    </row>
    <row r="2036" spans="1:19" x14ac:dyDescent="0.2">
      <c r="A2036" s="1"/>
      <c r="B2036" s="13">
        <v>42761</v>
      </c>
      <c r="C2036" s="14">
        <v>49.3</v>
      </c>
      <c r="D2036" s="15">
        <v>268549</v>
      </c>
      <c r="E2036" s="14">
        <v>50.2</v>
      </c>
      <c r="F2036" s="14">
        <v>50.2</v>
      </c>
      <c r="G2036" s="16">
        <v>48.975000000000001</v>
      </c>
      <c r="H2036" s="69">
        <f t="shared" si="47"/>
        <v>-1.9880715705765439E-2</v>
      </c>
      <c r="O2036" s="1319"/>
      <c r="P2036" s="1319"/>
      <c r="Q2036" s="35">
        <v>45288</v>
      </c>
      <c r="R2036" s="36">
        <v>3.8399999999999997E-2</v>
      </c>
      <c r="S2036" s="37">
        <v>3.8300000000000001E-2</v>
      </c>
    </row>
    <row r="2037" spans="1:19" x14ac:dyDescent="0.2">
      <c r="A2037" s="1"/>
      <c r="B2037" s="13">
        <v>42760</v>
      </c>
      <c r="C2037" s="14">
        <v>50.3</v>
      </c>
      <c r="D2037" s="15">
        <v>391492</v>
      </c>
      <c r="E2037" s="14">
        <v>49.4</v>
      </c>
      <c r="F2037" s="14">
        <v>50.8</v>
      </c>
      <c r="G2037" s="16">
        <v>49.4</v>
      </c>
      <c r="H2037" s="69">
        <f t="shared" si="47"/>
        <v>2.5484199796126372E-2</v>
      </c>
      <c r="O2037" s="1319"/>
      <c r="P2037" s="1319"/>
      <c r="Q2037" s="35">
        <v>45289</v>
      </c>
      <c r="R2037" s="36">
        <v>3.8800000000000001E-2</v>
      </c>
      <c r="S2037" s="37">
        <v>3.8399999999999997E-2</v>
      </c>
    </row>
    <row r="2038" spans="1:19" x14ac:dyDescent="0.2">
      <c r="A2038" s="1"/>
      <c r="B2038" s="13">
        <v>42759</v>
      </c>
      <c r="C2038" s="14">
        <v>49.05</v>
      </c>
      <c r="D2038" s="15">
        <v>219516</v>
      </c>
      <c r="E2038" s="14">
        <v>47.55</v>
      </c>
      <c r="F2038" s="14">
        <v>49.1</v>
      </c>
      <c r="G2038" s="16">
        <v>47.4</v>
      </c>
      <c r="H2038" s="69">
        <f t="shared" si="47"/>
        <v>3.4810126582278444E-2</v>
      </c>
      <c r="O2038" s="1319"/>
      <c r="P2038" s="1319"/>
      <c r="Q2038" s="35">
        <v>45293</v>
      </c>
      <c r="R2038" s="36">
        <v>3.95E-2</v>
      </c>
      <c r="S2038" s="37">
        <v>3.9300000000000002E-2</v>
      </c>
    </row>
    <row r="2039" spans="1:19" x14ac:dyDescent="0.2">
      <c r="A2039" s="1"/>
      <c r="B2039" s="13">
        <v>42758</v>
      </c>
      <c r="C2039" s="14">
        <v>47.4</v>
      </c>
      <c r="D2039" s="15">
        <v>139907</v>
      </c>
      <c r="E2039" s="14">
        <v>47.55</v>
      </c>
      <c r="F2039" s="14">
        <v>47.863500000000002</v>
      </c>
      <c r="G2039" s="16">
        <v>47.05</v>
      </c>
      <c r="H2039" s="69">
        <f t="shared" si="47"/>
        <v>-3.154574132492094E-3</v>
      </c>
      <c r="O2039" s="1319"/>
      <c r="P2039" s="1319"/>
      <c r="Q2039" s="35">
        <v>45294</v>
      </c>
      <c r="R2039" s="36">
        <v>3.9100000000000003E-2</v>
      </c>
      <c r="S2039" s="37">
        <v>3.9E-2</v>
      </c>
    </row>
    <row r="2040" spans="1:19" x14ac:dyDescent="0.2">
      <c r="A2040" s="1"/>
      <c r="B2040" s="13">
        <v>42755</v>
      </c>
      <c r="C2040" s="14">
        <v>47.55</v>
      </c>
      <c r="D2040" s="15">
        <v>162991</v>
      </c>
      <c r="E2040" s="14">
        <v>47.35</v>
      </c>
      <c r="F2040" s="14">
        <v>47.75</v>
      </c>
      <c r="G2040" s="16">
        <v>46.825000000000003</v>
      </c>
      <c r="H2040" s="69">
        <f t="shared" si="47"/>
        <v>2.1074815595363283E-3</v>
      </c>
      <c r="O2040" s="1319"/>
      <c r="P2040" s="1319"/>
      <c r="Q2040" s="35">
        <v>45295</v>
      </c>
      <c r="R2040" s="36">
        <v>3.9900000000000005E-2</v>
      </c>
      <c r="S2040" s="37">
        <v>3.9699999999999999E-2</v>
      </c>
    </row>
    <row r="2041" spans="1:19" x14ac:dyDescent="0.2">
      <c r="A2041" s="1"/>
      <c r="B2041" s="13">
        <v>42754</v>
      </c>
      <c r="C2041" s="14">
        <v>47.45</v>
      </c>
      <c r="D2041" s="15">
        <v>180093</v>
      </c>
      <c r="E2041" s="14">
        <v>47.75</v>
      </c>
      <c r="F2041" s="14">
        <v>48.25</v>
      </c>
      <c r="G2041" s="16">
        <v>47.2</v>
      </c>
      <c r="H2041" s="69">
        <f t="shared" si="47"/>
        <v>-5.24109014675056E-3</v>
      </c>
      <c r="O2041" s="1319"/>
      <c r="P2041" s="1319"/>
      <c r="Q2041" s="35">
        <v>45296</v>
      </c>
      <c r="R2041" s="36">
        <v>4.0500000000000001E-2</v>
      </c>
      <c r="S2041" s="37">
        <v>4.0199999999999993E-2</v>
      </c>
    </row>
    <row r="2042" spans="1:19" x14ac:dyDescent="0.2">
      <c r="A2042" s="1"/>
      <c r="B2042" s="13">
        <v>42753</v>
      </c>
      <c r="C2042" s="14">
        <v>47.7</v>
      </c>
      <c r="D2042" s="15">
        <v>230377</v>
      </c>
      <c r="E2042" s="14">
        <v>47.1</v>
      </c>
      <c r="F2042" s="14">
        <v>47.7</v>
      </c>
      <c r="G2042" s="16">
        <v>46.75</v>
      </c>
      <c r="H2042" s="69">
        <f t="shared" si="47"/>
        <v>1.5974440894568787E-2</v>
      </c>
      <c r="O2042" s="1319"/>
      <c r="P2042" s="1319"/>
      <c r="Q2042" s="35">
        <v>45299</v>
      </c>
      <c r="R2042" s="36">
        <v>4.0099999999999997E-2</v>
      </c>
      <c r="S2042" s="37">
        <v>3.9699999999999999E-2</v>
      </c>
    </row>
    <row r="2043" spans="1:19" x14ac:dyDescent="0.2">
      <c r="A2043" s="1"/>
      <c r="B2043" s="13">
        <v>42752</v>
      </c>
      <c r="C2043" s="14">
        <v>46.95</v>
      </c>
      <c r="D2043" s="15">
        <v>271023</v>
      </c>
      <c r="E2043" s="14">
        <v>46.85</v>
      </c>
      <c r="F2043" s="14">
        <v>47.4</v>
      </c>
      <c r="G2043" s="16">
        <v>45.85</v>
      </c>
      <c r="H2043" s="69">
        <f t="shared" si="47"/>
        <v>-4.2417815482501675E-3</v>
      </c>
      <c r="O2043" s="1319"/>
      <c r="P2043" s="1319"/>
      <c r="Q2043" s="35">
        <v>45300</v>
      </c>
      <c r="R2043" s="36">
        <v>4.0199999999999993E-2</v>
      </c>
      <c r="S2043" s="37">
        <v>3.9699999999999999E-2</v>
      </c>
    </row>
    <row r="2044" spans="1:19" x14ac:dyDescent="0.2">
      <c r="A2044" s="1"/>
      <c r="B2044" s="13">
        <v>42748</v>
      </c>
      <c r="C2044" s="14">
        <v>47.15</v>
      </c>
      <c r="D2044" s="15">
        <v>125065</v>
      </c>
      <c r="E2044" s="14">
        <v>46.45</v>
      </c>
      <c r="F2044" s="14">
        <v>47.2</v>
      </c>
      <c r="G2044" s="16">
        <v>46.3</v>
      </c>
      <c r="H2044" s="69">
        <f t="shared" si="47"/>
        <v>2.2776572668112838E-2</v>
      </c>
      <c r="O2044" s="1319"/>
      <c r="P2044" s="1319"/>
      <c r="Q2044" s="35">
        <v>45301</v>
      </c>
      <c r="R2044" s="36">
        <v>4.0399999999999998E-2</v>
      </c>
      <c r="S2044" s="37">
        <v>3.9900000000000005E-2</v>
      </c>
    </row>
    <row r="2045" spans="1:19" x14ac:dyDescent="0.2">
      <c r="A2045" s="1"/>
      <c r="B2045" s="13">
        <v>42747</v>
      </c>
      <c r="C2045" s="14">
        <v>46.1</v>
      </c>
      <c r="D2045" s="15">
        <v>131532</v>
      </c>
      <c r="E2045" s="14">
        <v>45.85</v>
      </c>
      <c r="F2045" s="14">
        <v>46.25</v>
      </c>
      <c r="G2045" s="16">
        <v>45.45</v>
      </c>
      <c r="H2045" s="69">
        <f t="shared" si="47"/>
        <v>1.0857763300760048E-3</v>
      </c>
      <c r="O2045" s="1319"/>
      <c r="P2045" s="1319"/>
      <c r="Q2045" s="35">
        <v>45302</v>
      </c>
      <c r="R2045" s="36">
        <v>3.9800000000000002E-2</v>
      </c>
      <c r="S2045" s="37">
        <v>3.9E-2</v>
      </c>
    </row>
    <row r="2046" spans="1:19" x14ac:dyDescent="0.2">
      <c r="A2046" s="1"/>
      <c r="B2046" s="13">
        <v>42746</v>
      </c>
      <c r="C2046" s="14">
        <v>46.05</v>
      </c>
      <c r="D2046" s="15">
        <v>162867</v>
      </c>
      <c r="E2046" s="14">
        <v>44.95</v>
      </c>
      <c r="F2046" s="14">
        <v>46.05</v>
      </c>
      <c r="G2046" s="16">
        <v>44.5</v>
      </c>
      <c r="H2046" s="69">
        <f t="shared" si="47"/>
        <v>2.7901785714285809E-2</v>
      </c>
      <c r="O2046" s="1319"/>
      <c r="P2046" s="1319"/>
      <c r="Q2046" s="35">
        <v>45303</v>
      </c>
      <c r="R2046" s="36">
        <v>3.9599999999999996E-2</v>
      </c>
      <c r="S2046" s="37">
        <v>3.8399999999999997E-2</v>
      </c>
    </row>
    <row r="2047" spans="1:19" x14ac:dyDescent="0.2">
      <c r="A2047" s="1"/>
      <c r="B2047" s="13">
        <v>42745</v>
      </c>
      <c r="C2047" s="14">
        <v>44.8</v>
      </c>
      <c r="D2047" s="15">
        <v>143957</v>
      </c>
      <c r="E2047" s="14">
        <v>44.15</v>
      </c>
      <c r="F2047" s="14">
        <v>45.5</v>
      </c>
      <c r="G2047" s="16">
        <v>44</v>
      </c>
      <c r="H2047" s="69">
        <f t="shared" si="47"/>
        <v>1.5873015873015817E-2</v>
      </c>
      <c r="O2047" s="1319"/>
      <c r="P2047" s="1319"/>
      <c r="Q2047" s="35">
        <v>45307</v>
      </c>
      <c r="R2047" s="36">
        <v>4.07E-2</v>
      </c>
      <c r="S2047" s="37">
        <v>3.95E-2</v>
      </c>
    </row>
    <row r="2048" spans="1:19" x14ac:dyDescent="0.2">
      <c r="A2048" s="1"/>
      <c r="B2048" s="13">
        <v>42744</v>
      </c>
      <c r="C2048" s="14">
        <v>44.1</v>
      </c>
      <c r="D2048" s="15">
        <v>279995</v>
      </c>
      <c r="E2048" s="14">
        <v>44.65</v>
      </c>
      <c r="F2048" s="14">
        <v>44.7</v>
      </c>
      <c r="G2048" s="16">
        <v>43.7</v>
      </c>
      <c r="H2048" s="69">
        <f t="shared" si="47"/>
        <v>-1.7270194986072407E-2</v>
      </c>
      <c r="O2048" s="1319"/>
      <c r="P2048" s="1319"/>
      <c r="Q2048" s="35">
        <v>45308</v>
      </c>
      <c r="R2048" s="36">
        <v>4.0999999999999995E-2</v>
      </c>
      <c r="S2048" s="37">
        <v>4.0199999999999993E-2</v>
      </c>
    </row>
    <row r="2049" spans="1:19" x14ac:dyDescent="0.2">
      <c r="A2049" s="1"/>
      <c r="B2049" s="13">
        <v>42741</v>
      </c>
      <c r="C2049" s="14">
        <v>44.875</v>
      </c>
      <c r="D2049" s="15">
        <v>270192</v>
      </c>
      <c r="E2049" s="14">
        <v>44.45</v>
      </c>
      <c r="F2049" s="14">
        <v>45.2</v>
      </c>
      <c r="G2049" s="16">
        <v>44</v>
      </c>
      <c r="H2049" s="69">
        <f t="shared" si="47"/>
        <v>2.1046643913537944E-2</v>
      </c>
      <c r="O2049" s="1319"/>
      <c r="P2049" s="1319"/>
      <c r="Q2049" s="35">
        <v>45309</v>
      </c>
      <c r="R2049" s="36">
        <v>4.1399999999999999E-2</v>
      </c>
      <c r="S2049" s="37">
        <v>4.0399999999999998E-2</v>
      </c>
    </row>
    <row r="2050" spans="1:19" x14ac:dyDescent="0.2">
      <c r="A2050" s="1"/>
      <c r="B2050" s="13">
        <v>42740</v>
      </c>
      <c r="C2050" s="14">
        <v>43.95</v>
      </c>
      <c r="D2050" s="15">
        <v>171591</v>
      </c>
      <c r="E2050" s="14">
        <v>44.9</v>
      </c>
      <c r="F2050" s="14">
        <v>45.15</v>
      </c>
      <c r="G2050" s="16">
        <v>43.75</v>
      </c>
      <c r="H2050" s="69">
        <f t="shared" si="47"/>
        <v>-2.4417314095449338E-2</v>
      </c>
      <c r="O2050" s="1319"/>
      <c r="P2050" s="1319"/>
      <c r="Q2050" s="35">
        <v>45310</v>
      </c>
      <c r="R2050" s="36">
        <v>4.1500000000000002E-2</v>
      </c>
      <c r="S2050" s="37">
        <v>4.0800000000000003E-2</v>
      </c>
    </row>
    <row r="2051" spans="1:19" x14ac:dyDescent="0.2">
      <c r="A2051" s="1"/>
      <c r="B2051" s="13">
        <v>42739</v>
      </c>
      <c r="C2051" s="14">
        <v>45.05</v>
      </c>
      <c r="D2051" s="15">
        <v>193547</v>
      </c>
      <c r="E2051" s="14">
        <v>45.25</v>
      </c>
      <c r="F2051" s="14">
        <v>45.5</v>
      </c>
      <c r="G2051" s="16">
        <v>43.9</v>
      </c>
      <c r="H2051" s="69">
        <f t="shared" si="47"/>
        <v>3.3407572383072903E-3</v>
      </c>
      <c r="O2051" s="1319"/>
      <c r="P2051" s="1319"/>
      <c r="Q2051" s="35">
        <v>45313</v>
      </c>
      <c r="R2051" s="36">
        <v>4.1100000000000005E-2</v>
      </c>
      <c r="S2051" s="37">
        <v>4.0300000000000002E-2</v>
      </c>
    </row>
    <row r="2052" spans="1:19" x14ac:dyDescent="0.2">
      <c r="A2052" s="1"/>
      <c r="B2052" s="13">
        <v>42738</v>
      </c>
      <c r="C2052" s="14">
        <v>44.9</v>
      </c>
      <c r="D2052" s="15">
        <v>404215</v>
      </c>
      <c r="E2052" s="14">
        <v>44.6</v>
      </c>
      <c r="F2052" s="14">
        <v>45.2</v>
      </c>
      <c r="G2052" s="16">
        <v>44.4</v>
      </c>
      <c r="H2052" s="69">
        <f t="shared" si="47"/>
        <v>1.6987542468856143E-2</v>
      </c>
      <c r="O2052" s="1319"/>
      <c r="P2052" s="1319"/>
      <c r="Q2052" s="35">
        <v>45314</v>
      </c>
      <c r="R2052" s="36">
        <v>4.1399999999999999E-2</v>
      </c>
      <c r="S2052" s="37">
        <v>4.0599999999999997E-2</v>
      </c>
    </row>
    <row r="2053" spans="1:19" x14ac:dyDescent="0.2">
      <c r="A2053" s="1"/>
      <c r="B2053" s="13">
        <v>42734</v>
      </c>
      <c r="C2053" s="14">
        <v>44.15</v>
      </c>
      <c r="D2053" s="15">
        <v>122186</v>
      </c>
      <c r="E2053" s="14">
        <v>44.85</v>
      </c>
      <c r="F2053" s="14">
        <v>45.9</v>
      </c>
      <c r="G2053" s="16">
        <v>43.9</v>
      </c>
      <c r="H2053" s="69">
        <f t="shared" si="47"/>
        <v>-1.1198208286674172E-2</v>
      </c>
      <c r="O2053" s="1319"/>
      <c r="P2053" s="1319"/>
      <c r="Q2053" s="35">
        <v>45315</v>
      </c>
      <c r="R2053" s="36">
        <v>4.1799999999999997E-2</v>
      </c>
      <c r="S2053" s="37">
        <v>4.0599999999999997E-2</v>
      </c>
    </row>
    <row r="2054" spans="1:19" x14ac:dyDescent="0.2">
      <c r="A2054" s="1"/>
      <c r="B2054" s="13">
        <v>42733</v>
      </c>
      <c r="C2054" s="14">
        <v>44.65</v>
      </c>
      <c r="D2054" s="15">
        <v>81389</v>
      </c>
      <c r="E2054" s="14">
        <v>44.65</v>
      </c>
      <c r="F2054" s="14">
        <v>45.1</v>
      </c>
      <c r="G2054" s="16">
        <v>44.4</v>
      </c>
      <c r="H2054" s="69">
        <f t="shared" si="47"/>
        <v>-1.1185682326623203E-3</v>
      </c>
      <c r="O2054" s="1319"/>
      <c r="P2054" s="1319"/>
      <c r="Q2054" s="35">
        <v>45316</v>
      </c>
      <c r="R2054" s="36">
        <v>4.1399999999999999E-2</v>
      </c>
      <c r="S2054" s="37">
        <v>4.0099999999999997E-2</v>
      </c>
    </row>
    <row r="2055" spans="1:19" x14ac:dyDescent="0.2">
      <c r="A2055" s="1"/>
      <c r="B2055" s="13">
        <v>42732</v>
      </c>
      <c r="C2055" s="14">
        <v>44.7</v>
      </c>
      <c r="D2055" s="15">
        <v>132835</v>
      </c>
      <c r="E2055" s="14">
        <v>45.45</v>
      </c>
      <c r="F2055" s="14">
        <v>45.45</v>
      </c>
      <c r="G2055" s="16">
        <v>44.3</v>
      </c>
      <c r="H2055" s="69">
        <f t="shared" si="47"/>
        <v>-1.6501650165016479E-2</v>
      </c>
      <c r="O2055" s="1319"/>
      <c r="P2055" s="1319"/>
      <c r="Q2055" s="35">
        <v>45317</v>
      </c>
      <c r="R2055" s="36">
        <v>4.1500000000000002E-2</v>
      </c>
      <c r="S2055" s="37">
        <v>4.0399999999999998E-2</v>
      </c>
    </row>
    <row r="2056" spans="1:19" x14ac:dyDescent="0.2">
      <c r="A2056" s="1"/>
      <c r="B2056" s="13">
        <v>42731</v>
      </c>
      <c r="C2056" s="14">
        <v>45.45</v>
      </c>
      <c r="D2056" s="15">
        <v>107090</v>
      </c>
      <c r="E2056" s="14">
        <v>44.85</v>
      </c>
      <c r="F2056" s="14">
        <v>45.895000000000003</v>
      </c>
      <c r="G2056" s="16">
        <v>44.75</v>
      </c>
      <c r="H2056" s="69">
        <f t="shared" si="47"/>
        <v>1.0000000000000009E-2</v>
      </c>
      <c r="O2056" s="1319"/>
      <c r="P2056" s="1319"/>
      <c r="Q2056" s="35">
        <v>45320</v>
      </c>
      <c r="R2056" s="36">
        <v>4.0800000000000003E-2</v>
      </c>
      <c r="S2056" s="37">
        <v>3.9699999999999999E-2</v>
      </c>
    </row>
    <row r="2057" spans="1:19" x14ac:dyDescent="0.2">
      <c r="A2057" s="1"/>
      <c r="B2057" s="13">
        <v>42727</v>
      </c>
      <c r="C2057" s="14">
        <v>45</v>
      </c>
      <c r="D2057" s="15">
        <v>131182</v>
      </c>
      <c r="E2057" s="14">
        <v>45</v>
      </c>
      <c r="F2057" s="14">
        <v>45.35</v>
      </c>
      <c r="G2057" s="16">
        <v>44.45</v>
      </c>
      <c r="H2057" s="69">
        <f t="shared" si="47"/>
        <v>2.2271714922048602E-3</v>
      </c>
      <c r="O2057" s="1319"/>
      <c r="P2057" s="1319"/>
      <c r="Q2057" s="35">
        <v>45321</v>
      </c>
      <c r="R2057" s="36">
        <v>4.0599999999999997E-2</v>
      </c>
      <c r="S2057" s="37">
        <v>0.04</v>
      </c>
    </row>
    <row r="2058" spans="1:19" x14ac:dyDescent="0.2">
      <c r="A2058" s="1"/>
      <c r="B2058" s="13">
        <v>42726</v>
      </c>
      <c r="C2058" s="14">
        <v>44.9</v>
      </c>
      <c r="D2058" s="15">
        <v>163646</v>
      </c>
      <c r="E2058" s="14">
        <v>45.95</v>
      </c>
      <c r="F2058" s="14">
        <v>46.4</v>
      </c>
      <c r="G2058" s="16">
        <v>44.9</v>
      </c>
      <c r="H2058" s="69">
        <f t="shared" si="47"/>
        <v>-2.0719738276990252E-2</v>
      </c>
      <c r="O2058" s="1319"/>
      <c r="P2058" s="1319"/>
      <c r="Q2058" s="35">
        <v>45322</v>
      </c>
      <c r="R2058" s="36">
        <v>3.9900000000000005E-2</v>
      </c>
      <c r="S2058" s="37">
        <v>3.9100000000000003E-2</v>
      </c>
    </row>
    <row r="2059" spans="1:19" x14ac:dyDescent="0.2">
      <c r="A2059" s="1"/>
      <c r="B2059" s="13">
        <v>42725</v>
      </c>
      <c r="C2059" s="14">
        <v>45.85</v>
      </c>
      <c r="D2059" s="15">
        <v>147840</v>
      </c>
      <c r="E2059" s="14">
        <v>46.2</v>
      </c>
      <c r="F2059" s="14">
        <v>46.5</v>
      </c>
      <c r="G2059" s="16">
        <v>45.6</v>
      </c>
      <c r="H2059" s="69">
        <f t="shared" si="47"/>
        <v>-1.1853448275861989E-2</v>
      </c>
      <c r="O2059" s="1319"/>
      <c r="P2059" s="1319"/>
      <c r="Q2059" s="35">
        <v>45323</v>
      </c>
      <c r="R2059" s="36">
        <v>3.8699999999999998E-2</v>
      </c>
      <c r="S2059" s="37">
        <v>3.7999999999999999E-2</v>
      </c>
    </row>
    <row r="2060" spans="1:19" x14ac:dyDescent="0.2">
      <c r="A2060" s="1"/>
      <c r="B2060" s="13">
        <v>42724</v>
      </c>
      <c r="C2060" s="14">
        <v>46.4</v>
      </c>
      <c r="D2060" s="15">
        <v>127097</v>
      </c>
      <c r="E2060" s="14">
        <v>46.65</v>
      </c>
      <c r="F2060" s="14">
        <v>46.9</v>
      </c>
      <c r="G2060" s="16">
        <v>46.05</v>
      </c>
      <c r="H2060" s="69">
        <f t="shared" si="47"/>
        <v>3.2432432432432101E-3</v>
      </c>
      <c r="O2060" s="1319"/>
      <c r="P2060" s="1319"/>
      <c r="Q2060" s="35">
        <v>45324</v>
      </c>
      <c r="R2060" s="36">
        <v>4.0300000000000002E-2</v>
      </c>
      <c r="S2060" s="37">
        <v>3.9900000000000005E-2</v>
      </c>
    </row>
    <row r="2061" spans="1:19" x14ac:dyDescent="0.2">
      <c r="A2061" s="1"/>
      <c r="B2061" s="13">
        <v>42723</v>
      </c>
      <c r="C2061" s="14">
        <v>46.25</v>
      </c>
      <c r="D2061" s="15">
        <v>197069</v>
      </c>
      <c r="E2061" s="14">
        <v>46.65</v>
      </c>
      <c r="F2061" s="14">
        <v>47.15</v>
      </c>
      <c r="G2061" s="16">
        <v>45.95</v>
      </c>
      <c r="H2061" s="69">
        <f t="shared" si="47"/>
        <v>-8.5744908896033811E-3</v>
      </c>
      <c r="O2061" s="1319"/>
      <c r="P2061" s="1319"/>
      <c r="Q2061" s="35">
        <v>45327</v>
      </c>
      <c r="R2061" s="36">
        <v>4.1700000000000001E-2</v>
      </c>
      <c r="S2061" s="37">
        <v>4.1299999999999996E-2</v>
      </c>
    </row>
    <row r="2062" spans="1:19" x14ac:dyDescent="0.2">
      <c r="A2062" s="1"/>
      <c r="B2062" s="13">
        <v>42720</v>
      </c>
      <c r="C2062" s="14">
        <v>46.65</v>
      </c>
      <c r="D2062" s="15">
        <v>852911</v>
      </c>
      <c r="E2062" s="14">
        <v>48.45</v>
      </c>
      <c r="F2062" s="14">
        <v>48.590800000000002</v>
      </c>
      <c r="G2062" s="16">
        <v>46.6</v>
      </c>
      <c r="H2062" s="69">
        <f t="shared" si="47"/>
        <v>-2.3036649214659755E-2</v>
      </c>
      <c r="O2062" s="1319"/>
      <c r="P2062" s="1319"/>
      <c r="Q2062" s="35">
        <v>45328</v>
      </c>
      <c r="R2062" s="36">
        <v>4.0899999999999999E-2</v>
      </c>
      <c r="S2062" s="37">
        <v>4.0300000000000002E-2</v>
      </c>
    </row>
    <row r="2063" spans="1:19" x14ac:dyDescent="0.2">
      <c r="A2063" s="1"/>
      <c r="B2063" s="13">
        <v>42719</v>
      </c>
      <c r="C2063" s="14">
        <v>47.75</v>
      </c>
      <c r="D2063" s="15">
        <v>405314</v>
      </c>
      <c r="E2063" s="14">
        <v>46.55</v>
      </c>
      <c r="F2063" s="14">
        <v>48.05</v>
      </c>
      <c r="G2063" s="16">
        <v>46</v>
      </c>
      <c r="H2063" s="69">
        <f t="shared" si="47"/>
        <v>2.6881720430107503E-2</v>
      </c>
      <c r="O2063" s="1319"/>
      <c r="P2063" s="1319"/>
      <c r="Q2063" s="35">
        <v>45329</v>
      </c>
      <c r="R2063" s="36">
        <v>4.0899999999999999E-2</v>
      </c>
      <c r="S2063" s="37">
        <v>4.0599999999999997E-2</v>
      </c>
    </row>
    <row r="2064" spans="1:19" x14ac:dyDescent="0.2">
      <c r="A2064" s="1"/>
      <c r="B2064" s="13">
        <v>42718</v>
      </c>
      <c r="C2064" s="14">
        <v>46.5</v>
      </c>
      <c r="D2064" s="15">
        <v>403206</v>
      </c>
      <c r="E2064" s="14">
        <v>45.7</v>
      </c>
      <c r="F2064" s="14">
        <v>47.3</v>
      </c>
      <c r="G2064" s="16">
        <v>45.35</v>
      </c>
      <c r="H2064" s="69">
        <f t="shared" si="47"/>
        <v>1.196953210010876E-2</v>
      </c>
      <c r="O2064" s="1319"/>
      <c r="P2064" s="1319"/>
      <c r="Q2064" s="35">
        <v>45330</v>
      </c>
      <c r="R2064" s="36">
        <v>4.1500000000000002E-2</v>
      </c>
      <c r="S2064" s="37">
        <v>4.1200000000000001E-2</v>
      </c>
    </row>
    <row r="2065" spans="1:19" x14ac:dyDescent="0.2">
      <c r="A2065" s="1"/>
      <c r="B2065" s="13">
        <v>42717</v>
      </c>
      <c r="C2065" s="14">
        <v>45.95</v>
      </c>
      <c r="D2065" s="15">
        <v>381711</v>
      </c>
      <c r="E2065" s="14">
        <v>47.6</v>
      </c>
      <c r="F2065" s="14">
        <v>47.65</v>
      </c>
      <c r="G2065" s="16">
        <v>45.05</v>
      </c>
      <c r="H2065" s="69">
        <f t="shared" si="47"/>
        <v>-2.9567053854276604E-2</v>
      </c>
      <c r="O2065" s="1319"/>
      <c r="P2065" s="1319"/>
      <c r="Q2065" s="35">
        <v>45331</v>
      </c>
      <c r="R2065" s="36">
        <v>4.1700000000000001E-2</v>
      </c>
      <c r="S2065" s="37">
        <v>4.1399999999999999E-2</v>
      </c>
    </row>
    <row r="2066" spans="1:19" x14ac:dyDescent="0.2">
      <c r="A2066" s="1"/>
      <c r="B2066" s="13">
        <v>42716</v>
      </c>
      <c r="C2066" s="14">
        <v>47.35</v>
      </c>
      <c r="D2066" s="15">
        <v>207554</v>
      </c>
      <c r="E2066" s="14">
        <v>47.6</v>
      </c>
      <c r="F2066" s="14">
        <v>47.6</v>
      </c>
      <c r="G2066" s="16">
        <v>46.85</v>
      </c>
      <c r="H2066" s="69">
        <f t="shared" si="47"/>
        <v>-4.2060988433226809E-3</v>
      </c>
      <c r="O2066" s="1319"/>
      <c r="P2066" s="1319"/>
      <c r="Q2066" s="35">
        <v>45334</v>
      </c>
      <c r="R2066" s="36">
        <v>4.1700000000000001E-2</v>
      </c>
      <c r="S2066" s="37">
        <v>4.1299999999999996E-2</v>
      </c>
    </row>
    <row r="2067" spans="1:19" x14ac:dyDescent="0.2">
      <c r="A2067" s="1"/>
      <c r="B2067" s="13">
        <v>42713</v>
      </c>
      <c r="C2067" s="14">
        <v>47.55</v>
      </c>
      <c r="D2067" s="15">
        <v>285991</v>
      </c>
      <c r="E2067" s="14">
        <v>47.8</v>
      </c>
      <c r="F2067" s="14">
        <v>48.85</v>
      </c>
      <c r="G2067" s="16">
        <v>47.3</v>
      </c>
      <c r="H2067" s="69">
        <f t="shared" si="47"/>
        <v>-5.2301255230126076E-3</v>
      </c>
      <c r="O2067" s="1319"/>
      <c r="P2067" s="1319"/>
      <c r="Q2067" s="35">
        <v>45335</v>
      </c>
      <c r="R2067" s="36">
        <v>4.3099999999999999E-2</v>
      </c>
      <c r="S2067" s="37">
        <v>4.3099999999999999E-2</v>
      </c>
    </row>
    <row r="2068" spans="1:19" x14ac:dyDescent="0.2">
      <c r="A2068" s="1"/>
      <c r="B2068" s="13">
        <v>42712</v>
      </c>
      <c r="C2068" s="14">
        <v>47.8</v>
      </c>
      <c r="D2068" s="15">
        <v>318856</v>
      </c>
      <c r="E2068" s="14">
        <v>46.85</v>
      </c>
      <c r="F2068" s="14">
        <v>48.15</v>
      </c>
      <c r="G2068" s="16">
        <v>46.325000000000003</v>
      </c>
      <c r="H2068" s="69">
        <f t="shared" si="47"/>
        <v>2.3554603854389677E-2</v>
      </c>
      <c r="O2068" s="1319"/>
      <c r="P2068" s="1319"/>
      <c r="Q2068" s="35">
        <v>45336</v>
      </c>
      <c r="R2068" s="36">
        <v>4.2699999999999995E-2</v>
      </c>
      <c r="S2068" s="37">
        <v>4.2500000000000003E-2</v>
      </c>
    </row>
    <row r="2069" spans="1:19" x14ac:dyDescent="0.2">
      <c r="A2069" s="1"/>
      <c r="B2069" s="13">
        <v>42711</v>
      </c>
      <c r="C2069" s="14">
        <v>46.7</v>
      </c>
      <c r="D2069" s="15">
        <v>308476</v>
      </c>
      <c r="E2069" s="14">
        <v>45.2</v>
      </c>
      <c r="F2069" s="14">
        <v>47.424999999999997</v>
      </c>
      <c r="G2069" s="16">
        <v>44.85</v>
      </c>
      <c r="H2069" s="69">
        <f t="shared" si="47"/>
        <v>2.9768467475193017E-2</v>
      </c>
      <c r="O2069" s="1319"/>
      <c r="P2069" s="1319"/>
      <c r="Q2069" s="35">
        <v>45337</v>
      </c>
      <c r="R2069" s="36">
        <v>4.24E-2</v>
      </c>
      <c r="S2069" s="37">
        <v>4.2199999999999994E-2</v>
      </c>
    </row>
    <row r="2070" spans="1:19" x14ac:dyDescent="0.2">
      <c r="A2070" s="1"/>
      <c r="B2070" s="13">
        <v>42710</v>
      </c>
      <c r="C2070" s="14">
        <v>45.35</v>
      </c>
      <c r="D2070" s="15">
        <v>214651</v>
      </c>
      <c r="E2070" s="14">
        <v>44.1</v>
      </c>
      <c r="F2070" s="14">
        <v>45.5</v>
      </c>
      <c r="G2070" s="16">
        <v>43.4</v>
      </c>
      <c r="H2070" s="69">
        <f t="shared" si="47"/>
        <v>2.9511918274687909E-2</v>
      </c>
      <c r="O2070" s="1319"/>
      <c r="P2070" s="1319"/>
      <c r="Q2070" s="35">
        <v>45338</v>
      </c>
      <c r="R2070" s="36">
        <v>4.2999999999999997E-2</v>
      </c>
      <c r="S2070" s="37">
        <v>4.2900000000000001E-2</v>
      </c>
    </row>
    <row r="2071" spans="1:19" x14ac:dyDescent="0.2">
      <c r="A2071" s="1"/>
      <c r="B2071" s="13">
        <v>42709</v>
      </c>
      <c r="C2071" s="14">
        <v>44.05</v>
      </c>
      <c r="D2071" s="15">
        <v>190562</v>
      </c>
      <c r="E2071" s="14">
        <v>43.85</v>
      </c>
      <c r="F2071" s="14">
        <v>44.2</v>
      </c>
      <c r="G2071" s="16">
        <v>43.25</v>
      </c>
      <c r="H2071" s="69">
        <f t="shared" si="47"/>
        <v>1.1481056257175659E-2</v>
      </c>
      <c r="O2071" s="1319"/>
      <c r="P2071" s="1319"/>
      <c r="Q2071" s="35">
        <v>45342</v>
      </c>
      <c r="R2071" s="36">
        <v>4.2699999999999995E-2</v>
      </c>
      <c r="S2071" s="37">
        <v>4.2500000000000003E-2</v>
      </c>
    </row>
    <row r="2072" spans="1:19" x14ac:dyDescent="0.2">
      <c r="A2072" s="1"/>
      <c r="B2072" s="13">
        <v>42706</v>
      </c>
      <c r="C2072" s="14">
        <v>43.55</v>
      </c>
      <c r="D2072" s="15">
        <v>131037</v>
      </c>
      <c r="E2072" s="14">
        <v>43.3</v>
      </c>
      <c r="F2072" s="14">
        <v>44.05</v>
      </c>
      <c r="G2072" s="16">
        <v>42.9</v>
      </c>
      <c r="H2072" s="69">
        <f t="shared" si="47"/>
        <v>1.0440835266821269E-2</v>
      </c>
      <c r="O2072" s="1319"/>
      <c r="P2072" s="1319"/>
      <c r="Q2072" s="35">
        <v>45343</v>
      </c>
      <c r="R2072" s="36">
        <v>4.3200000000000002E-2</v>
      </c>
      <c r="S2072" s="37">
        <v>4.2999999999999997E-2</v>
      </c>
    </row>
    <row r="2073" spans="1:19" x14ac:dyDescent="0.2">
      <c r="A2073" s="1"/>
      <c r="B2073" s="13">
        <v>42705</v>
      </c>
      <c r="C2073" s="14">
        <v>43.1</v>
      </c>
      <c r="D2073" s="15">
        <v>233154</v>
      </c>
      <c r="E2073" s="14">
        <v>41.95</v>
      </c>
      <c r="F2073" s="14">
        <v>43.2</v>
      </c>
      <c r="G2073" s="16">
        <v>41.95</v>
      </c>
      <c r="H2073" s="69">
        <f t="shared" si="47"/>
        <v>3.2335329341317331E-2</v>
      </c>
      <c r="O2073" s="1319"/>
      <c r="P2073" s="1319"/>
      <c r="Q2073" s="35">
        <v>45344</v>
      </c>
      <c r="R2073" s="36">
        <v>4.3299999999999998E-2</v>
      </c>
      <c r="S2073" s="37">
        <v>4.3299999999999998E-2</v>
      </c>
    </row>
    <row r="2074" spans="1:19" x14ac:dyDescent="0.2">
      <c r="A2074" s="1"/>
      <c r="B2074" s="13">
        <v>42704</v>
      </c>
      <c r="C2074" s="14">
        <v>41.75</v>
      </c>
      <c r="D2074" s="15">
        <v>172019</v>
      </c>
      <c r="E2074" s="14">
        <v>42.1</v>
      </c>
      <c r="F2074" s="14">
        <v>42.8</v>
      </c>
      <c r="G2074" s="16">
        <v>41.534199999999998</v>
      </c>
      <c r="H2074" s="69">
        <f t="shared" si="47"/>
        <v>1.1990407673860837E-3</v>
      </c>
      <c r="O2074" s="1319"/>
      <c r="P2074" s="1319"/>
      <c r="Q2074" s="35">
        <v>45345</v>
      </c>
      <c r="R2074" s="36">
        <v>4.2599999999999999E-2</v>
      </c>
      <c r="S2074" s="37">
        <v>4.2800000000000005E-2</v>
      </c>
    </row>
    <row r="2075" spans="1:19" x14ac:dyDescent="0.2">
      <c r="A2075" s="1"/>
      <c r="B2075" s="13">
        <v>42703</v>
      </c>
      <c r="C2075" s="14">
        <v>41.7</v>
      </c>
      <c r="D2075" s="15">
        <v>161415</v>
      </c>
      <c r="E2075" s="14">
        <v>41.8</v>
      </c>
      <c r="F2075" s="14">
        <v>42.25</v>
      </c>
      <c r="G2075" s="16">
        <v>41.6</v>
      </c>
      <c r="H2075" s="69">
        <f t="shared" si="47"/>
        <v>-7.1428571428571175E-3</v>
      </c>
      <c r="O2075" s="1319"/>
      <c r="P2075" s="1319"/>
      <c r="Q2075" s="35">
        <v>45348</v>
      </c>
      <c r="R2075" s="36">
        <v>4.2800000000000005E-2</v>
      </c>
      <c r="S2075" s="37">
        <v>4.2900000000000001E-2</v>
      </c>
    </row>
    <row r="2076" spans="1:19" x14ac:dyDescent="0.2">
      <c r="A2076" s="1"/>
      <c r="B2076" s="13">
        <v>42702</v>
      </c>
      <c r="C2076" s="14">
        <v>42</v>
      </c>
      <c r="D2076" s="15">
        <v>124257</v>
      </c>
      <c r="E2076" s="14">
        <v>42.3</v>
      </c>
      <c r="F2076" s="14">
        <v>42.35</v>
      </c>
      <c r="G2076" s="16">
        <v>41.5</v>
      </c>
      <c r="H2076" s="69">
        <f t="shared" si="47"/>
        <v>-9.4339622641509413E-3</v>
      </c>
      <c r="O2076" s="1319"/>
      <c r="P2076" s="1319"/>
      <c r="Q2076" s="35">
        <v>45349</v>
      </c>
      <c r="R2076" s="36">
        <v>4.3099999999999999E-2</v>
      </c>
      <c r="S2076" s="37">
        <v>4.3200000000000002E-2</v>
      </c>
    </row>
    <row r="2077" spans="1:19" x14ac:dyDescent="0.2">
      <c r="A2077" s="1"/>
      <c r="B2077" s="13">
        <v>42699</v>
      </c>
      <c r="C2077" s="14">
        <v>42.4</v>
      </c>
      <c r="D2077" s="15">
        <v>60674</v>
      </c>
      <c r="E2077" s="14">
        <v>42.3</v>
      </c>
      <c r="F2077" s="14">
        <v>42.65</v>
      </c>
      <c r="G2077" s="16">
        <v>41.5</v>
      </c>
      <c r="H2077" s="69">
        <f t="shared" si="47"/>
        <v>1.1806375442737771E-3</v>
      </c>
      <c r="O2077" s="1319"/>
      <c r="P2077" s="1319"/>
      <c r="Q2077" s="35">
        <v>45350</v>
      </c>
      <c r="R2077" s="36">
        <v>4.2699999999999995E-2</v>
      </c>
      <c r="S2077" s="37">
        <v>4.2599999999999999E-2</v>
      </c>
    </row>
    <row r="2078" spans="1:19" x14ac:dyDescent="0.2">
      <c r="A2078" s="1"/>
      <c r="B2078" s="13">
        <v>42697</v>
      </c>
      <c r="C2078" s="14">
        <v>42.35</v>
      </c>
      <c r="D2078" s="15">
        <v>193434</v>
      </c>
      <c r="E2078" s="14">
        <v>41.4</v>
      </c>
      <c r="F2078" s="14">
        <v>42.9</v>
      </c>
      <c r="G2078" s="16">
        <v>41.3</v>
      </c>
      <c r="H2078" s="69">
        <f t="shared" si="47"/>
        <v>2.5423728813559476E-2</v>
      </c>
      <c r="O2078" s="1319"/>
      <c r="P2078" s="1319"/>
      <c r="Q2078" s="35">
        <v>45351</v>
      </c>
      <c r="R2078" s="36">
        <v>4.2500000000000003E-2</v>
      </c>
      <c r="S2078" s="37">
        <v>4.2599999999999999E-2</v>
      </c>
    </row>
    <row r="2079" spans="1:19" x14ac:dyDescent="0.2">
      <c r="A2079" s="1"/>
      <c r="B2079" s="13">
        <v>42696</v>
      </c>
      <c r="C2079" s="14">
        <v>41.3</v>
      </c>
      <c r="D2079" s="15">
        <v>164232</v>
      </c>
      <c r="E2079" s="14">
        <v>41</v>
      </c>
      <c r="F2079" s="14">
        <v>41.45</v>
      </c>
      <c r="G2079" s="16">
        <v>40.9</v>
      </c>
      <c r="H2079" s="69">
        <f t="shared" si="47"/>
        <v>7.3170731707317138E-3</v>
      </c>
      <c r="O2079" s="1319"/>
      <c r="P2079" s="1319"/>
      <c r="Q2079" s="35">
        <v>45352</v>
      </c>
      <c r="R2079" s="36">
        <v>4.1900000000000007E-2</v>
      </c>
      <c r="S2079" s="37">
        <v>4.1700000000000001E-2</v>
      </c>
    </row>
    <row r="2080" spans="1:19" x14ac:dyDescent="0.2">
      <c r="A2080" s="1"/>
      <c r="B2080" s="13">
        <v>42695</v>
      </c>
      <c r="C2080" s="14">
        <v>41</v>
      </c>
      <c r="D2080" s="15">
        <v>271491</v>
      </c>
      <c r="E2080" s="14">
        <v>41</v>
      </c>
      <c r="F2080" s="14">
        <v>41.35</v>
      </c>
      <c r="G2080" s="16">
        <v>40.9</v>
      </c>
      <c r="H2080" s="69">
        <f t="shared" si="47"/>
        <v>-6.0938452163306067E-4</v>
      </c>
      <c r="O2080" s="1319"/>
      <c r="P2080" s="1319"/>
      <c r="Q2080" s="35">
        <v>45355</v>
      </c>
      <c r="R2080" s="36">
        <v>4.2199999999999994E-2</v>
      </c>
      <c r="S2080" s="37">
        <v>4.2099999999999999E-2</v>
      </c>
    </row>
    <row r="2081" spans="1:19" x14ac:dyDescent="0.2">
      <c r="A2081" s="1"/>
      <c r="B2081" s="13">
        <v>42692</v>
      </c>
      <c r="C2081" s="14">
        <v>41.024999999999999</v>
      </c>
      <c r="D2081" s="15">
        <v>343789</v>
      </c>
      <c r="E2081" s="14">
        <v>42</v>
      </c>
      <c r="F2081" s="14">
        <v>42.25</v>
      </c>
      <c r="G2081" s="16">
        <v>40.65</v>
      </c>
      <c r="H2081" s="69">
        <f t="shared" si="47"/>
        <v>-2.3214285714285743E-2</v>
      </c>
      <c r="O2081" s="1319"/>
      <c r="P2081" s="1319"/>
      <c r="Q2081" s="35">
        <v>45356</v>
      </c>
      <c r="R2081" s="36">
        <v>4.1299999999999996E-2</v>
      </c>
      <c r="S2081" s="37">
        <v>4.1299999999999996E-2</v>
      </c>
    </row>
    <row r="2082" spans="1:19" x14ac:dyDescent="0.2">
      <c r="A2082" s="1"/>
      <c r="B2082" s="13">
        <v>42691</v>
      </c>
      <c r="C2082" s="14">
        <v>42</v>
      </c>
      <c r="D2082" s="15">
        <v>260768</v>
      </c>
      <c r="E2082" s="14">
        <v>41.95</v>
      </c>
      <c r="F2082" s="14">
        <v>42.4</v>
      </c>
      <c r="G2082" s="16">
        <v>41.65</v>
      </c>
      <c r="H2082" s="69">
        <f t="shared" si="47"/>
        <v>1.1918951132299238E-3</v>
      </c>
      <c r="O2082" s="1319"/>
      <c r="P2082" s="1319"/>
      <c r="Q2082" s="35">
        <v>45357</v>
      </c>
      <c r="R2082" s="36">
        <v>4.1100000000000005E-2</v>
      </c>
      <c r="S2082" s="37">
        <v>4.1200000000000001E-2</v>
      </c>
    </row>
    <row r="2083" spans="1:19" x14ac:dyDescent="0.2">
      <c r="A2083" s="1"/>
      <c r="B2083" s="13">
        <v>42690</v>
      </c>
      <c r="C2083" s="14">
        <v>41.95</v>
      </c>
      <c r="D2083" s="15">
        <v>208402</v>
      </c>
      <c r="E2083" s="14">
        <v>41.55</v>
      </c>
      <c r="F2083" s="14">
        <v>42.55</v>
      </c>
      <c r="G2083" s="16">
        <v>41.55</v>
      </c>
      <c r="H2083" s="69">
        <f t="shared" si="47"/>
        <v>3.5885167464115852E-3</v>
      </c>
      <c r="O2083" s="1319"/>
      <c r="P2083" s="1319"/>
      <c r="Q2083" s="35">
        <v>45358</v>
      </c>
      <c r="R2083" s="36">
        <v>4.0899999999999999E-2</v>
      </c>
      <c r="S2083" s="37">
        <v>4.07E-2</v>
      </c>
    </row>
    <row r="2084" spans="1:19" x14ac:dyDescent="0.2">
      <c r="A2084" s="1"/>
      <c r="B2084" s="13">
        <v>42689</v>
      </c>
      <c r="C2084" s="14">
        <v>41.8</v>
      </c>
      <c r="D2084" s="15">
        <v>173475</v>
      </c>
      <c r="E2084" s="14">
        <v>41.8</v>
      </c>
      <c r="F2084" s="14">
        <v>42.05</v>
      </c>
      <c r="G2084" s="16">
        <v>41.4</v>
      </c>
      <c r="H2084" s="69">
        <f t="shared" si="47"/>
        <v>1.1976047904191933E-3</v>
      </c>
      <c r="O2084" s="1319"/>
      <c r="P2084" s="1319"/>
      <c r="Q2084" s="35">
        <v>45359</v>
      </c>
      <c r="R2084" s="36">
        <v>4.0899999999999999E-2</v>
      </c>
      <c r="S2084" s="37">
        <v>4.0599999999999997E-2</v>
      </c>
    </row>
    <row r="2085" spans="1:19" x14ac:dyDescent="0.2">
      <c r="A2085" s="1"/>
      <c r="B2085" s="13">
        <v>42688</v>
      </c>
      <c r="C2085" s="14">
        <v>41.75</v>
      </c>
      <c r="D2085" s="15">
        <v>260274</v>
      </c>
      <c r="E2085" s="14">
        <v>41.1</v>
      </c>
      <c r="F2085" s="14">
        <v>42.35</v>
      </c>
      <c r="G2085" s="16">
        <v>41.1</v>
      </c>
      <c r="H2085" s="69">
        <f t="shared" si="47"/>
        <v>2.9593094944513121E-2</v>
      </c>
      <c r="O2085" s="1319"/>
      <c r="P2085" s="1319"/>
      <c r="Q2085" s="35">
        <v>45362</v>
      </c>
      <c r="R2085" s="36">
        <v>4.0999999999999995E-2</v>
      </c>
      <c r="S2085" s="37">
        <v>4.0800000000000003E-2</v>
      </c>
    </row>
    <row r="2086" spans="1:19" x14ac:dyDescent="0.2">
      <c r="A2086" s="1"/>
      <c r="B2086" s="13">
        <v>42685</v>
      </c>
      <c r="C2086" s="14">
        <v>40.549999999999997</v>
      </c>
      <c r="D2086" s="15">
        <v>338792</v>
      </c>
      <c r="E2086" s="14">
        <v>40.200000000000003</v>
      </c>
      <c r="F2086" s="14">
        <v>41.45</v>
      </c>
      <c r="G2086" s="16">
        <v>39.85</v>
      </c>
      <c r="H2086" s="69">
        <f t="shared" si="47"/>
        <v>8.7064676616914749E-3</v>
      </c>
      <c r="O2086" s="1319"/>
      <c r="P2086" s="1319"/>
      <c r="Q2086" s="35">
        <v>45363</v>
      </c>
      <c r="R2086" s="36">
        <v>4.1599999999999998E-2</v>
      </c>
      <c r="S2086" s="37">
        <v>4.1500000000000002E-2</v>
      </c>
    </row>
    <row r="2087" spans="1:19" x14ac:dyDescent="0.2">
      <c r="A2087" s="1"/>
      <c r="B2087" s="13">
        <v>42684</v>
      </c>
      <c r="C2087" s="14">
        <v>40.200000000000003</v>
      </c>
      <c r="D2087" s="15">
        <v>369167</v>
      </c>
      <c r="E2087" s="14">
        <v>40.1</v>
      </c>
      <c r="F2087" s="14">
        <v>42</v>
      </c>
      <c r="G2087" s="16">
        <v>39.15</v>
      </c>
      <c r="H2087" s="69">
        <f t="shared" si="47"/>
        <v>1.643489254108732E-2</v>
      </c>
      <c r="O2087" s="1319"/>
      <c r="P2087" s="1319"/>
      <c r="Q2087" s="35">
        <v>45364</v>
      </c>
      <c r="R2087" s="36">
        <v>4.1900000000000007E-2</v>
      </c>
      <c r="S2087" s="37">
        <v>4.1900000000000007E-2</v>
      </c>
    </row>
    <row r="2088" spans="1:19" x14ac:dyDescent="0.2">
      <c r="A2088" s="1"/>
      <c r="B2088" s="13">
        <v>42683</v>
      </c>
      <c r="C2088" s="14">
        <v>39.549999999999997</v>
      </c>
      <c r="D2088" s="15">
        <v>225125</v>
      </c>
      <c r="E2088" s="14">
        <v>37.6</v>
      </c>
      <c r="F2088" s="14">
        <v>40.1</v>
      </c>
      <c r="G2088" s="16">
        <v>37.6</v>
      </c>
      <c r="H2088" s="69">
        <f t="shared" ref="H2088:H2151" si="48">C2088/C2089-1</f>
        <v>3.5340314136125484E-2</v>
      </c>
      <c r="O2088" s="1319"/>
      <c r="P2088" s="1319"/>
      <c r="Q2088" s="35">
        <v>45365</v>
      </c>
      <c r="R2088" s="36">
        <v>4.2900000000000001E-2</v>
      </c>
      <c r="S2088" s="37">
        <v>4.2900000000000001E-2</v>
      </c>
    </row>
    <row r="2089" spans="1:19" x14ac:dyDescent="0.2">
      <c r="A2089" s="1"/>
      <c r="B2089" s="13">
        <v>42682</v>
      </c>
      <c r="C2089" s="14">
        <v>38.200000000000003</v>
      </c>
      <c r="D2089" s="15">
        <v>328183</v>
      </c>
      <c r="E2089" s="14">
        <v>37.1</v>
      </c>
      <c r="F2089" s="14">
        <v>38.700000000000003</v>
      </c>
      <c r="G2089" s="16">
        <v>36.450000000000003</v>
      </c>
      <c r="H2089" s="69">
        <f t="shared" si="48"/>
        <v>2.1390374331550888E-2</v>
      </c>
      <c r="O2089" s="1319"/>
      <c r="P2089" s="1319"/>
      <c r="Q2089" s="35">
        <v>45366</v>
      </c>
      <c r="R2089" s="36">
        <v>4.3099999999999999E-2</v>
      </c>
      <c r="S2089" s="37">
        <v>4.3299999999999998E-2</v>
      </c>
    </row>
    <row r="2090" spans="1:19" x14ac:dyDescent="0.2">
      <c r="A2090" s="1"/>
      <c r="B2090" s="13">
        <v>42681</v>
      </c>
      <c r="C2090" s="14">
        <v>37.4</v>
      </c>
      <c r="D2090" s="15">
        <v>371157</v>
      </c>
      <c r="E2090" s="14">
        <v>35.700000000000003</v>
      </c>
      <c r="F2090" s="14">
        <v>37.5</v>
      </c>
      <c r="G2090" s="16">
        <v>35.299999999999997</v>
      </c>
      <c r="H2090" s="69">
        <f t="shared" si="48"/>
        <v>7.1633237822349649E-2</v>
      </c>
      <c r="O2090" s="1319"/>
      <c r="P2090" s="1319"/>
      <c r="Q2090" s="35">
        <v>45369</v>
      </c>
      <c r="R2090" s="36">
        <v>4.3400000000000001E-2</v>
      </c>
      <c r="S2090" s="37">
        <v>4.36E-2</v>
      </c>
    </row>
    <row r="2091" spans="1:19" x14ac:dyDescent="0.2">
      <c r="A2091" s="1"/>
      <c r="B2091" s="13">
        <v>42678</v>
      </c>
      <c r="C2091" s="14">
        <v>34.9</v>
      </c>
      <c r="D2091" s="15">
        <v>298177</v>
      </c>
      <c r="E2091" s="14">
        <v>35.299999999999997</v>
      </c>
      <c r="F2091" s="14">
        <v>36.049999999999997</v>
      </c>
      <c r="G2091" s="16">
        <v>34.75</v>
      </c>
      <c r="H2091" s="69">
        <f t="shared" si="48"/>
        <v>-1.1331444759206777E-2</v>
      </c>
      <c r="O2091" s="1319"/>
      <c r="P2091" s="1319"/>
      <c r="Q2091" s="35">
        <v>45370</v>
      </c>
      <c r="R2091" s="36">
        <v>4.2999999999999997E-2</v>
      </c>
      <c r="S2091" s="37">
        <v>4.3099999999999999E-2</v>
      </c>
    </row>
    <row r="2092" spans="1:19" x14ac:dyDescent="0.2">
      <c r="A2092" s="1"/>
      <c r="B2092" s="13">
        <v>42677</v>
      </c>
      <c r="C2092" s="14">
        <v>35.299999999999997</v>
      </c>
      <c r="D2092" s="15">
        <v>246211</v>
      </c>
      <c r="E2092" s="14">
        <v>35</v>
      </c>
      <c r="F2092" s="14">
        <v>35.950000000000003</v>
      </c>
      <c r="G2092" s="16">
        <v>34.75</v>
      </c>
      <c r="H2092" s="69">
        <f t="shared" si="48"/>
        <v>1.7291066282420609E-2</v>
      </c>
      <c r="O2092" s="1319"/>
      <c r="P2092" s="1319"/>
      <c r="Q2092" s="35">
        <v>45371</v>
      </c>
      <c r="R2092" s="36">
        <v>4.2699999999999995E-2</v>
      </c>
      <c r="S2092" s="37">
        <v>4.2500000000000003E-2</v>
      </c>
    </row>
    <row r="2093" spans="1:19" x14ac:dyDescent="0.2">
      <c r="A2093" s="1"/>
      <c r="B2093" s="13">
        <v>42676</v>
      </c>
      <c r="C2093" s="14">
        <v>34.700000000000003</v>
      </c>
      <c r="D2093" s="15">
        <v>182866</v>
      </c>
      <c r="E2093" s="14">
        <v>34.799999999999997</v>
      </c>
      <c r="F2093" s="14">
        <v>35.299999999999997</v>
      </c>
      <c r="G2093" s="16">
        <v>34.5</v>
      </c>
      <c r="H2093" s="69">
        <f t="shared" si="48"/>
        <v>-8.5714285714284522E-3</v>
      </c>
      <c r="O2093" s="1319"/>
      <c r="P2093" s="1319"/>
      <c r="Q2093" s="35">
        <v>45372</v>
      </c>
      <c r="R2093" s="36">
        <v>4.2699999999999995E-2</v>
      </c>
      <c r="S2093" s="37">
        <v>4.2599999999999999E-2</v>
      </c>
    </row>
    <row r="2094" spans="1:19" x14ac:dyDescent="0.2">
      <c r="A2094" s="1"/>
      <c r="B2094" s="13">
        <v>42675</v>
      </c>
      <c r="C2094" s="14">
        <v>35</v>
      </c>
      <c r="D2094" s="15">
        <v>241608</v>
      </c>
      <c r="E2094" s="14">
        <v>35.549999999999997</v>
      </c>
      <c r="F2094" s="14">
        <v>36</v>
      </c>
      <c r="G2094" s="16">
        <v>34.200000000000003</v>
      </c>
      <c r="H2094" s="69">
        <f t="shared" si="48"/>
        <v>-1.8232819074333717E-2</v>
      </c>
      <c r="O2094" s="1319"/>
      <c r="P2094" s="1319"/>
      <c r="Q2094" s="35">
        <v>45373</v>
      </c>
      <c r="R2094" s="36">
        <v>4.2199999999999994E-2</v>
      </c>
      <c r="S2094" s="37">
        <v>4.2000000000000003E-2</v>
      </c>
    </row>
    <row r="2095" spans="1:19" x14ac:dyDescent="0.2">
      <c r="A2095" s="1"/>
      <c r="B2095" s="13">
        <v>42674</v>
      </c>
      <c r="C2095" s="14">
        <v>35.65</v>
      </c>
      <c r="D2095" s="15">
        <v>237856</v>
      </c>
      <c r="E2095" s="14">
        <v>35.35</v>
      </c>
      <c r="F2095" s="14">
        <v>36.1</v>
      </c>
      <c r="G2095" s="16">
        <v>34.909999999999997</v>
      </c>
      <c r="H2095" s="69">
        <f t="shared" si="48"/>
        <v>4.2253521126760507E-3</v>
      </c>
      <c r="O2095" s="1319"/>
      <c r="P2095" s="1319"/>
      <c r="Q2095" s="35">
        <v>45376</v>
      </c>
      <c r="R2095" s="36">
        <v>4.2500000000000003E-2</v>
      </c>
      <c r="S2095" s="37">
        <v>4.2300000000000004E-2</v>
      </c>
    </row>
    <row r="2096" spans="1:19" x14ac:dyDescent="0.2">
      <c r="A2096" s="1"/>
      <c r="B2096" s="13">
        <v>42671</v>
      </c>
      <c r="C2096" s="14">
        <v>35.5</v>
      </c>
      <c r="D2096" s="15">
        <v>406769</v>
      </c>
      <c r="E2096" s="14">
        <v>34.85</v>
      </c>
      <c r="F2096" s="14">
        <v>35.549999999999997</v>
      </c>
      <c r="G2096" s="16">
        <v>34.299999999999997</v>
      </c>
      <c r="H2096" s="69">
        <f t="shared" si="48"/>
        <v>2.1582733812949728E-2</v>
      </c>
      <c r="O2096" s="1319"/>
      <c r="P2096" s="1319"/>
      <c r="Q2096" s="35">
        <v>45377</v>
      </c>
      <c r="R2096" s="36">
        <v>4.24E-2</v>
      </c>
      <c r="S2096" s="37">
        <v>4.2199999999999994E-2</v>
      </c>
    </row>
    <row r="2097" spans="1:19" x14ac:dyDescent="0.2">
      <c r="A2097" s="1"/>
      <c r="B2097" s="13">
        <v>42670</v>
      </c>
      <c r="C2097" s="14">
        <v>34.75</v>
      </c>
      <c r="D2097" s="15">
        <v>652077</v>
      </c>
      <c r="E2097" s="14">
        <v>33.85</v>
      </c>
      <c r="F2097" s="14">
        <v>35.5</v>
      </c>
      <c r="G2097" s="16">
        <v>33.549999999999997</v>
      </c>
      <c r="H2097" s="69">
        <f t="shared" si="48"/>
        <v>4.4327573253193142E-2</v>
      </c>
      <c r="O2097" s="1319"/>
      <c r="P2097" s="1319"/>
      <c r="Q2097" s="35">
        <v>45378</v>
      </c>
      <c r="R2097" s="36">
        <v>4.2000000000000003E-2</v>
      </c>
      <c r="S2097" s="37">
        <v>4.1799999999999997E-2</v>
      </c>
    </row>
    <row r="2098" spans="1:19" x14ac:dyDescent="0.2">
      <c r="A2098" s="1"/>
      <c r="B2098" s="13">
        <v>42669</v>
      </c>
      <c r="C2098" s="14">
        <v>33.274999999999999</v>
      </c>
      <c r="D2098" s="15">
        <v>705446</v>
      </c>
      <c r="E2098" s="14">
        <v>31.9</v>
      </c>
      <c r="F2098" s="14">
        <v>34.024999999999999</v>
      </c>
      <c r="G2098" s="16">
        <v>31</v>
      </c>
      <c r="H2098" s="69">
        <f t="shared" si="48"/>
        <v>0.14150943396226423</v>
      </c>
      <c r="O2098" s="1319"/>
      <c r="P2098" s="1319"/>
      <c r="Q2098" s="35">
        <v>45379</v>
      </c>
      <c r="R2098" s="36">
        <v>4.2000000000000003E-2</v>
      </c>
      <c r="S2098" s="37">
        <v>4.2099999999999999E-2</v>
      </c>
    </row>
    <row r="2099" spans="1:19" x14ac:dyDescent="0.2">
      <c r="A2099" s="1"/>
      <c r="B2099" s="13">
        <v>42668</v>
      </c>
      <c r="C2099" s="14">
        <v>29.15</v>
      </c>
      <c r="D2099" s="15">
        <v>195668</v>
      </c>
      <c r="E2099" s="14">
        <v>29.65</v>
      </c>
      <c r="F2099" s="14">
        <v>30</v>
      </c>
      <c r="G2099" s="16">
        <v>29</v>
      </c>
      <c r="H2099" s="69">
        <f t="shared" si="48"/>
        <v>-2.1812080536912859E-2</v>
      </c>
      <c r="O2099" s="1319"/>
      <c r="P2099" s="1319"/>
      <c r="Q2099" s="35">
        <v>45383</v>
      </c>
      <c r="R2099" s="36">
        <v>4.3299999999999998E-2</v>
      </c>
      <c r="S2099" s="37">
        <v>4.3400000000000001E-2</v>
      </c>
    </row>
    <row r="2100" spans="1:19" x14ac:dyDescent="0.2">
      <c r="A2100" s="1"/>
      <c r="B2100" s="13">
        <v>42667</v>
      </c>
      <c r="C2100" s="14">
        <v>29.8</v>
      </c>
      <c r="D2100" s="15">
        <v>99110</v>
      </c>
      <c r="E2100" s="14">
        <v>29.45</v>
      </c>
      <c r="F2100" s="14">
        <v>29.9</v>
      </c>
      <c r="G2100" s="16">
        <v>29.2</v>
      </c>
      <c r="H2100" s="69">
        <f t="shared" si="48"/>
        <v>1.7412086036189933E-2</v>
      </c>
      <c r="O2100" s="1319"/>
      <c r="P2100" s="1319"/>
      <c r="Q2100" s="35">
        <v>45384</v>
      </c>
      <c r="R2100" s="36">
        <v>4.36E-2</v>
      </c>
      <c r="S2100" s="37">
        <v>4.3499999999999997E-2</v>
      </c>
    </row>
    <row r="2101" spans="1:19" x14ac:dyDescent="0.2">
      <c r="A2101" s="1"/>
      <c r="B2101" s="13">
        <v>42664</v>
      </c>
      <c r="C2101" s="14">
        <v>29.29</v>
      </c>
      <c r="D2101" s="15">
        <v>99797</v>
      </c>
      <c r="E2101" s="14">
        <v>28.76</v>
      </c>
      <c r="F2101" s="14">
        <v>29.45</v>
      </c>
      <c r="G2101" s="16">
        <v>28.57</v>
      </c>
      <c r="H2101" s="69">
        <f t="shared" si="48"/>
        <v>9.6518441916579878E-3</v>
      </c>
      <c r="O2101" s="1319"/>
      <c r="P2101" s="1319"/>
      <c r="Q2101" s="35">
        <v>45385</v>
      </c>
      <c r="R2101" s="36">
        <v>4.36E-2</v>
      </c>
      <c r="S2101" s="37">
        <v>4.3400000000000001E-2</v>
      </c>
    </row>
    <row r="2102" spans="1:19" x14ac:dyDescent="0.2">
      <c r="A2102" s="1"/>
      <c r="B2102" s="13">
        <v>42663</v>
      </c>
      <c r="C2102" s="14">
        <v>29.01</v>
      </c>
      <c r="D2102" s="15">
        <v>101234</v>
      </c>
      <c r="E2102" s="14">
        <v>28.82</v>
      </c>
      <c r="F2102" s="14">
        <v>29.2499</v>
      </c>
      <c r="G2102" s="16">
        <v>28.82</v>
      </c>
      <c r="H2102" s="69">
        <f t="shared" si="48"/>
        <v>1.3807386952020551E-3</v>
      </c>
      <c r="O2102" s="1319"/>
      <c r="P2102" s="1319"/>
      <c r="Q2102" s="35">
        <v>45386</v>
      </c>
      <c r="R2102" s="36">
        <v>4.3099999999999999E-2</v>
      </c>
      <c r="S2102" s="37">
        <v>4.2999999999999997E-2</v>
      </c>
    </row>
    <row r="2103" spans="1:19" x14ac:dyDescent="0.2">
      <c r="A2103" s="1"/>
      <c r="B2103" s="13">
        <v>42662</v>
      </c>
      <c r="C2103" s="14">
        <v>28.97</v>
      </c>
      <c r="D2103" s="15">
        <v>72425</v>
      </c>
      <c r="E2103" s="14">
        <v>29.18</v>
      </c>
      <c r="F2103" s="14">
        <v>29.206199999999999</v>
      </c>
      <c r="G2103" s="16">
        <v>28.74</v>
      </c>
      <c r="H2103" s="69">
        <f t="shared" si="48"/>
        <v>-4.8093438680866241E-3</v>
      </c>
      <c r="O2103" s="1319"/>
      <c r="P2103" s="1319"/>
      <c r="Q2103" s="35">
        <v>45387</v>
      </c>
      <c r="R2103" s="36">
        <v>4.3899999999999995E-2</v>
      </c>
      <c r="S2103" s="37">
        <v>4.3799999999999999E-2</v>
      </c>
    </row>
    <row r="2104" spans="1:19" x14ac:dyDescent="0.2">
      <c r="A2104" s="1"/>
      <c r="B2104" s="13">
        <v>42661</v>
      </c>
      <c r="C2104" s="14">
        <v>29.11</v>
      </c>
      <c r="D2104" s="15">
        <v>132572</v>
      </c>
      <c r="E2104" s="14">
        <v>29.49</v>
      </c>
      <c r="F2104" s="14">
        <v>29.49</v>
      </c>
      <c r="G2104" s="16">
        <v>28.82</v>
      </c>
      <c r="H2104" s="69">
        <f t="shared" si="48"/>
        <v>3.7931034482758808E-3</v>
      </c>
      <c r="O2104" s="1319"/>
      <c r="P2104" s="1319"/>
      <c r="Q2104" s="35">
        <v>45390</v>
      </c>
      <c r="R2104" s="36">
        <v>4.4199999999999996E-2</v>
      </c>
      <c r="S2104" s="37">
        <v>4.4299999999999999E-2</v>
      </c>
    </row>
    <row r="2105" spans="1:19" x14ac:dyDescent="0.2">
      <c r="A2105" s="1"/>
      <c r="B2105" s="13">
        <v>42660</v>
      </c>
      <c r="C2105" s="14">
        <v>29</v>
      </c>
      <c r="D2105" s="15">
        <v>110745</v>
      </c>
      <c r="E2105" s="14">
        <v>28.9</v>
      </c>
      <c r="F2105" s="14">
        <v>29.18</v>
      </c>
      <c r="G2105" s="16">
        <v>28.62</v>
      </c>
      <c r="H2105" s="69">
        <f t="shared" si="48"/>
        <v>-1.0334137099552443E-3</v>
      </c>
      <c r="O2105" s="1319"/>
      <c r="P2105" s="1319"/>
      <c r="Q2105" s="35">
        <v>45391</v>
      </c>
      <c r="R2105" s="36">
        <v>4.36E-2</v>
      </c>
      <c r="S2105" s="37">
        <v>4.3700000000000003E-2</v>
      </c>
    </row>
    <row r="2106" spans="1:19" x14ac:dyDescent="0.2">
      <c r="A2106" s="1"/>
      <c r="B2106" s="13">
        <v>42657</v>
      </c>
      <c r="C2106" s="14">
        <v>29.03</v>
      </c>
      <c r="D2106" s="15">
        <v>127603</v>
      </c>
      <c r="E2106" s="14">
        <v>29.2</v>
      </c>
      <c r="F2106" s="14">
        <v>29.35</v>
      </c>
      <c r="G2106" s="16">
        <v>28.76</v>
      </c>
      <c r="H2106" s="69">
        <f t="shared" si="48"/>
        <v>-5.140507196709998E-3</v>
      </c>
      <c r="O2106" s="1319"/>
      <c r="P2106" s="1319"/>
      <c r="Q2106" s="35">
        <v>45392</v>
      </c>
      <c r="R2106" s="36">
        <v>4.5499999999999999E-2</v>
      </c>
      <c r="S2106" s="37">
        <v>4.6100000000000002E-2</v>
      </c>
    </row>
    <row r="2107" spans="1:19" x14ac:dyDescent="0.2">
      <c r="A2107" s="1"/>
      <c r="B2107" s="13">
        <v>42656</v>
      </c>
      <c r="C2107" s="14">
        <v>29.18</v>
      </c>
      <c r="D2107" s="15">
        <v>184639</v>
      </c>
      <c r="E2107" s="14">
        <v>29.49</v>
      </c>
      <c r="F2107" s="14">
        <v>29.66</v>
      </c>
      <c r="G2107" s="16">
        <v>29.07</v>
      </c>
      <c r="H2107" s="69">
        <f t="shared" si="48"/>
        <v>-2.1790144150184321E-2</v>
      </c>
      <c r="O2107" s="1319"/>
      <c r="P2107" s="1319"/>
      <c r="Q2107" s="35">
        <v>45393</v>
      </c>
      <c r="R2107" s="36">
        <v>4.5599999999999995E-2</v>
      </c>
      <c r="S2107" s="37">
        <v>4.6100000000000002E-2</v>
      </c>
    </row>
    <row r="2108" spans="1:19" x14ac:dyDescent="0.2">
      <c r="A2108" s="1"/>
      <c r="B2108" s="13">
        <v>42655</v>
      </c>
      <c r="C2108" s="14">
        <v>29.83</v>
      </c>
      <c r="D2108" s="15">
        <v>131684</v>
      </c>
      <c r="E2108" s="14">
        <v>29.75</v>
      </c>
      <c r="F2108" s="14">
        <v>30.1</v>
      </c>
      <c r="G2108" s="16">
        <v>29.45</v>
      </c>
      <c r="H2108" s="69">
        <f t="shared" si="48"/>
        <v>4.3771043771043683E-3</v>
      </c>
      <c r="O2108" s="1319"/>
      <c r="P2108" s="1319"/>
      <c r="Q2108" s="35">
        <v>45394</v>
      </c>
      <c r="R2108" s="36">
        <v>4.4999999999999998E-2</v>
      </c>
      <c r="S2108" s="37">
        <v>4.5400000000000003E-2</v>
      </c>
    </row>
    <row r="2109" spans="1:19" x14ac:dyDescent="0.2">
      <c r="A2109" s="1"/>
      <c r="B2109" s="13">
        <v>42654</v>
      </c>
      <c r="C2109" s="14">
        <v>29.7</v>
      </c>
      <c r="D2109" s="15">
        <v>156747</v>
      </c>
      <c r="E2109" s="14">
        <v>29.69</v>
      </c>
      <c r="F2109" s="14">
        <v>29.9</v>
      </c>
      <c r="G2109" s="16">
        <v>29.52</v>
      </c>
      <c r="H2109" s="69">
        <f t="shared" si="48"/>
        <v>-2.686366689053088E-3</v>
      </c>
      <c r="O2109" s="1319"/>
      <c r="P2109" s="1319"/>
      <c r="Q2109" s="35">
        <v>45397</v>
      </c>
      <c r="R2109" s="36">
        <v>4.6300000000000001E-2</v>
      </c>
      <c r="S2109" s="37">
        <v>4.6500000000000007E-2</v>
      </c>
    </row>
    <row r="2110" spans="1:19" x14ac:dyDescent="0.2">
      <c r="A2110" s="1"/>
      <c r="B2110" s="13">
        <v>42653</v>
      </c>
      <c r="C2110" s="14">
        <v>29.78</v>
      </c>
      <c r="D2110" s="15">
        <v>119253</v>
      </c>
      <c r="E2110" s="14">
        <v>29.48</v>
      </c>
      <c r="F2110" s="14">
        <v>29.87</v>
      </c>
      <c r="G2110" s="16">
        <v>29.48</v>
      </c>
      <c r="H2110" s="69">
        <f t="shared" si="48"/>
        <v>1.5342652574156235E-2</v>
      </c>
      <c r="O2110" s="1319"/>
      <c r="P2110" s="1319"/>
      <c r="Q2110" s="35">
        <v>45398</v>
      </c>
      <c r="R2110" s="36">
        <v>4.6699999999999998E-2</v>
      </c>
      <c r="S2110" s="37">
        <v>4.6900000000000004E-2</v>
      </c>
    </row>
    <row r="2111" spans="1:19" x14ac:dyDescent="0.2">
      <c r="A2111" s="1"/>
      <c r="B2111" s="13">
        <v>42650</v>
      </c>
      <c r="C2111" s="14">
        <v>29.33</v>
      </c>
      <c r="D2111" s="15">
        <v>151697</v>
      </c>
      <c r="E2111" s="14">
        <v>29.8</v>
      </c>
      <c r="F2111" s="14">
        <v>29.8</v>
      </c>
      <c r="G2111" s="16">
        <v>27.96</v>
      </c>
      <c r="H2111" s="69">
        <f t="shared" si="48"/>
        <v>-1.7420435510887899E-2</v>
      </c>
      <c r="O2111" s="1319"/>
      <c r="P2111" s="1319"/>
      <c r="Q2111" s="35">
        <v>45399</v>
      </c>
      <c r="R2111" s="36">
        <v>4.5899999999999996E-2</v>
      </c>
      <c r="S2111" s="37">
        <v>4.6199999999999998E-2</v>
      </c>
    </row>
    <row r="2112" spans="1:19" x14ac:dyDescent="0.2">
      <c r="A2112" s="1"/>
      <c r="B2112" s="13">
        <v>42649</v>
      </c>
      <c r="C2112" s="14">
        <v>29.85</v>
      </c>
      <c r="D2112" s="15">
        <v>142365</v>
      </c>
      <c r="E2112" s="14">
        <v>29.82</v>
      </c>
      <c r="F2112" s="14">
        <v>30.05</v>
      </c>
      <c r="G2112" s="16">
        <v>29.38</v>
      </c>
      <c r="H2112" s="69">
        <f t="shared" si="48"/>
        <v>-3.3489618218340844E-4</v>
      </c>
      <c r="O2112" s="1319"/>
      <c r="P2112" s="1319"/>
      <c r="Q2112" s="35">
        <v>45400</v>
      </c>
      <c r="R2112" s="36">
        <v>4.6399999999999997E-2</v>
      </c>
      <c r="S2112" s="37">
        <v>4.6799999999999994E-2</v>
      </c>
    </row>
    <row r="2113" spans="1:19" x14ac:dyDescent="0.2">
      <c r="A2113" s="1"/>
      <c r="B2113" s="13">
        <v>42648</v>
      </c>
      <c r="C2113" s="14">
        <v>29.86</v>
      </c>
      <c r="D2113" s="15">
        <v>179605</v>
      </c>
      <c r="E2113" s="14">
        <v>29.89</v>
      </c>
      <c r="F2113" s="14">
        <v>30.18</v>
      </c>
      <c r="G2113" s="16">
        <v>29.6</v>
      </c>
      <c r="H2113" s="69">
        <f t="shared" si="48"/>
        <v>6.7430883344572479E-3</v>
      </c>
      <c r="O2113" s="1319"/>
      <c r="P2113" s="1319"/>
      <c r="Q2113" s="35">
        <v>45401</v>
      </c>
      <c r="R2113" s="36">
        <v>4.6199999999999998E-2</v>
      </c>
      <c r="S2113" s="37">
        <v>4.6600000000000003E-2</v>
      </c>
    </row>
    <row r="2114" spans="1:19" x14ac:dyDescent="0.2">
      <c r="A2114" s="1"/>
      <c r="B2114" s="13">
        <v>42647</v>
      </c>
      <c r="C2114" s="14">
        <v>29.66</v>
      </c>
      <c r="D2114" s="15">
        <v>224413</v>
      </c>
      <c r="E2114" s="14">
        <v>30.04</v>
      </c>
      <c r="F2114" s="14">
        <v>30.46</v>
      </c>
      <c r="G2114" s="16">
        <v>29.63</v>
      </c>
      <c r="H2114" s="69">
        <f t="shared" si="48"/>
        <v>-7.030465349849413E-3</v>
      </c>
      <c r="O2114" s="1319"/>
      <c r="P2114" s="1319"/>
      <c r="Q2114" s="35">
        <v>45404</v>
      </c>
      <c r="R2114" s="36">
        <v>4.6199999999999998E-2</v>
      </c>
      <c r="S2114" s="37">
        <v>4.6600000000000003E-2</v>
      </c>
    </row>
    <row r="2115" spans="1:19" x14ac:dyDescent="0.2">
      <c r="A2115" s="1"/>
      <c r="B2115" s="13">
        <v>42646</v>
      </c>
      <c r="C2115" s="14">
        <v>29.87</v>
      </c>
      <c r="D2115" s="15">
        <v>160774</v>
      </c>
      <c r="E2115" s="14">
        <v>29.8</v>
      </c>
      <c r="F2115" s="14">
        <v>30.21</v>
      </c>
      <c r="G2115" s="16">
        <v>29.43</v>
      </c>
      <c r="H2115" s="69">
        <f t="shared" si="48"/>
        <v>-3.0040053404539746E-3</v>
      </c>
      <c r="O2115" s="1319"/>
      <c r="P2115" s="1319"/>
      <c r="Q2115" s="35">
        <v>45405</v>
      </c>
      <c r="R2115" s="36">
        <v>4.6100000000000002E-2</v>
      </c>
      <c r="S2115" s="37">
        <v>4.6300000000000001E-2</v>
      </c>
    </row>
    <row r="2116" spans="1:19" x14ac:dyDescent="0.2">
      <c r="A2116" s="1"/>
      <c r="B2116" s="13">
        <v>42643</v>
      </c>
      <c r="C2116" s="14">
        <v>29.96</v>
      </c>
      <c r="D2116" s="15">
        <v>164723</v>
      </c>
      <c r="E2116" s="14">
        <v>29.37</v>
      </c>
      <c r="F2116" s="14">
        <v>30.1</v>
      </c>
      <c r="G2116" s="16">
        <v>29.34</v>
      </c>
      <c r="H2116" s="69">
        <f t="shared" si="48"/>
        <v>2.5676138308798446E-2</v>
      </c>
      <c r="O2116" s="1319"/>
      <c r="P2116" s="1319"/>
      <c r="Q2116" s="35">
        <v>45406</v>
      </c>
      <c r="R2116" s="36">
        <v>4.6500000000000007E-2</v>
      </c>
      <c r="S2116" s="37">
        <v>4.6399999999999997E-2</v>
      </c>
    </row>
    <row r="2117" spans="1:19" x14ac:dyDescent="0.2">
      <c r="A2117" s="1"/>
      <c r="B2117" s="13">
        <v>42642</v>
      </c>
      <c r="C2117" s="14">
        <v>29.21</v>
      </c>
      <c r="D2117" s="15">
        <v>132549</v>
      </c>
      <c r="E2117" s="14">
        <v>29.46</v>
      </c>
      <c r="F2117" s="14">
        <v>29.67</v>
      </c>
      <c r="G2117" s="16">
        <v>29.19</v>
      </c>
      <c r="H2117" s="69">
        <f t="shared" si="48"/>
        <v>-1.1505922165820692E-2</v>
      </c>
      <c r="O2117" s="1319"/>
      <c r="P2117" s="1319"/>
      <c r="Q2117" s="35">
        <v>45407</v>
      </c>
      <c r="R2117" s="36">
        <v>4.7E-2</v>
      </c>
      <c r="S2117" s="37">
        <v>4.7E-2</v>
      </c>
    </row>
    <row r="2118" spans="1:19" x14ac:dyDescent="0.2">
      <c r="A2118" s="1"/>
      <c r="B2118" s="13">
        <v>42641</v>
      </c>
      <c r="C2118" s="14">
        <v>29.55</v>
      </c>
      <c r="D2118" s="15">
        <v>181048</v>
      </c>
      <c r="E2118" s="14">
        <v>29.18</v>
      </c>
      <c r="F2118" s="14">
        <v>29.58</v>
      </c>
      <c r="G2118" s="16">
        <v>28.62</v>
      </c>
      <c r="H2118" s="69">
        <f t="shared" si="48"/>
        <v>1.8263266712612136E-2</v>
      </c>
      <c r="O2118" s="1319"/>
      <c r="P2118" s="1319"/>
      <c r="Q2118" s="35">
        <v>45408</v>
      </c>
      <c r="R2118" s="36">
        <v>4.6699999999999998E-2</v>
      </c>
      <c r="S2118" s="37">
        <v>4.6799999999999994E-2</v>
      </c>
    </row>
    <row r="2119" spans="1:19" x14ac:dyDescent="0.2">
      <c r="A2119" s="1"/>
      <c r="B2119" s="13">
        <v>42640</v>
      </c>
      <c r="C2119" s="14">
        <v>29.02</v>
      </c>
      <c r="D2119" s="15">
        <v>172749</v>
      </c>
      <c r="E2119" s="14">
        <v>29.41</v>
      </c>
      <c r="F2119" s="14">
        <v>29.59</v>
      </c>
      <c r="G2119" s="16">
        <v>28.97</v>
      </c>
      <c r="H2119" s="69">
        <f t="shared" si="48"/>
        <v>-1.8267929634641411E-2</v>
      </c>
      <c r="O2119" s="1319"/>
      <c r="P2119" s="1319"/>
      <c r="Q2119" s="35">
        <v>45411</v>
      </c>
      <c r="R2119" s="36">
        <v>4.6300000000000001E-2</v>
      </c>
      <c r="S2119" s="37">
        <v>4.6500000000000007E-2</v>
      </c>
    </row>
    <row r="2120" spans="1:19" x14ac:dyDescent="0.2">
      <c r="A2120" s="1"/>
      <c r="B2120" s="13">
        <v>42639</v>
      </c>
      <c r="C2120" s="14">
        <v>29.56</v>
      </c>
      <c r="D2120" s="15">
        <v>160292</v>
      </c>
      <c r="E2120" s="14">
        <v>29.91</v>
      </c>
      <c r="F2120" s="14">
        <v>30.11</v>
      </c>
      <c r="G2120" s="16">
        <v>29.5</v>
      </c>
      <c r="H2120" s="69">
        <f t="shared" si="48"/>
        <v>-2.0543406229290961E-2</v>
      </c>
      <c r="O2120" s="1319"/>
      <c r="P2120" s="1319"/>
      <c r="Q2120" s="35">
        <v>45412</v>
      </c>
      <c r="R2120" s="36">
        <v>4.6900000000000004E-2</v>
      </c>
      <c r="S2120" s="37">
        <v>4.7199999999999999E-2</v>
      </c>
    </row>
    <row r="2121" spans="1:19" x14ac:dyDescent="0.2">
      <c r="A2121" s="1"/>
      <c r="B2121" s="13">
        <v>42636</v>
      </c>
      <c r="C2121" s="14">
        <v>30.18</v>
      </c>
      <c r="D2121" s="15">
        <v>211055</v>
      </c>
      <c r="E2121" s="14">
        <v>30.68</v>
      </c>
      <c r="F2121" s="14">
        <v>30.69</v>
      </c>
      <c r="G2121" s="16">
        <v>30</v>
      </c>
      <c r="H2121" s="69">
        <f t="shared" si="48"/>
        <v>-1.7258222077499275E-2</v>
      </c>
      <c r="O2121" s="1319"/>
      <c r="P2121" s="1319"/>
      <c r="Q2121" s="35">
        <v>45413</v>
      </c>
      <c r="R2121" s="36">
        <v>4.6300000000000001E-2</v>
      </c>
      <c r="S2121" s="37">
        <v>4.6399999999999997E-2</v>
      </c>
    </row>
    <row r="2122" spans="1:19" x14ac:dyDescent="0.2">
      <c r="A2122" s="1"/>
      <c r="B2122" s="13">
        <v>42635</v>
      </c>
      <c r="C2122" s="14">
        <v>30.71</v>
      </c>
      <c r="D2122" s="15">
        <v>138355</v>
      </c>
      <c r="E2122" s="14">
        <v>30.87</v>
      </c>
      <c r="F2122" s="14">
        <v>31.37</v>
      </c>
      <c r="G2122" s="16">
        <v>30.5</v>
      </c>
      <c r="H2122" s="69">
        <f t="shared" si="48"/>
        <v>7.2154804854052124E-3</v>
      </c>
      <c r="O2122" s="1319"/>
      <c r="P2122" s="1319"/>
      <c r="Q2122" s="35">
        <v>45414</v>
      </c>
      <c r="R2122" s="36">
        <v>4.58E-2</v>
      </c>
      <c r="S2122" s="37">
        <v>4.5700000000000005E-2</v>
      </c>
    </row>
    <row r="2123" spans="1:19" x14ac:dyDescent="0.2">
      <c r="A2123" s="1"/>
      <c r="B2123" s="13">
        <v>42634</v>
      </c>
      <c r="C2123" s="14">
        <v>30.49</v>
      </c>
      <c r="D2123" s="15">
        <v>105901</v>
      </c>
      <c r="E2123" s="14">
        <v>30.29</v>
      </c>
      <c r="F2123" s="14">
        <v>30.89</v>
      </c>
      <c r="G2123" s="16">
        <v>30.04</v>
      </c>
      <c r="H2123" s="69">
        <f t="shared" si="48"/>
        <v>1.1276948590381419E-2</v>
      </c>
      <c r="O2123" s="1319"/>
      <c r="P2123" s="1319"/>
      <c r="Q2123" s="35">
        <v>45415</v>
      </c>
      <c r="R2123" s="36">
        <v>4.4999999999999998E-2</v>
      </c>
      <c r="S2123" s="37">
        <v>4.4800000000000006E-2</v>
      </c>
    </row>
    <row r="2124" spans="1:19" x14ac:dyDescent="0.2">
      <c r="A2124" s="1"/>
      <c r="B2124" s="13">
        <v>42633</v>
      </c>
      <c r="C2124" s="14">
        <v>30.15</v>
      </c>
      <c r="D2124" s="15">
        <v>123159</v>
      </c>
      <c r="E2124" s="14">
        <v>30.99</v>
      </c>
      <c r="F2124" s="14">
        <v>30.99</v>
      </c>
      <c r="G2124" s="16">
        <v>30.14</v>
      </c>
      <c r="H2124" s="69">
        <f t="shared" si="48"/>
        <v>-2.237354085603116E-2</v>
      </c>
      <c r="O2124" s="1319"/>
      <c r="P2124" s="1319"/>
      <c r="Q2124" s="35">
        <v>45418</v>
      </c>
      <c r="R2124" s="36">
        <v>4.4900000000000002E-2</v>
      </c>
      <c r="S2124" s="37">
        <v>4.4800000000000006E-2</v>
      </c>
    </row>
    <row r="2125" spans="1:19" x14ac:dyDescent="0.2">
      <c r="A2125" s="1"/>
      <c r="B2125" s="13">
        <v>42632</v>
      </c>
      <c r="C2125" s="14">
        <v>30.84</v>
      </c>
      <c r="D2125" s="15">
        <v>138641</v>
      </c>
      <c r="E2125" s="14">
        <v>30.95</v>
      </c>
      <c r="F2125" s="14">
        <v>32.25</v>
      </c>
      <c r="G2125" s="16">
        <v>30.64</v>
      </c>
      <c r="H2125" s="69">
        <f t="shared" si="48"/>
        <v>4.8875855327468187E-3</v>
      </c>
      <c r="O2125" s="1319"/>
      <c r="P2125" s="1319"/>
      <c r="Q2125" s="35">
        <v>45419</v>
      </c>
      <c r="R2125" s="36">
        <v>4.4699999999999997E-2</v>
      </c>
      <c r="S2125" s="37">
        <v>4.4800000000000006E-2</v>
      </c>
    </row>
    <row r="2126" spans="1:19" x14ac:dyDescent="0.2">
      <c r="A2126" s="1"/>
      <c r="B2126" s="13">
        <v>42629</v>
      </c>
      <c r="C2126" s="14">
        <v>30.69</v>
      </c>
      <c r="D2126" s="15">
        <v>383782</v>
      </c>
      <c r="E2126" s="14">
        <v>30.85</v>
      </c>
      <c r="F2126" s="14">
        <v>31.36</v>
      </c>
      <c r="G2126" s="16">
        <v>30.66</v>
      </c>
      <c r="H2126" s="69">
        <f t="shared" si="48"/>
        <v>-2.9239766081871066E-3</v>
      </c>
      <c r="O2126" s="1319"/>
      <c r="P2126" s="1319"/>
      <c r="Q2126" s="35">
        <v>45420</v>
      </c>
      <c r="R2126" s="36">
        <v>4.4800000000000006E-2</v>
      </c>
      <c r="S2126" s="37">
        <v>4.4999999999999998E-2</v>
      </c>
    </row>
    <row r="2127" spans="1:19" x14ac:dyDescent="0.2">
      <c r="A2127" s="1"/>
      <c r="B2127" s="13">
        <v>42628</v>
      </c>
      <c r="C2127" s="14">
        <v>30.78</v>
      </c>
      <c r="D2127" s="15">
        <v>216035</v>
      </c>
      <c r="E2127" s="14">
        <v>29.35</v>
      </c>
      <c r="F2127" s="14">
        <v>30.8</v>
      </c>
      <c r="G2127" s="16">
        <v>29.3</v>
      </c>
      <c r="H2127" s="69">
        <f t="shared" si="48"/>
        <v>4.4451985069562383E-2</v>
      </c>
      <c r="O2127" s="1319"/>
      <c r="P2127" s="1319"/>
      <c r="Q2127" s="35">
        <v>45421</v>
      </c>
      <c r="R2127" s="36">
        <v>4.4500000000000005E-2</v>
      </c>
      <c r="S2127" s="37">
        <v>4.4699999999999997E-2</v>
      </c>
    </row>
    <row r="2128" spans="1:19" x14ac:dyDescent="0.2">
      <c r="A2128" s="1"/>
      <c r="B2128" s="13">
        <v>42627</v>
      </c>
      <c r="C2128" s="14">
        <v>29.47</v>
      </c>
      <c r="D2128" s="15">
        <v>125376</v>
      </c>
      <c r="E2128" s="14">
        <v>29.44</v>
      </c>
      <c r="F2128" s="14">
        <v>29.88</v>
      </c>
      <c r="G2128" s="16">
        <v>29.18</v>
      </c>
      <c r="H2128" s="69">
        <f t="shared" si="48"/>
        <v>2.3809523809523725E-3</v>
      </c>
      <c r="O2128" s="1319"/>
      <c r="P2128" s="1319"/>
      <c r="Q2128" s="35">
        <v>45422</v>
      </c>
      <c r="R2128" s="36">
        <v>4.4999999999999998E-2</v>
      </c>
      <c r="S2128" s="37">
        <v>4.5199999999999997E-2</v>
      </c>
    </row>
    <row r="2129" spans="1:19" x14ac:dyDescent="0.2">
      <c r="A2129" s="1"/>
      <c r="B2129" s="13">
        <v>42626</v>
      </c>
      <c r="C2129" s="14">
        <v>29.4</v>
      </c>
      <c r="D2129" s="15">
        <v>139029</v>
      </c>
      <c r="E2129" s="14">
        <v>29.71</v>
      </c>
      <c r="F2129" s="14">
        <v>29.96</v>
      </c>
      <c r="G2129" s="16">
        <v>29.37</v>
      </c>
      <c r="H2129" s="69">
        <f t="shared" si="48"/>
        <v>-2.1956087824351322E-2</v>
      </c>
      <c r="O2129" s="1319"/>
      <c r="P2129" s="1319"/>
      <c r="Q2129" s="35">
        <v>45425</v>
      </c>
      <c r="R2129" s="36">
        <v>4.4800000000000006E-2</v>
      </c>
      <c r="S2129" s="37">
        <v>4.4999999999999998E-2</v>
      </c>
    </row>
    <row r="2130" spans="1:19" x14ac:dyDescent="0.2">
      <c r="A2130" s="1"/>
      <c r="B2130" s="13">
        <v>42625</v>
      </c>
      <c r="C2130" s="14">
        <v>30.06</v>
      </c>
      <c r="D2130" s="15">
        <v>286778</v>
      </c>
      <c r="E2130" s="14">
        <v>29.73</v>
      </c>
      <c r="F2130" s="14">
        <v>30.364999999999998</v>
      </c>
      <c r="G2130" s="16">
        <v>29.620999999999999</v>
      </c>
      <c r="H2130" s="69">
        <f t="shared" si="48"/>
        <v>4.0080160320641323E-3</v>
      </c>
      <c r="O2130" s="1319"/>
      <c r="P2130" s="1319"/>
      <c r="Q2130" s="35">
        <v>45426</v>
      </c>
      <c r="R2130" s="36">
        <v>4.4500000000000005E-2</v>
      </c>
      <c r="S2130" s="37">
        <v>4.4600000000000001E-2</v>
      </c>
    </row>
    <row r="2131" spans="1:19" x14ac:dyDescent="0.2">
      <c r="A2131" s="1"/>
      <c r="B2131" s="13">
        <v>42622</v>
      </c>
      <c r="C2131" s="14">
        <v>29.94</v>
      </c>
      <c r="D2131" s="15">
        <v>255527</v>
      </c>
      <c r="E2131" s="14">
        <v>31.5</v>
      </c>
      <c r="F2131" s="14">
        <v>31.56</v>
      </c>
      <c r="G2131" s="16">
        <v>29.93</v>
      </c>
      <c r="H2131" s="69">
        <f t="shared" si="48"/>
        <v>-5.6413488811849932E-2</v>
      </c>
      <c r="O2131" s="1319"/>
      <c r="P2131" s="1319"/>
      <c r="Q2131" s="35">
        <v>45427</v>
      </c>
      <c r="R2131" s="36">
        <v>4.36E-2</v>
      </c>
      <c r="S2131" s="37">
        <v>4.3499999999999997E-2</v>
      </c>
    </row>
    <row r="2132" spans="1:19" x14ac:dyDescent="0.2">
      <c r="A2132" s="1"/>
      <c r="B2132" s="13">
        <v>42621</v>
      </c>
      <c r="C2132" s="14">
        <v>31.73</v>
      </c>
      <c r="D2132" s="15">
        <v>208443</v>
      </c>
      <c r="E2132" s="14">
        <v>30.95</v>
      </c>
      <c r="F2132" s="14">
        <v>31.81</v>
      </c>
      <c r="G2132" s="16">
        <v>30.85</v>
      </c>
      <c r="H2132" s="69">
        <f t="shared" si="48"/>
        <v>3.052939265995458E-2</v>
      </c>
      <c r="O2132" s="1319"/>
      <c r="P2132" s="1319"/>
      <c r="Q2132" s="35">
        <v>45428</v>
      </c>
      <c r="R2132" s="36">
        <v>4.3799999999999999E-2</v>
      </c>
      <c r="S2132" s="37">
        <v>4.4000000000000004E-2</v>
      </c>
    </row>
    <row r="2133" spans="1:19" x14ac:dyDescent="0.2">
      <c r="A2133" s="1"/>
      <c r="B2133" s="13">
        <v>42620</v>
      </c>
      <c r="C2133" s="14">
        <v>30.79</v>
      </c>
      <c r="D2133" s="15">
        <v>194770</v>
      </c>
      <c r="E2133" s="14">
        <v>30.46</v>
      </c>
      <c r="F2133" s="14">
        <v>31.16</v>
      </c>
      <c r="G2133" s="16">
        <v>30.26</v>
      </c>
      <c r="H2133" s="69">
        <f t="shared" si="48"/>
        <v>1.2163050624589111E-2</v>
      </c>
      <c r="O2133" s="1319"/>
      <c r="P2133" s="1319"/>
      <c r="Q2133" s="35">
        <v>45429</v>
      </c>
      <c r="R2133" s="36">
        <v>4.4199999999999996E-2</v>
      </c>
      <c r="S2133" s="37">
        <v>4.4400000000000002E-2</v>
      </c>
    </row>
    <row r="2134" spans="1:19" x14ac:dyDescent="0.2">
      <c r="A2134" s="1"/>
      <c r="B2134" s="13">
        <v>42619</v>
      </c>
      <c r="C2134" s="14">
        <v>30.42</v>
      </c>
      <c r="D2134" s="15">
        <v>123246</v>
      </c>
      <c r="E2134" s="14">
        <v>30.77</v>
      </c>
      <c r="F2134" s="14">
        <v>30.86</v>
      </c>
      <c r="G2134" s="16">
        <v>30.35</v>
      </c>
      <c r="H2134" s="69">
        <f t="shared" si="48"/>
        <v>-7.8277886497064575E-3</v>
      </c>
      <c r="O2134" s="1319"/>
      <c r="P2134" s="1319"/>
      <c r="Q2134" s="35">
        <v>45432</v>
      </c>
      <c r="R2134" s="36">
        <v>4.4400000000000002E-2</v>
      </c>
      <c r="S2134" s="37">
        <v>4.4600000000000001E-2</v>
      </c>
    </row>
    <row r="2135" spans="1:19" x14ac:dyDescent="0.2">
      <c r="A2135" s="1"/>
      <c r="B2135" s="13">
        <v>42615</v>
      </c>
      <c r="C2135" s="14">
        <v>30.66</v>
      </c>
      <c r="D2135" s="15">
        <v>87084</v>
      </c>
      <c r="E2135" s="14">
        <v>30.73</v>
      </c>
      <c r="F2135" s="14">
        <v>30.97</v>
      </c>
      <c r="G2135" s="16">
        <v>30.38</v>
      </c>
      <c r="H2135" s="69">
        <f t="shared" si="48"/>
        <v>4.5871559633028358E-3</v>
      </c>
      <c r="O2135" s="1319"/>
      <c r="P2135" s="1319"/>
      <c r="Q2135" s="35">
        <v>45433</v>
      </c>
      <c r="R2135" s="36">
        <v>4.41E-2</v>
      </c>
      <c r="S2135" s="37">
        <v>4.4299999999999999E-2</v>
      </c>
    </row>
    <row r="2136" spans="1:19" x14ac:dyDescent="0.2">
      <c r="A2136" s="1"/>
      <c r="B2136" s="13">
        <v>42614</v>
      </c>
      <c r="C2136" s="14">
        <v>30.52</v>
      </c>
      <c r="D2136" s="15">
        <v>192641</v>
      </c>
      <c r="E2136" s="14">
        <v>30.4</v>
      </c>
      <c r="F2136" s="14">
        <v>30.56</v>
      </c>
      <c r="G2136" s="16">
        <v>29.85</v>
      </c>
      <c r="H2136" s="69">
        <f t="shared" si="48"/>
        <v>2.9576076240551696E-3</v>
      </c>
      <c r="O2136" s="1319"/>
      <c r="P2136" s="1319"/>
      <c r="Q2136" s="35">
        <v>45434</v>
      </c>
      <c r="R2136" s="36">
        <v>4.4299999999999999E-2</v>
      </c>
      <c r="S2136" s="37">
        <v>4.4699999999999997E-2</v>
      </c>
    </row>
    <row r="2137" spans="1:19" x14ac:dyDescent="0.2">
      <c r="A2137" s="1"/>
      <c r="B2137" s="13">
        <v>42613</v>
      </c>
      <c r="C2137" s="14">
        <v>30.43</v>
      </c>
      <c r="D2137" s="15">
        <v>264186</v>
      </c>
      <c r="E2137" s="14">
        <v>30</v>
      </c>
      <c r="F2137" s="14">
        <v>30.855</v>
      </c>
      <c r="G2137" s="16">
        <v>29.85</v>
      </c>
      <c r="H2137" s="69">
        <f t="shared" si="48"/>
        <v>1.6366065464261892E-2</v>
      </c>
      <c r="O2137" s="1319"/>
      <c r="P2137" s="1319"/>
      <c r="Q2137" s="35">
        <v>45435</v>
      </c>
      <c r="R2137" s="36">
        <v>4.4699999999999997E-2</v>
      </c>
      <c r="S2137" s="37">
        <v>4.5199999999999997E-2</v>
      </c>
    </row>
    <row r="2138" spans="1:19" x14ac:dyDescent="0.2">
      <c r="A2138" s="1"/>
      <c r="B2138" s="13">
        <v>42612</v>
      </c>
      <c r="C2138" s="14">
        <v>29.94</v>
      </c>
      <c r="D2138" s="15">
        <v>213571</v>
      </c>
      <c r="E2138" s="14">
        <v>29.44</v>
      </c>
      <c r="F2138" s="14">
        <v>30.04</v>
      </c>
      <c r="G2138" s="16">
        <v>29.44</v>
      </c>
      <c r="H2138" s="69">
        <f t="shared" si="48"/>
        <v>1.4915254237288122E-2</v>
      </c>
      <c r="O2138" s="1319"/>
      <c r="P2138" s="1319"/>
      <c r="Q2138" s="35">
        <v>45436</v>
      </c>
      <c r="R2138" s="36">
        <v>4.4600000000000001E-2</v>
      </c>
      <c r="S2138" s="37">
        <v>4.53E-2</v>
      </c>
    </row>
    <row r="2139" spans="1:19" x14ac:dyDescent="0.2">
      <c r="A2139" s="1"/>
      <c r="B2139" s="13">
        <v>42611</v>
      </c>
      <c r="C2139" s="14">
        <v>29.5</v>
      </c>
      <c r="D2139" s="15">
        <v>84085</v>
      </c>
      <c r="E2139" s="14">
        <v>29.53</v>
      </c>
      <c r="F2139" s="14">
        <v>29.68</v>
      </c>
      <c r="G2139" s="16">
        <v>29.26</v>
      </c>
      <c r="H2139" s="69">
        <f t="shared" si="48"/>
        <v>2.7192386131882351E-3</v>
      </c>
      <c r="O2139" s="1319"/>
      <c r="P2139" s="1319"/>
      <c r="Q2139" s="35">
        <v>45440</v>
      </c>
      <c r="R2139" s="36">
        <v>4.5400000000000003E-2</v>
      </c>
      <c r="S2139" s="37">
        <v>4.5599999999999995E-2</v>
      </c>
    </row>
    <row r="2140" spans="1:19" x14ac:dyDescent="0.2">
      <c r="A2140" s="1"/>
      <c r="B2140" s="13">
        <v>42608</v>
      </c>
      <c r="C2140" s="14">
        <v>29.42</v>
      </c>
      <c r="D2140" s="15">
        <v>72601</v>
      </c>
      <c r="E2140" s="14">
        <v>29.55</v>
      </c>
      <c r="F2140" s="14">
        <v>29.94</v>
      </c>
      <c r="G2140" s="16">
        <v>29.25</v>
      </c>
      <c r="H2140" s="69">
        <f t="shared" si="48"/>
        <v>-4.3993231810490752E-3</v>
      </c>
      <c r="O2140" s="1319"/>
      <c r="P2140" s="1319"/>
      <c r="Q2140" s="35">
        <v>45441</v>
      </c>
      <c r="R2140" s="36">
        <v>4.6100000000000002E-2</v>
      </c>
      <c r="S2140" s="37">
        <v>4.6300000000000001E-2</v>
      </c>
    </row>
    <row r="2141" spans="1:19" x14ac:dyDescent="0.2">
      <c r="A2141" s="1"/>
      <c r="B2141" s="13">
        <v>42607</v>
      </c>
      <c r="C2141" s="14">
        <v>29.55</v>
      </c>
      <c r="D2141" s="15">
        <v>186851</v>
      </c>
      <c r="E2141" s="14">
        <v>30.12</v>
      </c>
      <c r="F2141" s="14">
        <v>30.24</v>
      </c>
      <c r="G2141" s="16">
        <v>29.31</v>
      </c>
      <c r="H2141" s="69">
        <f t="shared" si="48"/>
        <v>-2.3140495867768562E-2</v>
      </c>
      <c r="O2141" s="1319"/>
      <c r="P2141" s="1319"/>
      <c r="Q2141" s="35">
        <v>45442</v>
      </c>
      <c r="R2141" s="36">
        <v>4.5499999999999999E-2</v>
      </c>
      <c r="S2141" s="37">
        <v>4.5700000000000005E-2</v>
      </c>
    </row>
    <row r="2142" spans="1:19" x14ac:dyDescent="0.2">
      <c r="A2142" s="1"/>
      <c r="B2142" s="13">
        <v>42606</v>
      </c>
      <c r="C2142" s="14">
        <v>30.25</v>
      </c>
      <c r="D2142" s="15">
        <v>191684</v>
      </c>
      <c r="E2142" s="14">
        <v>30.74</v>
      </c>
      <c r="F2142" s="14">
        <v>30.81</v>
      </c>
      <c r="G2142" s="16">
        <v>27.984999999999999</v>
      </c>
      <c r="H2142" s="69">
        <f t="shared" si="48"/>
        <v>-1.5940143135979135E-2</v>
      </c>
      <c r="O2142" s="1319"/>
      <c r="P2142" s="1319"/>
      <c r="Q2142" s="35">
        <v>45443</v>
      </c>
      <c r="R2142" s="36">
        <v>4.5100000000000001E-2</v>
      </c>
      <c r="S2142" s="37">
        <v>4.5199999999999997E-2</v>
      </c>
    </row>
    <row r="2143" spans="1:19" x14ac:dyDescent="0.2">
      <c r="A2143" s="1"/>
      <c r="B2143" s="13">
        <v>42605</v>
      </c>
      <c r="C2143" s="14">
        <v>30.74</v>
      </c>
      <c r="D2143" s="15">
        <v>339603</v>
      </c>
      <c r="E2143" s="14">
        <v>30.25</v>
      </c>
      <c r="F2143" s="14">
        <v>31.13</v>
      </c>
      <c r="G2143" s="16">
        <v>29.95</v>
      </c>
      <c r="H2143" s="69">
        <f t="shared" si="48"/>
        <v>2.3984010659560351E-2</v>
      </c>
      <c r="O2143" s="1319"/>
      <c r="P2143" s="1319"/>
      <c r="Q2143" s="35">
        <v>45446</v>
      </c>
      <c r="R2143" s="36">
        <v>4.41E-2</v>
      </c>
      <c r="S2143" s="37">
        <v>4.4199999999999996E-2</v>
      </c>
    </row>
    <row r="2144" spans="1:19" x14ac:dyDescent="0.2">
      <c r="A2144" s="1"/>
      <c r="B2144" s="13">
        <v>42604</v>
      </c>
      <c r="C2144" s="14">
        <v>30.02</v>
      </c>
      <c r="D2144" s="15">
        <v>195199</v>
      </c>
      <c r="E2144" s="14">
        <v>30.12</v>
      </c>
      <c r="F2144" s="14">
        <v>30.393000000000001</v>
      </c>
      <c r="G2144" s="16">
        <v>29.56</v>
      </c>
      <c r="H2144" s="69">
        <f t="shared" si="48"/>
        <v>-1.0220903395977587E-2</v>
      </c>
      <c r="O2144" s="1319"/>
      <c r="P2144" s="1319"/>
      <c r="Q2144" s="35">
        <v>45447</v>
      </c>
      <c r="R2144" s="36">
        <v>4.3299999999999998E-2</v>
      </c>
      <c r="S2144" s="37">
        <v>4.3499999999999997E-2</v>
      </c>
    </row>
    <row r="2145" spans="1:19" x14ac:dyDescent="0.2">
      <c r="A2145" s="1"/>
      <c r="B2145" s="13">
        <v>42601</v>
      </c>
      <c r="C2145" s="14">
        <v>30.33</v>
      </c>
      <c r="D2145" s="15">
        <v>101820</v>
      </c>
      <c r="E2145" s="14">
        <v>29.97</v>
      </c>
      <c r="F2145" s="14">
        <v>30.39</v>
      </c>
      <c r="G2145" s="16">
        <v>29.97</v>
      </c>
      <c r="H2145" s="69">
        <f t="shared" si="48"/>
        <v>6.3039150630390672E-3</v>
      </c>
      <c r="O2145" s="1319"/>
      <c r="P2145" s="1319"/>
      <c r="Q2145" s="35">
        <v>45448</v>
      </c>
      <c r="R2145" s="36">
        <v>4.2900000000000001E-2</v>
      </c>
      <c r="S2145" s="37">
        <v>4.3099999999999999E-2</v>
      </c>
    </row>
    <row r="2146" spans="1:19" x14ac:dyDescent="0.2">
      <c r="A2146" s="1"/>
      <c r="B2146" s="13">
        <v>42600</v>
      </c>
      <c r="C2146" s="14">
        <v>30.14</v>
      </c>
      <c r="D2146" s="15">
        <v>144589</v>
      </c>
      <c r="E2146" s="14">
        <v>29.96</v>
      </c>
      <c r="F2146" s="14">
        <v>30.36</v>
      </c>
      <c r="G2146" s="16">
        <v>29.7</v>
      </c>
      <c r="H2146" s="69">
        <f t="shared" si="48"/>
        <v>9.0391697355205469E-3</v>
      </c>
      <c r="O2146" s="1319"/>
      <c r="P2146" s="1319"/>
      <c r="Q2146" s="35">
        <v>45449</v>
      </c>
      <c r="R2146" s="36">
        <v>4.2800000000000005E-2</v>
      </c>
      <c r="S2146" s="37">
        <v>4.2900000000000001E-2</v>
      </c>
    </row>
    <row r="2147" spans="1:19" x14ac:dyDescent="0.2">
      <c r="A2147" s="1"/>
      <c r="B2147" s="13">
        <v>42599</v>
      </c>
      <c r="C2147" s="14">
        <v>29.87</v>
      </c>
      <c r="D2147" s="15">
        <v>181620</v>
      </c>
      <c r="E2147" s="14">
        <v>29.83</v>
      </c>
      <c r="F2147" s="14">
        <v>30.51</v>
      </c>
      <c r="G2147" s="16">
        <v>29.53</v>
      </c>
      <c r="H2147" s="69">
        <f t="shared" si="48"/>
        <v>-1.6711229946524409E-3</v>
      </c>
      <c r="O2147" s="1319"/>
      <c r="P2147" s="1319"/>
      <c r="Q2147" s="35">
        <v>45450</v>
      </c>
      <c r="R2147" s="36">
        <v>4.4299999999999999E-2</v>
      </c>
      <c r="S2147" s="37">
        <v>4.4600000000000001E-2</v>
      </c>
    </row>
    <row r="2148" spans="1:19" x14ac:dyDescent="0.2">
      <c r="A2148" s="1"/>
      <c r="B2148" s="13">
        <v>42598</v>
      </c>
      <c r="C2148" s="14">
        <v>29.92</v>
      </c>
      <c r="D2148" s="15">
        <v>119220</v>
      </c>
      <c r="E2148" s="14">
        <v>29.5</v>
      </c>
      <c r="F2148" s="14">
        <v>29.97</v>
      </c>
      <c r="G2148" s="16">
        <v>29.31</v>
      </c>
      <c r="H2148" s="69">
        <f t="shared" si="48"/>
        <v>1.3206908228919678E-2</v>
      </c>
      <c r="O2148" s="1319"/>
      <c r="P2148" s="1319"/>
      <c r="Q2148" s="35">
        <v>45453</v>
      </c>
      <c r="R2148" s="36">
        <v>4.4699999999999997E-2</v>
      </c>
      <c r="S2148" s="37">
        <v>4.4800000000000006E-2</v>
      </c>
    </row>
    <row r="2149" spans="1:19" x14ac:dyDescent="0.2">
      <c r="A2149" s="1"/>
      <c r="B2149" s="13">
        <v>42597</v>
      </c>
      <c r="C2149" s="14">
        <v>29.53</v>
      </c>
      <c r="D2149" s="15">
        <v>106569</v>
      </c>
      <c r="E2149" s="14">
        <v>29.69</v>
      </c>
      <c r="F2149" s="14">
        <v>29.96</v>
      </c>
      <c r="G2149" s="16">
        <v>29.39</v>
      </c>
      <c r="H2149" s="69">
        <f t="shared" si="48"/>
        <v>1.0169491525424679E-3</v>
      </c>
      <c r="O2149" s="1319"/>
      <c r="P2149" s="1319"/>
      <c r="Q2149" s="35">
        <v>45454</v>
      </c>
      <c r="R2149" s="36">
        <v>4.3899999999999995E-2</v>
      </c>
      <c r="S2149" s="37">
        <v>4.41E-2</v>
      </c>
    </row>
    <row r="2150" spans="1:19" x14ac:dyDescent="0.2">
      <c r="A2150" s="1"/>
      <c r="B2150" s="13">
        <v>42594</v>
      </c>
      <c r="C2150" s="14">
        <v>29.5</v>
      </c>
      <c r="D2150" s="15">
        <v>187132</v>
      </c>
      <c r="E2150" s="14">
        <v>29.36</v>
      </c>
      <c r="F2150" s="14">
        <v>29.7</v>
      </c>
      <c r="G2150" s="16">
        <v>29.09</v>
      </c>
      <c r="H2150" s="69">
        <f t="shared" si="48"/>
        <v>4.7683923705721387E-3</v>
      </c>
      <c r="O2150" s="1319"/>
      <c r="P2150" s="1319"/>
      <c r="Q2150" s="35">
        <v>45455</v>
      </c>
      <c r="R2150" s="36">
        <v>4.3099999999999999E-2</v>
      </c>
      <c r="S2150" s="37">
        <v>4.3200000000000002E-2</v>
      </c>
    </row>
    <row r="2151" spans="1:19" x14ac:dyDescent="0.2">
      <c r="A2151" s="1"/>
      <c r="B2151" s="13">
        <v>42593</v>
      </c>
      <c r="C2151" s="14">
        <v>29.36</v>
      </c>
      <c r="D2151" s="15">
        <v>102805</v>
      </c>
      <c r="E2151" s="14">
        <v>29.47</v>
      </c>
      <c r="F2151" s="14">
        <v>29.69</v>
      </c>
      <c r="G2151" s="16">
        <v>28.97</v>
      </c>
      <c r="H2151" s="69">
        <f t="shared" si="48"/>
        <v>1.3642564802183177E-3</v>
      </c>
      <c r="O2151" s="1319"/>
      <c r="P2151" s="1319"/>
      <c r="Q2151" s="35">
        <v>45456</v>
      </c>
      <c r="R2151" s="36">
        <v>4.24E-2</v>
      </c>
      <c r="S2151" s="37">
        <v>4.24E-2</v>
      </c>
    </row>
    <row r="2152" spans="1:19" x14ac:dyDescent="0.2">
      <c r="A2152" s="1"/>
      <c r="B2152" s="13">
        <v>42592</v>
      </c>
      <c r="C2152" s="14">
        <v>29.32</v>
      </c>
      <c r="D2152" s="15">
        <v>107269</v>
      </c>
      <c r="E2152" s="14">
        <v>29.95</v>
      </c>
      <c r="F2152" s="14">
        <v>29.95</v>
      </c>
      <c r="G2152" s="16">
        <v>29.05</v>
      </c>
      <c r="H2152" s="69">
        <f t="shared" ref="H2152:H2215" si="49">C2152/C2153-1</f>
        <v>-1.8084393837910273E-2</v>
      </c>
      <c r="O2152" s="1319"/>
      <c r="P2152" s="1319"/>
      <c r="Q2152" s="35">
        <v>45457</v>
      </c>
      <c r="R2152" s="36">
        <v>4.2000000000000003E-2</v>
      </c>
      <c r="S2152" s="37">
        <v>4.2199999999999994E-2</v>
      </c>
    </row>
    <row r="2153" spans="1:19" x14ac:dyDescent="0.2">
      <c r="A2153" s="1"/>
      <c r="B2153" s="13">
        <v>42591</v>
      </c>
      <c r="C2153" s="14">
        <v>29.86</v>
      </c>
      <c r="D2153" s="15">
        <v>130464</v>
      </c>
      <c r="E2153" s="14">
        <v>30.47</v>
      </c>
      <c r="F2153" s="14">
        <v>30.61</v>
      </c>
      <c r="G2153" s="16">
        <v>29.741</v>
      </c>
      <c r="H2153" s="69">
        <f t="shared" si="49"/>
        <v>-2.0019691499835846E-2</v>
      </c>
      <c r="O2153" s="1319"/>
      <c r="P2153" s="1319"/>
      <c r="Q2153" s="35">
        <v>45460</v>
      </c>
      <c r="R2153" s="36">
        <v>4.2800000000000005E-2</v>
      </c>
      <c r="S2153" s="37">
        <v>4.2999999999999997E-2</v>
      </c>
    </row>
    <row r="2154" spans="1:19" x14ac:dyDescent="0.2">
      <c r="A2154" s="1"/>
      <c r="B2154" s="13">
        <v>42590</v>
      </c>
      <c r="C2154" s="14">
        <v>30.47</v>
      </c>
      <c r="D2154" s="15">
        <v>161027</v>
      </c>
      <c r="E2154" s="14">
        <v>30.51</v>
      </c>
      <c r="F2154" s="14">
        <v>31.01</v>
      </c>
      <c r="G2154" s="16">
        <v>30.04</v>
      </c>
      <c r="H2154" s="69">
        <f t="shared" si="49"/>
        <v>-1.965280052407592E-3</v>
      </c>
      <c r="O2154" s="1319"/>
      <c r="P2154" s="1319"/>
      <c r="Q2154" s="35">
        <v>45461</v>
      </c>
      <c r="R2154" s="36">
        <v>4.2199999999999994E-2</v>
      </c>
      <c r="S2154" s="37">
        <v>4.24E-2</v>
      </c>
    </row>
    <row r="2155" spans="1:19" x14ac:dyDescent="0.2">
      <c r="A2155" s="1"/>
      <c r="B2155" s="13">
        <v>42587</v>
      </c>
      <c r="C2155" s="14">
        <v>30.53</v>
      </c>
      <c r="D2155" s="15">
        <v>280057</v>
      </c>
      <c r="E2155" s="14">
        <v>29.35</v>
      </c>
      <c r="F2155" s="14">
        <v>30.69</v>
      </c>
      <c r="G2155" s="16">
        <v>29.35</v>
      </c>
      <c r="H2155" s="69">
        <f t="shared" si="49"/>
        <v>4.1979522184300455E-2</v>
      </c>
      <c r="O2155" s="1319"/>
      <c r="P2155" s="1319"/>
      <c r="Q2155" s="35">
        <v>45463</v>
      </c>
      <c r="R2155" s="36">
        <v>4.2500000000000003E-2</v>
      </c>
      <c r="S2155" s="37">
        <v>4.2599999999999999E-2</v>
      </c>
    </row>
    <row r="2156" spans="1:19" x14ac:dyDescent="0.2">
      <c r="A2156" s="1"/>
      <c r="B2156" s="13">
        <v>42586</v>
      </c>
      <c r="C2156" s="14">
        <v>29.3</v>
      </c>
      <c r="D2156" s="15">
        <v>486193</v>
      </c>
      <c r="E2156" s="14">
        <v>29.29</v>
      </c>
      <c r="F2156" s="14">
        <v>29.88</v>
      </c>
      <c r="G2156" s="16">
        <v>28.425000000000001</v>
      </c>
      <c r="H2156" s="69">
        <f t="shared" si="49"/>
        <v>-1.4131897711978425E-2</v>
      </c>
      <c r="O2156" s="1319"/>
      <c r="P2156" s="1319"/>
      <c r="Q2156" s="35">
        <v>45464</v>
      </c>
      <c r="R2156" s="36">
        <v>4.2500000000000003E-2</v>
      </c>
      <c r="S2156" s="37">
        <v>4.2599999999999999E-2</v>
      </c>
    </row>
    <row r="2157" spans="1:19" x14ac:dyDescent="0.2">
      <c r="A2157" s="1"/>
      <c r="B2157" s="13">
        <v>42585</v>
      </c>
      <c r="C2157" s="14">
        <v>29.72</v>
      </c>
      <c r="D2157" s="15">
        <v>272000</v>
      </c>
      <c r="E2157" s="14">
        <v>28.92</v>
      </c>
      <c r="F2157" s="14">
        <v>29.75</v>
      </c>
      <c r="G2157" s="16">
        <v>28.81</v>
      </c>
      <c r="H2157" s="69">
        <f t="shared" si="49"/>
        <v>3.1228313671061603E-2</v>
      </c>
      <c r="O2157" s="1319"/>
      <c r="P2157" s="1319"/>
      <c r="Q2157" s="35">
        <v>45467</v>
      </c>
      <c r="R2157" s="36">
        <v>4.2500000000000003E-2</v>
      </c>
      <c r="S2157" s="37">
        <v>4.2699999999999995E-2</v>
      </c>
    </row>
    <row r="2158" spans="1:19" x14ac:dyDescent="0.2">
      <c r="A2158" s="1"/>
      <c r="B2158" s="13">
        <v>42584</v>
      </c>
      <c r="C2158" s="14">
        <v>28.82</v>
      </c>
      <c r="D2158" s="15">
        <v>243779</v>
      </c>
      <c r="E2158" s="14">
        <v>28.98</v>
      </c>
      <c r="F2158" s="14">
        <v>28.98</v>
      </c>
      <c r="G2158" s="16">
        <v>28.37</v>
      </c>
      <c r="H2158" s="69">
        <f t="shared" si="49"/>
        <v>-3.4578146611342619E-3</v>
      </c>
      <c r="O2158" s="1319"/>
      <c r="P2158" s="1319"/>
      <c r="Q2158" s="35">
        <v>45468</v>
      </c>
      <c r="R2158" s="36">
        <v>4.2300000000000004E-2</v>
      </c>
      <c r="S2158" s="37">
        <v>4.2500000000000003E-2</v>
      </c>
    </row>
    <row r="2159" spans="1:19" x14ac:dyDescent="0.2">
      <c r="A2159" s="1"/>
      <c r="B2159" s="13">
        <v>42583</v>
      </c>
      <c r="C2159" s="14">
        <v>28.92</v>
      </c>
      <c r="D2159" s="15">
        <v>378932</v>
      </c>
      <c r="E2159" s="14">
        <v>29.02</v>
      </c>
      <c r="F2159" s="14">
        <v>29.74</v>
      </c>
      <c r="G2159" s="16">
        <v>28.44</v>
      </c>
      <c r="H2159" s="69">
        <f t="shared" si="49"/>
        <v>1.0384215991692258E-3</v>
      </c>
      <c r="O2159" s="1319"/>
      <c r="P2159" s="1319"/>
      <c r="Q2159" s="35">
        <v>45469</v>
      </c>
      <c r="R2159" s="36">
        <v>4.3200000000000002E-2</v>
      </c>
      <c r="S2159" s="37">
        <v>4.3200000000000002E-2</v>
      </c>
    </row>
    <row r="2160" spans="1:19" x14ac:dyDescent="0.2">
      <c r="A2160" s="1"/>
      <c r="B2160" s="13">
        <v>42580</v>
      </c>
      <c r="C2160" s="14">
        <v>28.89</v>
      </c>
      <c r="D2160" s="15">
        <v>529140</v>
      </c>
      <c r="E2160" s="14">
        <v>25.1</v>
      </c>
      <c r="F2160" s="14">
        <v>29</v>
      </c>
      <c r="G2160" s="16">
        <v>24.76</v>
      </c>
      <c r="H2160" s="69">
        <f t="shared" si="49"/>
        <v>8.0808080808080884E-2</v>
      </c>
      <c r="O2160" s="1319"/>
      <c r="P2160" s="1319"/>
      <c r="Q2160" s="35">
        <v>45470</v>
      </c>
      <c r="R2160" s="36">
        <v>4.2900000000000001E-2</v>
      </c>
      <c r="S2160" s="37">
        <v>4.2900000000000001E-2</v>
      </c>
    </row>
    <row r="2161" spans="1:19" x14ac:dyDescent="0.2">
      <c r="A2161" s="1"/>
      <c r="B2161" s="13">
        <v>42579</v>
      </c>
      <c r="C2161" s="14">
        <v>26.73</v>
      </c>
      <c r="D2161" s="15">
        <v>328406</v>
      </c>
      <c r="E2161" s="14">
        <v>25.75</v>
      </c>
      <c r="F2161" s="14">
        <v>26.795000000000002</v>
      </c>
      <c r="G2161" s="16">
        <v>25.38</v>
      </c>
      <c r="H2161" s="69">
        <f t="shared" si="49"/>
        <v>3.5243996901626717E-2</v>
      </c>
      <c r="O2161" s="1319"/>
      <c r="P2161" s="1319"/>
      <c r="Q2161" s="35">
        <v>45471</v>
      </c>
      <c r="R2161" s="36">
        <v>4.36E-2</v>
      </c>
      <c r="S2161" s="37">
        <v>4.3299999999999998E-2</v>
      </c>
    </row>
    <row r="2162" spans="1:19" x14ac:dyDescent="0.2">
      <c r="A2162" s="1"/>
      <c r="B2162" s="13">
        <v>42578</v>
      </c>
      <c r="C2162" s="14">
        <v>25.82</v>
      </c>
      <c r="D2162" s="15">
        <v>128746</v>
      </c>
      <c r="E2162" s="14">
        <v>25.81</v>
      </c>
      <c r="F2162" s="14">
        <v>25.99</v>
      </c>
      <c r="G2162" s="16">
        <v>25.67</v>
      </c>
      <c r="H2162" s="69">
        <f t="shared" si="49"/>
        <v>1.1632415664986073E-3</v>
      </c>
      <c r="O2162" s="1319"/>
      <c r="P2162" s="1319"/>
      <c r="Q2162" s="35">
        <v>45474</v>
      </c>
      <c r="R2162" s="36">
        <v>4.4800000000000006E-2</v>
      </c>
      <c r="S2162" s="37">
        <v>4.4400000000000002E-2</v>
      </c>
    </row>
    <row r="2163" spans="1:19" x14ac:dyDescent="0.2">
      <c r="A2163" s="1"/>
      <c r="B2163" s="13">
        <v>42577</v>
      </c>
      <c r="C2163" s="14">
        <v>25.79</v>
      </c>
      <c r="D2163" s="15">
        <v>188880</v>
      </c>
      <c r="E2163" s="14">
        <v>25</v>
      </c>
      <c r="F2163" s="14">
        <v>25.79</v>
      </c>
      <c r="G2163" s="16">
        <v>24.8</v>
      </c>
      <c r="H2163" s="69">
        <f t="shared" si="49"/>
        <v>3.5327177840224877E-2</v>
      </c>
      <c r="O2163" s="1319"/>
      <c r="P2163" s="1319"/>
      <c r="Q2163" s="35">
        <v>45475</v>
      </c>
      <c r="R2163" s="36">
        <v>4.4299999999999999E-2</v>
      </c>
      <c r="S2163" s="37">
        <v>4.3899999999999995E-2</v>
      </c>
    </row>
    <row r="2164" spans="1:19" x14ac:dyDescent="0.2">
      <c r="A2164" s="1"/>
      <c r="B2164" s="13">
        <v>42576</v>
      </c>
      <c r="C2164" s="14">
        <v>24.91</v>
      </c>
      <c r="D2164" s="15">
        <v>148837</v>
      </c>
      <c r="E2164" s="14">
        <v>25.71</v>
      </c>
      <c r="F2164" s="14">
        <v>26.864999999999998</v>
      </c>
      <c r="G2164" s="16">
        <v>24.71</v>
      </c>
      <c r="H2164" s="69">
        <f t="shared" si="49"/>
        <v>-3.4870205346764771E-2</v>
      </c>
      <c r="O2164" s="1319"/>
      <c r="P2164" s="1319"/>
      <c r="Q2164" s="35">
        <v>45476</v>
      </c>
      <c r="R2164" s="36">
        <v>4.36E-2</v>
      </c>
      <c r="S2164" s="37">
        <v>4.3299999999999998E-2</v>
      </c>
    </row>
    <row r="2165" spans="1:19" x14ac:dyDescent="0.2">
      <c r="A2165" s="1"/>
      <c r="B2165" s="13">
        <v>42573</v>
      </c>
      <c r="C2165" s="14">
        <v>25.81</v>
      </c>
      <c r="D2165" s="15">
        <v>191714</v>
      </c>
      <c r="E2165" s="14">
        <v>24.74</v>
      </c>
      <c r="F2165" s="14">
        <v>25.86</v>
      </c>
      <c r="G2165" s="16">
        <v>24.54</v>
      </c>
      <c r="H2165" s="69">
        <f t="shared" si="49"/>
        <v>4.2407108239095104E-2</v>
      </c>
      <c r="O2165" s="1319"/>
      <c r="P2165" s="1319"/>
      <c r="Q2165" s="35">
        <v>45478</v>
      </c>
      <c r="R2165" s="36">
        <v>4.2800000000000005E-2</v>
      </c>
      <c r="S2165" s="37">
        <v>4.2199999999999994E-2</v>
      </c>
    </row>
    <row r="2166" spans="1:19" x14ac:dyDescent="0.2">
      <c r="A2166" s="1"/>
      <c r="B2166" s="13">
        <v>42572</v>
      </c>
      <c r="C2166" s="14">
        <v>24.76</v>
      </c>
      <c r="D2166" s="15">
        <v>184967</v>
      </c>
      <c r="E2166" s="14">
        <v>25.19</v>
      </c>
      <c r="F2166" s="14">
        <v>25.35</v>
      </c>
      <c r="G2166" s="16">
        <v>24.62</v>
      </c>
      <c r="H2166" s="69">
        <f t="shared" si="49"/>
        <v>-2.0956899960458575E-2</v>
      </c>
      <c r="O2166" s="1319"/>
      <c r="P2166" s="1319"/>
      <c r="Q2166" s="35">
        <v>45481</v>
      </c>
      <c r="R2166" s="36">
        <v>4.2800000000000005E-2</v>
      </c>
      <c r="S2166" s="37">
        <v>4.2300000000000004E-2</v>
      </c>
    </row>
    <row r="2167" spans="1:19" x14ac:dyDescent="0.2">
      <c r="A2167" s="1"/>
      <c r="B2167" s="13">
        <v>42571</v>
      </c>
      <c r="C2167" s="14">
        <v>25.29</v>
      </c>
      <c r="D2167" s="15">
        <v>111608</v>
      </c>
      <c r="E2167" s="14">
        <v>25.55</v>
      </c>
      <c r="F2167" s="14">
        <v>26.01</v>
      </c>
      <c r="G2167" s="16">
        <v>25.14</v>
      </c>
      <c r="H2167" s="69">
        <f t="shared" si="49"/>
        <v>0</v>
      </c>
      <c r="O2167" s="1319"/>
      <c r="P2167" s="1319"/>
      <c r="Q2167" s="35">
        <v>45482</v>
      </c>
      <c r="R2167" s="36">
        <v>4.2999999999999997E-2</v>
      </c>
      <c r="S2167" s="37">
        <v>4.24E-2</v>
      </c>
    </row>
    <row r="2168" spans="1:19" x14ac:dyDescent="0.2">
      <c r="A2168" s="1"/>
      <c r="B2168" s="13">
        <v>42570</v>
      </c>
      <c r="C2168" s="14">
        <v>25.29</v>
      </c>
      <c r="D2168" s="15">
        <v>159210</v>
      </c>
      <c r="E2168" s="14">
        <v>25.75</v>
      </c>
      <c r="F2168" s="14">
        <v>26.01</v>
      </c>
      <c r="G2168" s="16">
        <v>25.26</v>
      </c>
      <c r="H2168" s="69">
        <f t="shared" si="49"/>
        <v>-2.0147229755908547E-2</v>
      </c>
      <c r="O2168" s="1319"/>
      <c r="P2168" s="1319"/>
      <c r="Q2168" s="35">
        <v>45483</v>
      </c>
      <c r="R2168" s="36">
        <v>4.2800000000000005E-2</v>
      </c>
      <c r="S2168" s="37">
        <v>4.24E-2</v>
      </c>
    </row>
    <row r="2169" spans="1:19" x14ac:dyDescent="0.2">
      <c r="A2169" s="1"/>
      <c r="B2169" s="13">
        <v>42569</v>
      </c>
      <c r="C2169" s="14">
        <v>25.81</v>
      </c>
      <c r="D2169" s="15">
        <v>209943</v>
      </c>
      <c r="E2169" s="14">
        <v>26</v>
      </c>
      <c r="F2169" s="14">
        <v>26.18</v>
      </c>
      <c r="G2169" s="16">
        <v>25.72</v>
      </c>
      <c r="H2169" s="69">
        <f t="shared" si="49"/>
        <v>-1.5636918382913811E-2</v>
      </c>
      <c r="O2169" s="1319"/>
      <c r="P2169" s="1319"/>
      <c r="Q2169" s="35">
        <v>45484</v>
      </c>
      <c r="R2169" s="36">
        <v>4.2000000000000003E-2</v>
      </c>
      <c r="S2169" s="37">
        <v>4.1299999999999996E-2</v>
      </c>
    </row>
    <row r="2170" spans="1:19" x14ac:dyDescent="0.2">
      <c r="A2170" s="1"/>
      <c r="B2170" s="13">
        <v>42566</v>
      </c>
      <c r="C2170" s="14">
        <v>26.22</v>
      </c>
      <c r="D2170" s="15">
        <v>173487</v>
      </c>
      <c r="E2170" s="14">
        <v>26.33</v>
      </c>
      <c r="F2170" s="14">
        <v>26.33</v>
      </c>
      <c r="G2170" s="16">
        <v>25.71</v>
      </c>
      <c r="H2170" s="69">
        <f t="shared" si="49"/>
        <v>7.6335877862598878E-4</v>
      </c>
      <c r="O2170" s="1319"/>
      <c r="P2170" s="1319"/>
      <c r="Q2170" s="35">
        <v>45485</v>
      </c>
      <c r="R2170" s="36">
        <v>4.1799999999999997E-2</v>
      </c>
      <c r="S2170" s="37">
        <v>4.0999999999999995E-2</v>
      </c>
    </row>
    <row r="2171" spans="1:19" x14ac:dyDescent="0.2">
      <c r="A2171" s="1"/>
      <c r="B2171" s="13">
        <v>42565</v>
      </c>
      <c r="C2171" s="14">
        <v>26.2</v>
      </c>
      <c r="D2171" s="15">
        <v>164971</v>
      </c>
      <c r="E2171" s="14">
        <v>27.33</v>
      </c>
      <c r="F2171" s="14">
        <v>27.35</v>
      </c>
      <c r="G2171" s="16">
        <v>26.17</v>
      </c>
      <c r="H2171" s="69">
        <f t="shared" si="49"/>
        <v>-3.534609720176729E-2</v>
      </c>
      <c r="O2171" s="1319"/>
      <c r="P2171" s="1319"/>
      <c r="Q2171" s="35">
        <v>45488</v>
      </c>
      <c r="R2171" s="36">
        <v>4.2300000000000004E-2</v>
      </c>
      <c r="S2171" s="37">
        <v>4.1299999999999996E-2</v>
      </c>
    </row>
    <row r="2172" spans="1:19" x14ac:dyDescent="0.2">
      <c r="A2172" s="1"/>
      <c r="B2172" s="13">
        <v>42564</v>
      </c>
      <c r="C2172" s="14">
        <v>27.16</v>
      </c>
      <c r="D2172" s="15">
        <v>157087</v>
      </c>
      <c r="E2172" s="14">
        <v>26.73</v>
      </c>
      <c r="F2172" s="14">
        <v>27.17</v>
      </c>
      <c r="G2172" s="16">
        <v>26.46</v>
      </c>
      <c r="H2172" s="69">
        <f t="shared" si="49"/>
        <v>2.1052631578947212E-2</v>
      </c>
      <c r="O2172" s="1319"/>
      <c r="P2172" s="1319"/>
      <c r="Q2172" s="35">
        <v>45489</v>
      </c>
      <c r="R2172" s="36">
        <v>4.1700000000000001E-2</v>
      </c>
      <c r="S2172" s="37">
        <v>4.0899999999999999E-2</v>
      </c>
    </row>
    <row r="2173" spans="1:19" x14ac:dyDescent="0.2">
      <c r="A2173" s="1"/>
      <c r="B2173" s="13">
        <v>42563</v>
      </c>
      <c r="C2173" s="14">
        <v>26.6</v>
      </c>
      <c r="D2173" s="15">
        <v>154514</v>
      </c>
      <c r="E2173" s="14">
        <v>26.25</v>
      </c>
      <c r="F2173" s="14">
        <v>26.74</v>
      </c>
      <c r="G2173" s="16">
        <v>25.85</v>
      </c>
      <c r="H2173" s="69">
        <f t="shared" si="49"/>
        <v>1.4105985512771646E-2</v>
      </c>
      <c r="O2173" s="1319"/>
      <c r="P2173" s="1319"/>
      <c r="Q2173" s="35">
        <v>45490</v>
      </c>
      <c r="R2173" s="36">
        <v>4.1599999999999998E-2</v>
      </c>
      <c r="S2173" s="37">
        <v>4.07E-2</v>
      </c>
    </row>
    <row r="2174" spans="1:19" x14ac:dyDescent="0.2">
      <c r="A2174" s="1"/>
      <c r="B2174" s="13">
        <v>42562</v>
      </c>
      <c r="C2174" s="14">
        <v>26.23</v>
      </c>
      <c r="D2174" s="15">
        <v>92603</v>
      </c>
      <c r="E2174" s="14">
        <v>25.87</v>
      </c>
      <c r="F2174" s="14">
        <v>26.28</v>
      </c>
      <c r="G2174" s="16">
        <v>25.85</v>
      </c>
      <c r="H2174" s="69">
        <f t="shared" si="49"/>
        <v>2.0225593154414634E-2</v>
      </c>
      <c r="O2174" s="1319"/>
      <c r="P2174" s="1319"/>
      <c r="Q2174" s="35">
        <v>45491</v>
      </c>
      <c r="R2174" s="36">
        <v>4.2000000000000003E-2</v>
      </c>
      <c r="S2174" s="37">
        <v>4.1100000000000005E-2</v>
      </c>
    </row>
    <row r="2175" spans="1:19" x14ac:dyDescent="0.2">
      <c r="A2175" s="1"/>
      <c r="B2175" s="13">
        <v>42559</v>
      </c>
      <c r="C2175" s="14">
        <v>25.71</v>
      </c>
      <c r="D2175" s="15">
        <v>119876</v>
      </c>
      <c r="E2175" s="14">
        <v>24.71</v>
      </c>
      <c r="F2175" s="14">
        <v>25.79</v>
      </c>
      <c r="G2175" s="16">
        <v>24.71</v>
      </c>
      <c r="H2175" s="69">
        <f t="shared" si="49"/>
        <v>5.3256861941827216E-2</v>
      </c>
      <c r="O2175" s="1319"/>
      <c r="P2175" s="1319"/>
      <c r="Q2175" s="35">
        <v>45492</v>
      </c>
      <c r="R2175" s="36">
        <v>4.2500000000000003E-2</v>
      </c>
      <c r="S2175" s="37">
        <v>4.1599999999999998E-2</v>
      </c>
    </row>
    <row r="2176" spans="1:19" x14ac:dyDescent="0.2">
      <c r="A2176" s="1"/>
      <c r="B2176" s="13">
        <v>42558</v>
      </c>
      <c r="C2176" s="14">
        <v>24.41</v>
      </c>
      <c r="D2176" s="15">
        <v>123607</v>
      </c>
      <c r="E2176" s="14">
        <v>24.61</v>
      </c>
      <c r="F2176" s="14">
        <v>25.07</v>
      </c>
      <c r="G2176" s="16">
        <v>24.14</v>
      </c>
      <c r="H2176" s="69">
        <f t="shared" si="49"/>
        <v>-4.0799673602611719E-3</v>
      </c>
      <c r="O2176" s="1319"/>
      <c r="P2176" s="1319"/>
      <c r="Q2176" s="35">
        <v>45495</v>
      </c>
      <c r="R2176" s="36">
        <v>4.2599999999999999E-2</v>
      </c>
      <c r="S2176" s="37">
        <v>4.1700000000000001E-2</v>
      </c>
    </row>
    <row r="2177" spans="1:19" x14ac:dyDescent="0.2">
      <c r="A2177" s="1"/>
      <c r="B2177" s="13">
        <v>42557</v>
      </c>
      <c r="C2177" s="14">
        <v>24.51</v>
      </c>
      <c r="D2177" s="15">
        <v>137434</v>
      </c>
      <c r="E2177" s="14">
        <v>24.42</v>
      </c>
      <c r="F2177" s="14">
        <v>24.61</v>
      </c>
      <c r="G2177" s="16">
        <v>24.06</v>
      </c>
      <c r="H2177" s="69">
        <f t="shared" si="49"/>
        <v>-6.8881685575363782E-3</v>
      </c>
      <c r="O2177" s="1319"/>
      <c r="P2177" s="1319"/>
      <c r="Q2177" s="35">
        <v>45496</v>
      </c>
      <c r="R2177" s="36">
        <v>4.2500000000000003E-2</v>
      </c>
      <c r="S2177" s="37">
        <v>4.1500000000000002E-2</v>
      </c>
    </row>
    <row r="2178" spans="1:19" x14ac:dyDescent="0.2">
      <c r="A2178" s="1"/>
      <c r="B2178" s="13">
        <v>42556</v>
      </c>
      <c r="C2178" s="14">
        <v>24.68</v>
      </c>
      <c r="D2178" s="15">
        <v>176817</v>
      </c>
      <c r="E2178" s="14">
        <v>25.84</v>
      </c>
      <c r="F2178" s="14">
        <v>25.84</v>
      </c>
      <c r="G2178" s="16">
        <v>24.46</v>
      </c>
      <c r="H2178" s="69">
        <f t="shared" si="49"/>
        <v>-4.1553398058252422E-2</v>
      </c>
      <c r="O2178" s="1319"/>
      <c r="P2178" s="1319"/>
      <c r="Q2178" s="35">
        <v>45497</v>
      </c>
      <c r="R2178" s="36">
        <v>4.2800000000000005E-2</v>
      </c>
      <c r="S2178" s="37">
        <v>4.1200000000000001E-2</v>
      </c>
    </row>
    <row r="2179" spans="1:19" x14ac:dyDescent="0.2">
      <c r="A2179" s="1"/>
      <c r="B2179" s="13">
        <v>42552</v>
      </c>
      <c r="C2179" s="14">
        <v>25.75</v>
      </c>
      <c r="D2179" s="15">
        <v>106846</v>
      </c>
      <c r="E2179" s="14">
        <v>25.1</v>
      </c>
      <c r="F2179" s="14">
        <v>25.78</v>
      </c>
      <c r="G2179" s="16">
        <v>25.1</v>
      </c>
      <c r="H2179" s="69">
        <f t="shared" si="49"/>
        <v>2.4264120922832033E-2</v>
      </c>
      <c r="O2179" s="1319"/>
      <c r="P2179" s="1319"/>
      <c r="Q2179" s="35">
        <v>45498</v>
      </c>
      <c r="R2179" s="36">
        <v>4.2699999999999995E-2</v>
      </c>
      <c r="S2179" s="37">
        <v>4.1299999999999996E-2</v>
      </c>
    </row>
    <row r="2180" spans="1:19" x14ac:dyDescent="0.2">
      <c r="A2180" s="1"/>
      <c r="B2180" s="13">
        <v>42551</v>
      </c>
      <c r="C2180" s="14">
        <v>25.14</v>
      </c>
      <c r="D2180" s="15">
        <v>263914</v>
      </c>
      <c r="E2180" s="14">
        <v>24.73</v>
      </c>
      <c r="F2180" s="14">
        <v>25.28</v>
      </c>
      <c r="G2180" s="16">
        <v>24.41</v>
      </c>
      <c r="H2180" s="69">
        <f t="shared" si="49"/>
        <v>1.616814874696848E-2</v>
      </c>
      <c r="O2180" s="1319"/>
      <c r="P2180" s="1319"/>
      <c r="Q2180" s="35">
        <v>45499</v>
      </c>
      <c r="R2180" s="36">
        <v>4.2000000000000003E-2</v>
      </c>
      <c r="S2180" s="37">
        <v>4.0599999999999997E-2</v>
      </c>
    </row>
    <row r="2181" spans="1:19" x14ac:dyDescent="0.2">
      <c r="A2181" s="1"/>
      <c r="B2181" s="13">
        <v>42550</v>
      </c>
      <c r="C2181" s="14">
        <v>24.74</v>
      </c>
      <c r="D2181" s="15">
        <v>126074</v>
      </c>
      <c r="E2181" s="14">
        <v>24.18</v>
      </c>
      <c r="F2181" s="14">
        <v>24.99</v>
      </c>
      <c r="G2181" s="16">
        <v>23.87</v>
      </c>
      <c r="H2181" s="69">
        <f t="shared" si="49"/>
        <v>4.1684210526315768E-2</v>
      </c>
      <c r="O2181" s="1319"/>
      <c r="P2181" s="1319"/>
      <c r="Q2181" s="35">
        <v>45502</v>
      </c>
      <c r="R2181" s="36">
        <v>4.1700000000000001E-2</v>
      </c>
      <c r="S2181" s="37">
        <v>4.0500000000000001E-2</v>
      </c>
    </row>
    <row r="2182" spans="1:19" x14ac:dyDescent="0.2">
      <c r="A2182" s="1"/>
      <c r="B2182" s="13">
        <v>42549</v>
      </c>
      <c r="C2182" s="14">
        <v>23.75</v>
      </c>
      <c r="D2182" s="15">
        <v>231857</v>
      </c>
      <c r="E2182" s="14">
        <v>24.2</v>
      </c>
      <c r="F2182" s="14">
        <v>24.22</v>
      </c>
      <c r="G2182" s="16">
        <v>23.27</v>
      </c>
      <c r="H2182" s="69">
        <f t="shared" si="49"/>
        <v>0</v>
      </c>
      <c r="O2182" s="1319"/>
      <c r="P2182" s="1319"/>
      <c r="Q2182" s="35">
        <v>45503</v>
      </c>
      <c r="R2182" s="36">
        <v>4.1500000000000002E-2</v>
      </c>
      <c r="S2182" s="37">
        <v>4.0300000000000002E-2</v>
      </c>
    </row>
    <row r="2183" spans="1:19" x14ac:dyDescent="0.2">
      <c r="A2183" s="1"/>
      <c r="B2183" s="13">
        <v>42548</v>
      </c>
      <c r="C2183" s="14">
        <v>23.75</v>
      </c>
      <c r="D2183" s="15">
        <v>171663</v>
      </c>
      <c r="E2183" s="14">
        <v>24.48</v>
      </c>
      <c r="F2183" s="14">
        <v>24.48</v>
      </c>
      <c r="G2183" s="16">
        <v>23.55</v>
      </c>
      <c r="H2183" s="69">
        <f t="shared" si="49"/>
        <v>-4.6567643516659984E-2</v>
      </c>
      <c r="O2183" s="1319"/>
      <c r="P2183" s="1319"/>
      <c r="Q2183" s="35">
        <v>45504</v>
      </c>
      <c r="R2183" s="36">
        <v>4.0899999999999999E-2</v>
      </c>
      <c r="S2183" s="37">
        <v>3.9699999999999999E-2</v>
      </c>
    </row>
    <row r="2184" spans="1:19" x14ac:dyDescent="0.2">
      <c r="A2184" s="1"/>
      <c r="B2184" s="13">
        <v>42545</v>
      </c>
      <c r="C2184" s="14">
        <v>24.91</v>
      </c>
      <c r="D2184" s="15">
        <v>960166</v>
      </c>
      <c r="E2184" s="14">
        <v>24.74</v>
      </c>
      <c r="F2184" s="14">
        <v>25.46</v>
      </c>
      <c r="G2184" s="16">
        <v>24.36</v>
      </c>
      <c r="H2184" s="69">
        <f t="shared" si="49"/>
        <v>-4.2291426374471364E-2</v>
      </c>
      <c r="O2184" s="1319"/>
      <c r="P2184" s="1319"/>
      <c r="Q2184" s="35">
        <v>45505</v>
      </c>
      <c r="R2184" s="36">
        <v>3.9900000000000005E-2</v>
      </c>
      <c r="S2184" s="37">
        <v>3.8399999999999997E-2</v>
      </c>
    </row>
    <row r="2185" spans="1:19" x14ac:dyDescent="0.2">
      <c r="A2185" s="1"/>
      <c r="B2185" s="13">
        <v>42544</v>
      </c>
      <c r="C2185" s="14">
        <v>26.01</v>
      </c>
      <c r="D2185" s="15">
        <v>136477</v>
      </c>
      <c r="E2185" s="14">
        <v>25.59</v>
      </c>
      <c r="F2185" s="14">
        <v>26.03</v>
      </c>
      <c r="G2185" s="16">
        <v>25.56</v>
      </c>
      <c r="H2185" s="69">
        <f t="shared" si="49"/>
        <v>2.7657052548399896E-2</v>
      </c>
      <c r="O2185" s="1319"/>
      <c r="P2185" s="1319"/>
      <c r="Q2185" s="35">
        <v>45506</v>
      </c>
      <c r="R2185" s="36">
        <v>3.7999999999999999E-2</v>
      </c>
      <c r="S2185" s="37">
        <v>3.6200000000000003E-2</v>
      </c>
    </row>
    <row r="2186" spans="1:19" x14ac:dyDescent="0.2">
      <c r="A2186" s="1"/>
      <c r="B2186" s="13">
        <v>42543</v>
      </c>
      <c r="C2186" s="14">
        <v>25.31</v>
      </c>
      <c r="D2186" s="15">
        <v>116354</v>
      </c>
      <c r="E2186" s="14">
        <v>25.58</v>
      </c>
      <c r="F2186" s="14">
        <v>25.58</v>
      </c>
      <c r="G2186" s="16">
        <v>24.92</v>
      </c>
      <c r="H2186" s="69">
        <f t="shared" si="49"/>
        <v>-9.7809076682315865E-3</v>
      </c>
      <c r="O2186" s="1319"/>
      <c r="P2186" s="1319"/>
      <c r="Q2186" s="35">
        <v>45509</v>
      </c>
      <c r="R2186" s="36">
        <v>3.78E-2</v>
      </c>
      <c r="S2186" s="37">
        <v>3.6200000000000003E-2</v>
      </c>
    </row>
    <row r="2187" spans="1:19" x14ac:dyDescent="0.2">
      <c r="A2187" s="1"/>
      <c r="B2187" s="13">
        <v>42542</v>
      </c>
      <c r="C2187" s="14">
        <v>25.56</v>
      </c>
      <c r="D2187" s="15">
        <v>124291</v>
      </c>
      <c r="E2187" s="14">
        <v>26.59</v>
      </c>
      <c r="F2187" s="14">
        <v>26.59</v>
      </c>
      <c r="G2187" s="16">
        <v>25.45</v>
      </c>
      <c r="H2187" s="69">
        <f t="shared" si="49"/>
        <v>-4.3055035567203359E-2</v>
      </c>
      <c r="O2187" s="1319"/>
      <c r="P2187" s="1319"/>
      <c r="Q2187" s="35">
        <v>45510</v>
      </c>
      <c r="R2187" s="36">
        <v>3.9E-2</v>
      </c>
      <c r="S2187" s="37">
        <v>3.73E-2</v>
      </c>
    </row>
    <row r="2188" spans="1:19" x14ac:dyDescent="0.2">
      <c r="A2188" s="1"/>
      <c r="B2188" s="13">
        <v>42541</v>
      </c>
      <c r="C2188" s="14">
        <v>26.71</v>
      </c>
      <c r="D2188" s="15">
        <v>167672</v>
      </c>
      <c r="E2188" s="14">
        <v>26.26</v>
      </c>
      <c r="F2188" s="14">
        <v>27.31</v>
      </c>
      <c r="G2188" s="16">
        <v>26.26</v>
      </c>
      <c r="H2188" s="69">
        <f t="shared" si="49"/>
        <v>3.2869296210363608E-2</v>
      </c>
      <c r="O2188" s="1319"/>
      <c r="P2188" s="1319"/>
      <c r="Q2188" s="35">
        <v>45511</v>
      </c>
      <c r="R2188" s="36">
        <v>3.9599999999999996E-2</v>
      </c>
      <c r="S2188" s="37">
        <v>3.7900000000000003E-2</v>
      </c>
    </row>
    <row r="2189" spans="1:19" x14ac:dyDescent="0.2">
      <c r="A2189" s="1"/>
      <c r="B2189" s="13">
        <v>42538</v>
      </c>
      <c r="C2189" s="14">
        <v>25.86</v>
      </c>
      <c r="D2189" s="15">
        <v>286441</v>
      </c>
      <c r="E2189" s="14">
        <v>25.12</v>
      </c>
      <c r="F2189" s="14">
        <v>26.08</v>
      </c>
      <c r="G2189" s="16">
        <v>25.12</v>
      </c>
      <c r="H2189" s="69">
        <f t="shared" si="49"/>
        <v>3.2747603833865879E-2</v>
      </c>
      <c r="O2189" s="1319"/>
      <c r="P2189" s="1319"/>
      <c r="Q2189" s="35">
        <v>45512</v>
      </c>
      <c r="R2189" s="36">
        <v>3.9900000000000005E-2</v>
      </c>
      <c r="S2189" s="37">
        <v>3.8300000000000001E-2</v>
      </c>
    </row>
    <row r="2190" spans="1:19" x14ac:dyDescent="0.2">
      <c r="A2190" s="1"/>
      <c r="B2190" s="13">
        <v>42537</v>
      </c>
      <c r="C2190" s="14">
        <v>25.04</v>
      </c>
      <c r="D2190" s="15">
        <v>173331</v>
      </c>
      <c r="E2190" s="14">
        <v>24.8</v>
      </c>
      <c r="F2190" s="14">
        <v>25.19</v>
      </c>
      <c r="G2190" s="16">
        <v>24.41</v>
      </c>
      <c r="H2190" s="69">
        <f t="shared" si="49"/>
        <v>4.0096230954289602E-3</v>
      </c>
      <c r="O2190" s="1319"/>
      <c r="P2190" s="1319"/>
      <c r="Q2190" s="35">
        <v>45513</v>
      </c>
      <c r="R2190" s="36">
        <v>3.9399999999999998E-2</v>
      </c>
      <c r="S2190" s="37">
        <v>3.7999999999999999E-2</v>
      </c>
    </row>
    <row r="2191" spans="1:19" x14ac:dyDescent="0.2">
      <c r="A2191" s="1"/>
      <c r="B2191" s="13">
        <v>42536</v>
      </c>
      <c r="C2191" s="14">
        <v>24.94</v>
      </c>
      <c r="D2191" s="15">
        <v>185339</v>
      </c>
      <c r="E2191" s="14">
        <v>25.27</v>
      </c>
      <c r="F2191" s="14">
        <v>25.5</v>
      </c>
      <c r="G2191" s="16">
        <v>24.65</v>
      </c>
      <c r="H2191" s="69">
        <f t="shared" si="49"/>
        <v>-1.8110236220472364E-2</v>
      </c>
      <c r="O2191" s="1319"/>
      <c r="P2191" s="1319"/>
      <c r="Q2191" s="35">
        <v>45516</v>
      </c>
      <c r="R2191" s="36">
        <v>3.9E-2</v>
      </c>
      <c r="S2191" s="37">
        <v>3.7499999999999999E-2</v>
      </c>
    </row>
    <row r="2192" spans="1:19" x14ac:dyDescent="0.2">
      <c r="A2192" s="1"/>
      <c r="B2192" s="13">
        <v>42535</v>
      </c>
      <c r="C2192" s="14">
        <v>25.4</v>
      </c>
      <c r="D2192" s="15">
        <v>163366</v>
      </c>
      <c r="E2192" s="14">
        <v>25.28</v>
      </c>
      <c r="F2192" s="14">
        <v>25.86</v>
      </c>
      <c r="G2192" s="16">
        <v>25.19</v>
      </c>
      <c r="H2192" s="69">
        <f t="shared" si="49"/>
        <v>-7.8678206136917339E-4</v>
      </c>
      <c r="O2192" s="1319"/>
      <c r="P2192" s="1319"/>
      <c r="Q2192" s="35">
        <v>45517</v>
      </c>
      <c r="R2192" s="36">
        <v>3.85E-2</v>
      </c>
      <c r="S2192" s="37">
        <v>3.6799999999999999E-2</v>
      </c>
    </row>
    <row r="2193" spans="1:19" x14ac:dyDescent="0.2">
      <c r="A2193" s="1"/>
      <c r="B2193" s="13">
        <v>42534</v>
      </c>
      <c r="C2193" s="14">
        <v>25.42</v>
      </c>
      <c r="D2193" s="15">
        <v>125702</v>
      </c>
      <c r="E2193" s="14">
        <v>25.56</v>
      </c>
      <c r="F2193" s="14">
        <v>25.74</v>
      </c>
      <c r="G2193" s="16">
        <v>25.26</v>
      </c>
      <c r="H2193" s="69">
        <f t="shared" si="49"/>
        <v>-8.1935232149823456E-3</v>
      </c>
      <c r="O2193" s="1319"/>
      <c r="P2193" s="1319"/>
      <c r="Q2193" s="35">
        <v>45518</v>
      </c>
      <c r="R2193" s="36">
        <v>3.8300000000000001E-2</v>
      </c>
      <c r="S2193" s="37">
        <v>3.6699999999999997E-2</v>
      </c>
    </row>
    <row r="2194" spans="1:19" x14ac:dyDescent="0.2">
      <c r="A2194" s="1"/>
      <c r="B2194" s="13">
        <v>42531</v>
      </c>
      <c r="C2194" s="14">
        <v>25.63</v>
      </c>
      <c r="D2194" s="15">
        <v>139341</v>
      </c>
      <c r="E2194" s="14">
        <v>25.99</v>
      </c>
      <c r="F2194" s="14">
        <v>26.98</v>
      </c>
      <c r="G2194" s="16">
        <v>25.37</v>
      </c>
      <c r="H2194" s="69">
        <f t="shared" si="49"/>
        <v>-2.9166666666666674E-2</v>
      </c>
      <c r="O2194" s="1319"/>
      <c r="P2194" s="1319"/>
      <c r="Q2194" s="35">
        <v>45519</v>
      </c>
      <c r="R2194" s="36">
        <v>3.9199999999999999E-2</v>
      </c>
      <c r="S2194" s="37">
        <v>3.7900000000000003E-2</v>
      </c>
    </row>
    <row r="2195" spans="1:19" x14ac:dyDescent="0.2">
      <c r="A2195" s="1"/>
      <c r="B2195" s="13">
        <v>42530</v>
      </c>
      <c r="C2195" s="14">
        <v>26.4</v>
      </c>
      <c r="D2195" s="15">
        <v>172751</v>
      </c>
      <c r="E2195" s="14">
        <v>26.53</v>
      </c>
      <c r="F2195" s="14">
        <v>26.63</v>
      </c>
      <c r="G2195" s="16">
        <v>26.14</v>
      </c>
      <c r="H2195" s="69">
        <f t="shared" si="49"/>
        <v>-1.3821441912588717E-2</v>
      </c>
      <c r="O2195" s="1319"/>
      <c r="P2195" s="1319"/>
      <c r="Q2195" s="35">
        <v>45520</v>
      </c>
      <c r="R2195" s="36">
        <v>3.8900000000000004E-2</v>
      </c>
      <c r="S2195" s="37">
        <v>3.7699999999999997E-2</v>
      </c>
    </row>
    <row r="2196" spans="1:19" x14ac:dyDescent="0.2">
      <c r="A2196" s="1"/>
      <c r="B2196" s="13">
        <v>42529</v>
      </c>
      <c r="C2196" s="14">
        <v>26.77</v>
      </c>
      <c r="D2196" s="15">
        <v>195023</v>
      </c>
      <c r="E2196" s="14">
        <v>25.95</v>
      </c>
      <c r="F2196" s="14">
        <v>26.77</v>
      </c>
      <c r="G2196" s="16">
        <v>25.63</v>
      </c>
      <c r="H2196" s="69">
        <f t="shared" si="49"/>
        <v>3.7999224505622431E-2</v>
      </c>
      <c r="O2196" s="1319"/>
      <c r="P2196" s="1319"/>
      <c r="Q2196" s="35">
        <v>45523</v>
      </c>
      <c r="R2196" s="36">
        <v>3.8599999999999995E-2</v>
      </c>
      <c r="S2196" s="37">
        <v>3.7499999999999999E-2</v>
      </c>
    </row>
    <row r="2197" spans="1:19" x14ac:dyDescent="0.2">
      <c r="A2197" s="1"/>
      <c r="B2197" s="13">
        <v>42528</v>
      </c>
      <c r="C2197" s="14">
        <v>25.79</v>
      </c>
      <c r="D2197" s="15">
        <v>253675</v>
      </c>
      <c r="E2197" s="14">
        <v>25.9</v>
      </c>
      <c r="F2197" s="14">
        <v>26.09</v>
      </c>
      <c r="G2197" s="16">
        <v>25.48</v>
      </c>
      <c r="H2197" s="69">
        <f t="shared" si="49"/>
        <v>-3.8624951718810863E-3</v>
      </c>
      <c r="O2197" s="1319"/>
      <c r="P2197" s="1319"/>
      <c r="Q2197" s="35">
        <v>45524</v>
      </c>
      <c r="R2197" s="36">
        <v>3.8199999999999998E-2</v>
      </c>
      <c r="S2197" s="37">
        <v>3.7000000000000005E-2</v>
      </c>
    </row>
    <row r="2198" spans="1:19" x14ac:dyDescent="0.2">
      <c r="A2198" s="1"/>
      <c r="B2198" s="13">
        <v>42527</v>
      </c>
      <c r="C2198" s="14">
        <v>25.89</v>
      </c>
      <c r="D2198" s="15">
        <v>171582</v>
      </c>
      <c r="E2198" s="14">
        <v>25.75</v>
      </c>
      <c r="F2198" s="14">
        <v>26</v>
      </c>
      <c r="G2198" s="16">
        <v>25.44</v>
      </c>
      <c r="H2198" s="69">
        <f t="shared" si="49"/>
        <v>7.7851304009342037E-3</v>
      </c>
      <c r="O2198" s="1319"/>
      <c r="P2198" s="1319"/>
      <c r="Q2198" s="35">
        <v>45525</v>
      </c>
      <c r="R2198" s="36">
        <v>3.7900000000000003E-2</v>
      </c>
      <c r="S2198" s="37">
        <v>3.6400000000000002E-2</v>
      </c>
    </row>
    <row r="2199" spans="1:19" x14ac:dyDescent="0.2">
      <c r="A2199" s="1"/>
      <c r="B2199" s="13">
        <v>42524</v>
      </c>
      <c r="C2199" s="14">
        <v>25.69</v>
      </c>
      <c r="D2199" s="15">
        <v>262398</v>
      </c>
      <c r="E2199" s="14">
        <v>25.55</v>
      </c>
      <c r="F2199" s="14">
        <v>25.905000000000001</v>
      </c>
      <c r="G2199" s="16">
        <v>24.8201</v>
      </c>
      <c r="H2199" s="69">
        <f t="shared" si="49"/>
        <v>2.3410066328521939E-3</v>
      </c>
      <c r="O2199" s="1319"/>
      <c r="P2199" s="1319"/>
      <c r="Q2199" s="35">
        <v>45526</v>
      </c>
      <c r="R2199" s="36">
        <v>3.8599999999999995E-2</v>
      </c>
      <c r="S2199" s="37">
        <v>3.7200000000000004E-2</v>
      </c>
    </row>
    <row r="2200" spans="1:19" x14ac:dyDescent="0.2">
      <c r="A2200" s="1"/>
      <c r="B2200" s="13">
        <v>42523</v>
      </c>
      <c r="C2200" s="14">
        <v>25.63</v>
      </c>
      <c r="D2200" s="15">
        <v>175495</v>
      </c>
      <c r="E2200" s="14">
        <v>25.87</v>
      </c>
      <c r="F2200" s="14">
        <v>25.87</v>
      </c>
      <c r="G2200" s="16">
        <v>25.05</v>
      </c>
      <c r="H2200" s="69">
        <f t="shared" si="49"/>
        <v>-1.1569610489780224E-2</v>
      </c>
      <c r="O2200" s="1319"/>
      <c r="P2200" s="1319"/>
      <c r="Q2200" s="35">
        <v>45527</v>
      </c>
      <c r="R2200" s="36">
        <v>3.8100000000000002E-2</v>
      </c>
      <c r="S2200" s="37">
        <v>3.6499999999999998E-2</v>
      </c>
    </row>
    <row r="2201" spans="1:19" x14ac:dyDescent="0.2">
      <c r="A2201" s="1"/>
      <c r="B2201" s="13">
        <v>42522</v>
      </c>
      <c r="C2201" s="14">
        <v>25.93</v>
      </c>
      <c r="D2201" s="15">
        <v>218683</v>
      </c>
      <c r="E2201" s="14">
        <v>25.85</v>
      </c>
      <c r="F2201" s="14">
        <v>26.04</v>
      </c>
      <c r="G2201" s="16">
        <v>25.26</v>
      </c>
      <c r="H2201" s="69">
        <f t="shared" si="49"/>
        <v>-5.3701572688914512E-3</v>
      </c>
      <c r="O2201" s="1319"/>
      <c r="P2201" s="1319"/>
      <c r="Q2201" s="35">
        <v>45530</v>
      </c>
      <c r="R2201" s="36">
        <v>3.8199999999999998E-2</v>
      </c>
      <c r="S2201" s="37">
        <v>3.6600000000000001E-2</v>
      </c>
    </row>
    <row r="2202" spans="1:19" x14ac:dyDescent="0.2">
      <c r="A2202" s="1"/>
      <c r="B2202" s="13">
        <v>42521</v>
      </c>
      <c r="C2202" s="14">
        <v>26.07</v>
      </c>
      <c r="D2202" s="15">
        <v>154200</v>
      </c>
      <c r="E2202" s="14">
        <v>25.98</v>
      </c>
      <c r="F2202" s="14">
        <v>26.295000000000002</v>
      </c>
      <c r="G2202" s="16">
        <v>25.85</v>
      </c>
      <c r="H2202" s="69">
        <f t="shared" si="49"/>
        <v>6.5637065637065284E-3</v>
      </c>
      <c r="O2202" s="1319"/>
      <c r="P2202" s="1319"/>
      <c r="Q2202" s="35">
        <v>45531</v>
      </c>
      <c r="R2202" s="36">
        <v>3.8300000000000001E-2</v>
      </c>
      <c r="S2202" s="37">
        <v>3.6600000000000001E-2</v>
      </c>
    </row>
    <row r="2203" spans="1:19" x14ac:dyDescent="0.2">
      <c r="A2203" s="1"/>
      <c r="B2203" s="13">
        <v>42517</v>
      </c>
      <c r="C2203" s="14">
        <v>25.9</v>
      </c>
      <c r="D2203" s="15">
        <v>146887</v>
      </c>
      <c r="E2203" s="14">
        <v>25.89</v>
      </c>
      <c r="F2203" s="14">
        <v>26.14</v>
      </c>
      <c r="G2203" s="16">
        <v>25.8</v>
      </c>
      <c r="H2203" s="69">
        <f t="shared" si="49"/>
        <v>-1.1569610489781113E-3</v>
      </c>
      <c r="O2203" s="1319"/>
      <c r="P2203" s="1319"/>
      <c r="Q2203" s="35">
        <v>45532</v>
      </c>
      <c r="R2203" s="36">
        <v>3.8399999999999997E-2</v>
      </c>
      <c r="S2203" s="37">
        <v>3.6299999999999999E-2</v>
      </c>
    </row>
    <row r="2204" spans="1:19" x14ac:dyDescent="0.2">
      <c r="A2204" s="1"/>
      <c r="B2204" s="13">
        <v>42516</v>
      </c>
      <c r="C2204" s="14">
        <v>25.93</v>
      </c>
      <c r="D2204" s="15">
        <v>145361</v>
      </c>
      <c r="E2204" s="14">
        <v>26.76</v>
      </c>
      <c r="F2204" s="14">
        <v>26.76</v>
      </c>
      <c r="G2204" s="16">
        <v>25.64</v>
      </c>
      <c r="H2204" s="69">
        <f t="shared" si="49"/>
        <v>-5.3701572688914512E-3</v>
      </c>
      <c r="O2204" s="1319"/>
      <c r="P2204" s="1319"/>
      <c r="Q2204" s="35">
        <v>45533</v>
      </c>
      <c r="R2204" s="36">
        <v>3.8699999999999998E-2</v>
      </c>
      <c r="S2204" s="37">
        <v>3.6600000000000001E-2</v>
      </c>
    </row>
    <row r="2205" spans="1:19" x14ac:dyDescent="0.2">
      <c r="A2205" s="1"/>
      <c r="B2205" s="13">
        <v>42515</v>
      </c>
      <c r="C2205" s="14">
        <v>26.07</v>
      </c>
      <c r="D2205" s="15">
        <v>145162</v>
      </c>
      <c r="E2205" s="14">
        <v>25.6</v>
      </c>
      <c r="F2205" s="14">
        <v>26.12</v>
      </c>
      <c r="G2205" s="16">
        <v>25.26</v>
      </c>
      <c r="H2205" s="69">
        <f t="shared" si="49"/>
        <v>2.6782197715636169E-2</v>
      </c>
      <c r="O2205" s="1319"/>
      <c r="P2205" s="1319"/>
      <c r="Q2205" s="35">
        <v>45534</v>
      </c>
      <c r="R2205" s="36">
        <v>3.9100000000000003E-2</v>
      </c>
      <c r="S2205" s="37">
        <v>3.7100000000000001E-2</v>
      </c>
    </row>
    <row r="2206" spans="1:19" x14ac:dyDescent="0.2">
      <c r="A2206" s="1"/>
      <c r="B2206" s="13">
        <v>42514</v>
      </c>
      <c r="C2206" s="14">
        <v>25.39</v>
      </c>
      <c r="D2206" s="15">
        <v>203408</v>
      </c>
      <c r="E2206" s="14">
        <v>24.88</v>
      </c>
      <c r="F2206" s="14">
        <v>25.44</v>
      </c>
      <c r="G2206" s="16">
        <v>24.62</v>
      </c>
      <c r="H2206" s="69">
        <f t="shared" si="49"/>
        <v>2.3790322580645062E-2</v>
      </c>
      <c r="O2206" s="1319"/>
      <c r="P2206" s="1319"/>
      <c r="Q2206" s="35">
        <v>45538</v>
      </c>
      <c r="R2206" s="36">
        <v>3.8399999999999997E-2</v>
      </c>
      <c r="S2206" s="37">
        <v>3.6499999999999998E-2</v>
      </c>
    </row>
    <row r="2207" spans="1:19" x14ac:dyDescent="0.2">
      <c r="A2207" s="1"/>
      <c r="B2207" s="13">
        <v>42513</v>
      </c>
      <c r="C2207" s="14">
        <v>24.8</v>
      </c>
      <c r="D2207" s="15">
        <v>214413</v>
      </c>
      <c r="E2207" s="14">
        <v>25.11</v>
      </c>
      <c r="F2207" s="14">
        <v>25.2</v>
      </c>
      <c r="G2207" s="16">
        <v>24.68</v>
      </c>
      <c r="H2207" s="69">
        <f t="shared" si="49"/>
        <v>-1.4700039729837133E-2</v>
      </c>
      <c r="O2207" s="1319"/>
      <c r="P2207" s="1319"/>
      <c r="Q2207" s="35">
        <v>45539</v>
      </c>
      <c r="R2207" s="36">
        <v>3.7699999999999997E-2</v>
      </c>
      <c r="S2207" s="37">
        <v>3.56E-2</v>
      </c>
    </row>
    <row r="2208" spans="1:19" x14ac:dyDescent="0.2">
      <c r="A2208" s="1"/>
      <c r="B2208" s="13">
        <v>42510</v>
      </c>
      <c r="C2208" s="14">
        <v>25.17</v>
      </c>
      <c r="D2208" s="15">
        <v>131968</v>
      </c>
      <c r="E2208" s="14">
        <v>24.84</v>
      </c>
      <c r="F2208" s="14">
        <v>25.23</v>
      </c>
      <c r="G2208" s="16">
        <v>24.84</v>
      </c>
      <c r="H2208" s="69">
        <f t="shared" si="49"/>
        <v>1.985413290113458E-2</v>
      </c>
      <c r="O2208" s="1319"/>
      <c r="P2208" s="1319"/>
      <c r="Q2208" s="35">
        <v>45540</v>
      </c>
      <c r="R2208" s="36">
        <v>3.73E-2</v>
      </c>
      <c r="S2208" s="37">
        <v>3.5400000000000001E-2</v>
      </c>
    </row>
    <row r="2209" spans="1:19" x14ac:dyDescent="0.2">
      <c r="A2209" s="1"/>
      <c r="B2209" s="13">
        <v>42509</v>
      </c>
      <c r="C2209" s="14">
        <v>24.68</v>
      </c>
      <c r="D2209" s="15">
        <v>198331</v>
      </c>
      <c r="E2209" s="14">
        <v>24.01</v>
      </c>
      <c r="F2209" s="14">
        <v>24.87</v>
      </c>
      <c r="G2209" s="16">
        <v>23.9</v>
      </c>
      <c r="H2209" s="69">
        <f t="shared" si="49"/>
        <v>2.3641642472003399E-2</v>
      </c>
      <c r="O2209" s="1319"/>
      <c r="P2209" s="1319"/>
      <c r="Q2209" s="35">
        <v>45541</v>
      </c>
      <c r="R2209" s="36">
        <v>3.7200000000000004E-2</v>
      </c>
      <c r="S2209" s="37">
        <v>3.5000000000000003E-2</v>
      </c>
    </row>
    <row r="2210" spans="1:19" x14ac:dyDescent="0.2">
      <c r="A2210" s="1"/>
      <c r="B2210" s="13">
        <v>42508</v>
      </c>
      <c r="C2210" s="14">
        <v>24.11</v>
      </c>
      <c r="D2210" s="15">
        <v>286912</v>
      </c>
      <c r="E2210" s="14">
        <v>23.95</v>
      </c>
      <c r="F2210" s="14">
        <v>24.41</v>
      </c>
      <c r="G2210" s="16">
        <v>23.838000000000001</v>
      </c>
      <c r="H2210" s="69">
        <f t="shared" si="49"/>
        <v>0</v>
      </c>
      <c r="O2210" s="1319"/>
      <c r="P2210" s="1319"/>
      <c r="Q2210" s="35">
        <v>45544</v>
      </c>
      <c r="R2210" s="36">
        <v>3.7000000000000005E-2</v>
      </c>
      <c r="S2210" s="37">
        <v>3.49E-2</v>
      </c>
    </row>
    <row r="2211" spans="1:19" x14ac:dyDescent="0.2">
      <c r="A2211" s="1"/>
      <c r="B2211" s="13">
        <v>42507</v>
      </c>
      <c r="C2211" s="14">
        <v>24.11</v>
      </c>
      <c r="D2211" s="15">
        <v>692813</v>
      </c>
      <c r="E2211" s="14">
        <v>24.45</v>
      </c>
      <c r="F2211" s="14">
        <v>25.22</v>
      </c>
      <c r="G2211" s="16">
        <v>23.78</v>
      </c>
      <c r="H2211" s="69">
        <f t="shared" si="49"/>
        <v>-1.672104404567698E-2</v>
      </c>
      <c r="O2211" s="1319"/>
      <c r="P2211" s="1319"/>
      <c r="Q2211" s="35">
        <v>45545</v>
      </c>
      <c r="R2211" s="36">
        <v>3.6499999999999998E-2</v>
      </c>
      <c r="S2211" s="37">
        <v>3.4300000000000004E-2</v>
      </c>
    </row>
    <row r="2212" spans="1:19" x14ac:dyDescent="0.2">
      <c r="A2212" s="1"/>
      <c r="B2212" s="13">
        <v>42506</v>
      </c>
      <c r="C2212" s="14">
        <v>24.52</v>
      </c>
      <c r="D2212" s="15">
        <v>495769</v>
      </c>
      <c r="E2212" s="14">
        <v>24.84</v>
      </c>
      <c r="F2212" s="14">
        <v>25.36</v>
      </c>
      <c r="G2212" s="16">
        <v>24.2</v>
      </c>
      <c r="H2212" s="69">
        <f t="shared" si="49"/>
        <v>-8.8924818108325754E-3</v>
      </c>
      <c r="O2212" s="1319"/>
      <c r="P2212" s="1319"/>
      <c r="Q2212" s="35">
        <v>45546</v>
      </c>
      <c r="R2212" s="36">
        <v>3.6499999999999998E-2</v>
      </c>
      <c r="S2212" s="37">
        <v>3.4500000000000003E-2</v>
      </c>
    </row>
    <row r="2213" spans="1:19" x14ac:dyDescent="0.2">
      <c r="A2213" s="1"/>
      <c r="B2213" s="13">
        <v>42503</v>
      </c>
      <c r="C2213" s="14">
        <v>24.74</v>
      </c>
      <c r="D2213" s="15">
        <v>247002</v>
      </c>
      <c r="E2213" s="14">
        <v>25.98</v>
      </c>
      <c r="F2213" s="14">
        <v>26.27</v>
      </c>
      <c r="G2213" s="16">
        <v>24.62</v>
      </c>
      <c r="H2213" s="69">
        <f t="shared" si="49"/>
        <v>-5.2833078101072073E-2</v>
      </c>
      <c r="O2213" s="1319"/>
      <c r="P2213" s="1319"/>
      <c r="Q2213" s="35">
        <v>45547</v>
      </c>
      <c r="R2213" s="36">
        <v>3.6799999999999999E-2</v>
      </c>
      <c r="S2213" s="37">
        <v>3.4700000000000002E-2</v>
      </c>
    </row>
    <row r="2214" spans="1:19" x14ac:dyDescent="0.2">
      <c r="A2214" s="1"/>
      <c r="B2214" s="13">
        <v>42502</v>
      </c>
      <c r="C2214" s="14">
        <v>26.12</v>
      </c>
      <c r="D2214" s="15">
        <v>337965</v>
      </c>
      <c r="E2214" s="14">
        <v>26.8</v>
      </c>
      <c r="F2214" s="14">
        <v>27</v>
      </c>
      <c r="G2214" s="16">
        <v>25.35</v>
      </c>
      <c r="H2214" s="69">
        <f t="shared" si="49"/>
        <v>-2.4280911468061217E-2</v>
      </c>
      <c r="O2214" s="1319"/>
      <c r="P2214" s="1319"/>
      <c r="Q2214" s="35">
        <v>45548</v>
      </c>
      <c r="R2214" s="36">
        <v>3.6600000000000001E-2</v>
      </c>
      <c r="S2214" s="37">
        <v>3.4300000000000004E-2</v>
      </c>
    </row>
    <row r="2215" spans="1:19" x14ac:dyDescent="0.2">
      <c r="A2215" s="1"/>
      <c r="B2215" s="13">
        <v>42501</v>
      </c>
      <c r="C2215" s="14">
        <v>26.77</v>
      </c>
      <c r="D2215" s="15">
        <v>493553</v>
      </c>
      <c r="E2215" s="14">
        <v>27.08</v>
      </c>
      <c r="F2215" s="14">
        <v>27.87</v>
      </c>
      <c r="G2215" s="16">
        <v>26.68</v>
      </c>
      <c r="H2215" s="69">
        <f t="shared" si="49"/>
        <v>-1.3996316758747684E-2</v>
      </c>
      <c r="O2215" s="1319"/>
      <c r="P2215" s="1319"/>
      <c r="Q2215" s="35">
        <v>45551</v>
      </c>
      <c r="R2215" s="36">
        <v>3.6299999999999999E-2</v>
      </c>
      <c r="S2215" s="37">
        <v>3.4099999999999998E-2</v>
      </c>
    </row>
    <row r="2216" spans="1:19" x14ac:dyDescent="0.2">
      <c r="A2216" s="1"/>
      <c r="B2216" s="13">
        <v>42500</v>
      </c>
      <c r="C2216" s="14">
        <v>27.15</v>
      </c>
      <c r="D2216" s="15">
        <v>345966</v>
      </c>
      <c r="E2216" s="14">
        <v>27.01</v>
      </c>
      <c r="F2216" s="14">
        <v>27.59</v>
      </c>
      <c r="G2216" s="16">
        <v>27.01</v>
      </c>
      <c r="H2216" s="69">
        <f t="shared" ref="H2216:H2279" si="50">C2216/C2217-1</f>
        <v>8.5438335809806532E-3</v>
      </c>
      <c r="O2216" s="1319"/>
      <c r="P2216" s="1319"/>
      <c r="Q2216" s="35">
        <v>45552</v>
      </c>
      <c r="R2216" s="36">
        <v>3.6499999999999998E-2</v>
      </c>
      <c r="S2216" s="37">
        <v>3.44E-2</v>
      </c>
    </row>
    <row r="2217" spans="1:19" x14ac:dyDescent="0.2">
      <c r="A2217" s="1"/>
      <c r="B2217" s="13">
        <v>42499</v>
      </c>
      <c r="C2217" s="14">
        <v>26.92</v>
      </c>
      <c r="D2217" s="15">
        <v>278000</v>
      </c>
      <c r="E2217" s="14">
        <v>27.05</v>
      </c>
      <c r="F2217" s="14">
        <v>27.39</v>
      </c>
      <c r="G2217" s="16">
        <v>26.8</v>
      </c>
      <c r="H2217" s="69">
        <f t="shared" si="50"/>
        <v>-7.3746312684365156E-3</v>
      </c>
      <c r="O2217" s="1319"/>
      <c r="P2217" s="1319"/>
      <c r="Q2217" s="35">
        <v>45553</v>
      </c>
      <c r="R2217" s="36">
        <v>3.7000000000000005E-2</v>
      </c>
      <c r="S2217" s="37">
        <v>3.4700000000000002E-2</v>
      </c>
    </row>
    <row r="2218" spans="1:19" x14ac:dyDescent="0.2">
      <c r="A2218" s="1"/>
      <c r="B2218" s="13">
        <v>42496</v>
      </c>
      <c r="C2218" s="14">
        <v>27.12</v>
      </c>
      <c r="D2218" s="15">
        <v>272967</v>
      </c>
      <c r="E2218" s="14">
        <v>26.44</v>
      </c>
      <c r="F2218" s="14">
        <v>27.13</v>
      </c>
      <c r="G2218" s="16">
        <v>26.29</v>
      </c>
      <c r="H2218" s="69">
        <f t="shared" si="50"/>
        <v>2.4556101246694384E-2</v>
      </c>
      <c r="O2218" s="1319"/>
      <c r="P2218" s="1319"/>
      <c r="Q2218" s="35">
        <v>45554</v>
      </c>
      <c r="R2218" s="36">
        <v>3.73E-2</v>
      </c>
      <c r="S2218" s="37">
        <v>3.49E-2</v>
      </c>
    </row>
    <row r="2219" spans="1:19" x14ac:dyDescent="0.2">
      <c r="A2219" s="1"/>
      <c r="B2219" s="13">
        <v>42495</v>
      </c>
      <c r="C2219" s="14">
        <v>26.47</v>
      </c>
      <c r="D2219" s="15">
        <v>213713</v>
      </c>
      <c r="E2219" s="14">
        <v>26.95</v>
      </c>
      <c r="F2219" s="14">
        <v>27.3</v>
      </c>
      <c r="G2219" s="16">
        <v>26.47</v>
      </c>
      <c r="H2219" s="69">
        <f t="shared" si="50"/>
        <v>-1.3785394932935957E-2</v>
      </c>
      <c r="O2219" s="1319"/>
      <c r="P2219" s="1319"/>
      <c r="Q2219" s="35">
        <v>45555</v>
      </c>
      <c r="R2219" s="36">
        <v>3.73E-2</v>
      </c>
      <c r="S2219" s="37">
        <v>3.4799999999999998E-2</v>
      </c>
    </row>
    <row r="2220" spans="1:19" x14ac:dyDescent="0.2">
      <c r="A2220" s="1"/>
      <c r="B2220" s="13">
        <v>42494</v>
      </c>
      <c r="C2220" s="14">
        <v>26.84</v>
      </c>
      <c r="D2220" s="15">
        <v>265537</v>
      </c>
      <c r="E2220" s="14">
        <v>27.91</v>
      </c>
      <c r="F2220" s="14">
        <v>28.49</v>
      </c>
      <c r="G2220" s="16">
        <v>26.83</v>
      </c>
      <c r="H2220" s="69">
        <f t="shared" si="50"/>
        <v>-4.5179651369619322E-2</v>
      </c>
      <c r="O2220" s="1319"/>
      <c r="P2220" s="1319"/>
      <c r="Q2220" s="35">
        <v>45558</v>
      </c>
      <c r="R2220" s="36">
        <v>3.7499999999999999E-2</v>
      </c>
      <c r="S2220" s="37">
        <v>3.5099999999999999E-2</v>
      </c>
    </row>
    <row r="2221" spans="1:19" x14ac:dyDescent="0.2">
      <c r="A2221" s="1"/>
      <c r="B2221" s="13">
        <v>42493</v>
      </c>
      <c r="C2221" s="14">
        <v>28.11</v>
      </c>
      <c r="D2221" s="15">
        <v>203195</v>
      </c>
      <c r="E2221" s="14">
        <v>28.52</v>
      </c>
      <c r="F2221" s="14">
        <v>28.77</v>
      </c>
      <c r="G2221" s="16">
        <v>27.44</v>
      </c>
      <c r="H2221" s="69">
        <f t="shared" si="50"/>
        <v>-2.2600834492350508E-2</v>
      </c>
      <c r="O2221" s="1319"/>
      <c r="P2221" s="1319"/>
      <c r="Q2221" s="35">
        <v>45559</v>
      </c>
      <c r="R2221" s="36">
        <v>3.7400000000000003E-2</v>
      </c>
      <c r="S2221" s="37">
        <v>3.4700000000000002E-2</v>
      </c>
    </row>
    <row r="2222" spans="1:19" x14ac:dyDescent="0.2">
      <c r="A2222" s="1"/>
      <c r="B2222" s="13">
        <v>42492</v>
      </c>
      <c r="C2222" s="14">
        <v>28.76</v>
      </c>
      <c r="D2222" s="15">
        <v>277984</v>
      </c>
      <c r="E2222" s="14">
        <v>28.92</v>
      </c>
      <c r="F2222" s="14">
        <v>29.18</v>
      </c>
      <c r="G2222" s="16">
        <v>28.44</v>
      </c>
      <c r="H2222" s="69">
        <f t="shared" si="50"/>
        <v>-5.5325034578146415E-3</v>
      </c>
      <c r="O2222" s="1319"/>
      <c r="P2222" s="1319"/>
      <c r="Q2222" s="35">
        <v>45560</v>
      </c>
      <c r="R2222" s="36">
        <v>3.7900000000000003E-2</v>
      </c>
      <c r="S2222" s="37">
        <v>3.5200000000000002E-2</v>
      </c>
    </row>
    <row r="2223" spans="1:19" x14ac:dyDescent="0.2">
      <c r="A2223" s="1"/>
      <c r="B2223" s="13">
        <v>42489</v>
      </c>
      <c r="C2223" s="14">
        <v>28.92</v>
      </c>
      <c r="D2223" s="15">
        <v>537803</v>
      </c>
      <c r="E2223" s="14">
        <v>30.18</v>
      </c>
      <c r="F2223" s="14">
        <v>30.19</v>
      </c>
      <c r="G2223" s="16">
        <v>28.54</v>
      </c>
      <c r="H2223" s="69">
        <f t="shared" si="50"/>
        <v>-3.7924151696606678E-2</v>
      </c>
      <c r="O2223" s="1319"/>
      <c r="P2223" s="1319"/>
      <c r="Q2223" s="35">
        <v>45561</v>
      </c>
      <c r="R2223" s="36">
        <v>3.7900000000000003E-2</v>
      </c>
      <c r="S2223" s="37">
        <v>3.5499999999999997E-2</v>
      </c>
    </row>
    <row r="2224" spans="1:19" x14ac:dyDescent="0.2">
      <c r="A2224" s="1"/>
      <c r="B2224" s="13">
        <v>42488</v>
      </c>
      <c r="C2224" s="14">
        <v>30.06</v>
      </c>
      <c r="D2224" s="15">
        <v>1274971</v>
      </c>
      <c r="E2224" s="14">
        <v>31.62</v>
      </c>
      <c r="F2224" s="14">
        <v>31.62</v>
      </c>
      <c r="G2224" s="16">
        <v>29.92</v>
      </c>
      <c r="H2224" s="69">
        <f t="shared" si="50"/>
        <v>-6.062500000000004E-2</v>
      </c>
      <c r="O2224" s="1319"/>
      <c r="P2224" s="1319"/>
      <c r="Q2224" s="35">
        <v>45562</v>
      </c>
      <c r="R2224" s="36">
        <v>3.7499999999999999E-2</v>
      </c>
      <c r="S2224" s="37">
        <v>3.5000000000000003E-2</v>
      </c>
    </row>
    <row r="2225" spans="1:19" x14ac:dyDescent="0.2">
      <c r="A2225" s="1"/>
      <c r="B2225" s="13">
        <v>42487</v>
      </c>
      <c r="C2225" s="14">
        <v>32</v>
      </c>
      <c r="D2225" s="15">
        <v>1515879</v>
      </c>
      <c r="E2225" s="14">
        <v>29.99</v>
      </c>
      <c r="F2225" s="14">
        <v>32.645000000000003</v>
      </c>
      <c r="G2225" s="16">
        <v>29.69</v>
      </c>
      <c r="H2225" s="69">
        <f t="shared" si="50"/>
        <v>7.9258010118043787E-2</v>
      </c>
      <c r="O2225" s="1319"/>
      <c r="P2225" s="1319"/>
      <c r="Q2225" s="35">
        <v>45565</v>
      </c>
      <c r="R2225" s="36">
        <v>3.8100000000000002E-2</v>
      </c>
      <c r="S2225" s="37">
        <v>3.5799999999999998E-2</v>
      </c>
    </row>
    <row r="2226" spans="1:19" x14ac:dyDescent="0.2">
      <c r="A2226" s="1"/>
      <c r="B2226" s="13">
        <v>42486</v>
      </c>
      <c r="C2226" s="14">
        <v>29.65</v>
      </c>
      <c r="D2226" s="15">
        <v>449904</v>
      </c>
      <c r="E2226" s="14">
        <v>28.98</v>
      </c>
      <c r="F2226" s="14">
        <v>29.85</v>
      </c>
      <c r="G2226" s="16">
        <v>28.67</v>
      </c>
      <c r="H2226" s="69">
        <f t="shared" si="50"/>
        <v>2.6662049861495785E-2</v>
      </c>
      <c r="O2226" s="1319"/>
      <c r="P2226" s="1319"/>
      <c r="Q2226" s="35">
        <v>45566</v>
      </c>
      <c r="R2226" s="36">
        <v>3.7400000000000003E-2</v>
      </c>
      <c r="S2226" s="37">
        <v>3.5099999999999999E-2</v>
      </c>
    </row>
    <row r="2227" spans="1:19" x14ac:dyDescent="0.2">
      <c r="A2227" s="1"/>
      <c r="B2227" s="13">
        <v>42485</v>
      </c>
      <c r="C2227" s="14">
        <v>28.88</v>
      </c>
      <c r="D2227" s="15">
        <v>300252</v>
      </c>
      <c r="E2227" s="14">
        <v>29.5</v>
      </c>
      <c r="F2227" s="14">
        <v>29.5</v>
      </c>
      <c r="G2227" s="16">
        <v>28.34</v>
      </c>
      <c r="H2227" s="69">
        <f t="shared" si="50"/>
        <v>-2.1016949152542375E-2</v>
      </c>
      <c r="O2227" s="1319"/>
      <c r="P2227" s="1319"/>
      <c r="Q2227" s="35">
        <v>45567</v>
      </c>
      <c r="R2227" s="36">
        <v>3.7900000000000003E-2</v>
      </c>
      <c r="S2227" s="37">
        <v>3.5499999999999997E-2</v>
      </c>
    </row>
    <row r="2228" spans="1:19" x14ac:dyDescent="0.2">
      <c r="A2228" s="1"/>
      <c r="B2228" s="13">
        <v>42482</v>
      </c>
      <c r="C2228" s="14">
        <v>29.5</v>
      </c>
      <c r="D2228" s="15">
        <v>376479</v>
      </c>
      <c r="E2228" s="14">
        <v>29.1</v>
      </c>
      <c r="F2228" s="14">
        <v>29.88</v>
      </c>
      <c r="G2228" s="16">
        <v>29.1</v>
      </c>
      <c r="H2228" s="69">
        <f t="shared" si="50"/>
        <v>1.0273972602739656E-2</v>
      </c>
      <c r="O2228" s="1319"/>
      <c r="P2228" s="1319"/>
      <c r="Q2228" s="35">
        <v>45568</v>
      </c>
      <c r="R2228" s="36">
        <v>3.85E-2</v>
      </c>
      <c r="S2228" s="37">
        <v>3.6200000000000003E-2</v>
      </c>
    </row>
    <row r="2229" spans="1:19" x14ac:dyDescent="0.2">
      <c r="A2229" s="1"/>
      <c r="B2229" s="13">
        <v>42481</v>
      </c>
      <c r="C2229" s="14">
        <v>29.2</v>
      </c>
      <c r="D2229" s="15">
        <v>716879</v>
      </c>
      <c r="E2229" s="14">
        <v>29.82</v>
      </c>
      <c r="F2229" s="14">
        <v>29.82</v>
      </c>
      <c r="G2229" s="16">
        <v>28.87</v>
      </c>
      <c r="H2229" s="69">
        <f t="shared" si="50"/>
        <v>-2.1447721179624679E-2</v>
      </c>
      <c r="O2229" s="1319"/>
      <c r="P2229" s="1319"/>
      <c r="Q2229" s="35">
        <v>45569</v>
      </c>
      <c r="R2229" s="36">
        <v>3.9800000000000002E-2</v>
      </c>
      <c r="S2229" s="37">
        <v>3.8100000000000002E-2</v>
      </c>
    </row>
    <row r="2230" spans="1:19" x14ac:dyDescent="0.2">
      <c r="A2230" s="1"/>
      <c r="B2230" s="13">
        <v>42480</v>
      </c>
      <c r="C2230" s="14">
        <v>29.84</v>
      </c>
      <c r="D2230" s="15">
        <v>300995</v>
      </c>
      <c r="E2230" s="14">
        <v>29.02</v>
      </c>
      <c r="F2230" s="14">
        <v>29.91</v>
      </c>
      <c r="G2230" s="16">
        <v>29.02</v>
      </c>
      <c r="H2230" s="69">
        <f t="shared" si="50"/>
        <v>2.5429553264604721E-2</v>
      </c>
      <c r="O2230" s="1319"/>
      <c r="P2230" s="1319"/>
      <c r="Q2230" s="35">
        <v>45572</v>
      </c>
      <c r="R2230" s="36">
        <v>4.0300000000000002E-2</v>
      </c>
      <c r="S2230" s="37">
        <v>3.8599999999999995E-2</v>
      </c>
    </row>
    <row r="2231" spans="1:19" x14ac:dyDescent="0.2">
      <c r="A2231" s="1"/>
      <c r="B2231" s="13">
        <v>42479</v>
      </c>
      <c r="C2231" s="14">
        <v>29.1</v>
      </c>
      <c r="D2231" s="15">
        <v>328112</v>
      </c>
      <c r="E2231" s="14">
        <v>28.38</v>
      </c>
      <c r="F2231" s="14">
        <v>29.27</v>
      </c>
      <c r="G2231" s="16">
        <v>28.38</v>
      </c>
      <c r="H2231" s="69">
        <f t="shared" si="50"/>
        <v>2.6817219477770049E-2</v>
      </c>
      <c r="O2231" s="1319"/>
      <c r="P2231" s="1319"/>
      <c r="Q2231" s="35">
        <v>45573</v>
      </c>
      <c r="R2231" s="36">
        <v>4.0399999999999998E-2</v>
      </c>
      <c r="S2231" s="37">
        <v>3.8599999999999995E-2</v>
      </c>
    </row>
    <row r="2232" spans="1:19" x14ac:dyDescent="0.2">
      <c r="A2232" s="1"/>
      <c r="B2232" s="13">
        <v>42478</v>
      </c>
      <c r="C2232" s="14">
        <v>28.34</v>
      </c>
      <c r="D2232" s="15">
        <v>296226</v>
      </c>
      <c r="E2232" s="14">
        <v>27.84</v>
      </c>
      <c r="F2232" s="14">
        <v>28.58</v>
      </c>
      <c r="G2232" s="16">
        <v>27.65</v>
      </c>
      <c r="H2232" s="69">
        <f t="shared" si="50"/>
        <v>1.6499282639885315E-2</v>
      </c>
      <c r="O2232" s="1319"/>
      <c r="P2232" s="1319"/>
      <c r="Q2232" s="35">
        <v>45574</v>
      </c>
      <c r="R2232" s="36">
        <v>4.0599999999999997E-2</v>
      </c>
      <c r="S2232" s="37">
        <v>3.9100000000000003E-2</v>
      </c>
    </row>
    <row r="2233" spans="1:19" x14ac:dyDescent="0.2">
      <c r="A2233" s="1"/>
      <c r="B2233" s="13">
        <v>42475</v>
      </c>
      <c r="C2233" s="14">
        <v>27.88</v>
      </c>
      <c r="D2233" s="15">
        <v>216946</v>
      </c>
      <c r="E2233" s="14">
        <v>27.65</v>
      </c>
      <c r="F2233" s="14">
        <v>28.05</v>
      </c>
      <c r="G2233" s="16">
        <v>27.36</v>
      </c>
      <c r="H2233" s="69">
        <f t="shared" si="50"/>
        <v>6.8616829180208061E-3</v>
      </c>
      <c r="O2233" s="1319"/>
      <c r="P2233" s="1319"/>
      <c r="Q2233" s="35">
        <v>45575</v>
      </c>
      <c r="R2233" s="36">
        <v>4.0899999999999999E-2</v>
      </c>
      <c r="S2233" s="37">
        <v>3.9100000000000003E-2</v>
      </c>
    </row>
    <row r="2234" spans="1:19" x14ac:dyDescent="0.2">
      <c r="A2234" s="1"/>
      <c r="B2234" s="13">
        <v>42474</v>
      </c>
      <c r="C2234" s="14">
        <v>27.69</v>
      </c>
      <c r="D2234" s="15">
        <v>271224</v>
      </c>
      <c r="E2234" s="14">
        <v>27.89</v>
      </c>
      <c r="F2234" s="14">
        <v>27.92</v>
      </c>
      <c r="G2234" s="16">
        <v>27.344999999999999</v>
      </c>
      <c r="H2234" s="69">
        <f t="shared" si="50"/>
        <v>-9.302325581395321E-3</v>
      </c>
      <c r="O2234" s="1319"/>
      <c r="P2234" s="1319"/>
      <c r="Q2234" s="35">
        <v>45576</v>
      </c>
      <c r="R2234" s="36">
        <v>4.0800000000000003E-2</v>
      </c>
      <c r="S2234" s="37">
        <v>3.8800000000000001E-2</v>
      </c>
    </row>
    <row r="2235" spans="1:19" x14ac:dyDescent="0.2">
      <c r="A2235" s="1"/>
      <c r="B2235" s="13">
        <v>42473</v>
      </c>
      <c r="C2235" s="14">
        <v>27.95</v>
      </c>
      <c r="D2235" s="15">
        <v>299392</v>
      </c>
      <c r="E2235" s="14">
        <v>27.2</v>
      </c>
      <c r="F2235" s="14">
        <v>28.04</v>
      </c>
      <c r="G2235" s="16">
        <v>26.95</v>
      </c>
      <c r="H2235" s="69">
        <f t="shared" si="50"/>
        <v>3.6336670374490287E-2</v>
      </c>
      <c r="O2235" s="1319"/>
      <c r="P2235" s="1319"/>
      <c r="Q2235" s="35">
        <v>45580</v>
      </c>
      <c r="R2235" s="36">
        <v>4.0300000000000002E-2</v>
      </c>
      <c r="S2235" s="37">
        <v>3.8599999999999995E-2</v>
      </c>
    </row>
    <row r="2236" spans="1:19" x14ac:dyDescent="0.2">
      <c r="A2236" s="1"/>
      <c r="B2236" s="13">
        <v>42472</v>
      </c>
      <c r="C2236" s="14">
        <v>26.97</v>
      </c>
      <c r="D2236" s="15">
        <v>120645</v>
      </c>
      <c r="E2236" s="14">
        <v>26.97</v>
      </c>
      <c r="F2236" s="14">
        <v>27.434999999999999</v>
      </c>
      <c r="G2236" s="16">
        <v>26.715</v>
      </c>
      <c r="H2236" s="69">
        <f t="shared" si="50"/>
        <v>-7.4101519081137823E-4</v>
      </c>
      <c r="O2236" s="1319"/>
      <c r="P2236" s="1319"/>
      <c r="Q2236" s="35">
        <v>45581</v>
      </c>
      <c r="R2236" s="36">
        <v>4.0199999999999993E-2</v>
      </c>
      <c r="S2236" s="37">
        <v>3.8399999999999997E-2</v>
      </c>
    </row>
    <row r="2237" spans="1:19" x14ac:dyDescent="0.2">
      <c r="A2237" s="1"/>
      <c r="B2237" s="13">
        <v>42471</v>
      </c>
      <c r="C2237" s="14">
        <v>26.99</v>
      </c>
      <c r="D2237" s="15">
        <v>144996</v>
      </c>
      <c r="E2237" s="14">
        <v>27.22</v>
      </c>
      <c r="F2237" s="14">
        <v>27.88</v>
      </c>
      <c r="G2237" s="16">
        <v>26.59</v>
      </c>
      <c r="H2237" s="69">
        <f t="shared" si="50"/>
        <v>-1.2079062957540354E-2</v>
      </c>
      <c r="O2237" s="1319"/>
      <c r="P2237" s="1319"/>
      <c r="Q2237" s="35">
        <v>45582</v>
      </c>
      <c r="R2237" s="36">
        <v>4.0899999999999999E-2</v>
      </c>
      <c r="S2237" s="37">
        <v>3.9E-2</v>
      </c>
    </row>
    <row r="2238" spans="1:19" x14ac:dyDescent="0.2">
      <c r="A2238" s="1"/>
      <c r="B2238" s="13">
        <v>42468</v>
      </c>
      <c r="C2238" s="14">
        <v>27.32</v>
      </c>
      <c r="D2238" s="15">
        <v>210034</v>
      </c>
      <c r="E2238" s="14">
        <v>27.15</v>
      </c>
      <c r="F2238" s="14">
        <v>27.99</v>
      </c>
      <c r="G2238" s="16">
        <v>26.965</v>
      </c>
      <c r="H2238" s="69">
        <f t="shared" si="50"/>
        <v>1.3729128014842384E-2</v>
      </c>
      <c r="O2238" s="1319"/>
      <c r="P2238" s="1319"/>
      <c r="Q2238" s="35">
        <v>45583</v>
      </c>
      <c r="R2238" s="36">
        <v>4.0800000000000003E-2</v>
      </c>
      <c r="S2238" s="37">
        <v>3.8800000000000001E-2</v>
      </c>
    </row>
    <row r="2239" spans="1:19" x14ac:dyDescent="0.2">
      <c r="A2239" s="1"/>
      <c r="B2239" s="13">
        <v>42467</v>
      </c>
      <c r="C2239" s="14">
        <v>26.95</v>
      </c>
      <c r="D2239" s="15">
        <v>399385</v>
      </c>
      <c r="E2239" s="14">
        <v>26.72</v>
      </c>
      <c r="F2239" s="14">
        <v>27.13</v>
      </c>
      <c r="G2239" s="16">
        <v>26.25</v>
      </c>
      <c r="H2239" s="69">
        <f t="shared" si="50"/>
        <v>4.4726052925829762E-3</v>
      </c>
      <c r="O2239" s="1319"/>
      <c r="P2239" s="1319"/>
      <c r="Q2239" s="35">
        <v>45586</v>
      </c>
      <c r="R2239" s="36">
        <v>4.1900000000000007E-2</v>
      </c>
      <c r="S2239" s="37">
        <v>3.9800000000000002E-2</v>
      </c>
    </row>
    <row r="2240" spans="1:19" x14ac:dyDescent="0.2">
      <c r="A2240" s="1"/>
      <c r="B2240" s="13">
        <v>42466</v>
      </c>
      <c r="C2240" s="14">
        <v>26.83</v>
      </c>
      <c r="D2240" s="15">
        <v>239748</v>
      </c>
      <c r="E2240" s="14">
        <v>26.89</v>
      </c>
      <c r="F2240" s="14">
        <v>27.12</v>
      </c>
      <c r="G2240" s="16">
        <v>25.96</v>
      </c>
      <c r="H2240" s="69">
        <f t="shared" si="50"/>
        <v>-5.9281215264912479E-3</v>
      </c>
      <c r="O2240" s="1319"/>
      <c r="P2240" s="1319"/>
      <c r="Q2240" s="35">
        <v>45587</v>
      </c>
      <c r="R2240" s="36">
        <v>4.2000000000000003E-2</v>
      </c>
      <c r="S2240" s="37">
        <v>0.04</v>
      </c>
    </row>
    <row r="2241" spans="1:19" x14ac:dyDescent="0.2">
      <c r="A2241" s="1"/>
      <c r="B2241" s="13">
        <v>42465</v>
      </c>
      <c r="C2241" s="14">
        <v>26.99</v>
      </c>
      <c r="D2241" s="15">
        <v>264134</v>
      </c>
      <c r="E2241" s="14">
        <v>27.45</v>
      </c>
      <c r="F2241" s="14">
        <v>27.91</v>
      </c>
      <c r="G2241" s="16">
        <v>26.93</v>
      </c>
      <c r="H2241" s="69">
        <f t="shared" si="50"/>
        <v>-2.5279884434814104E-2</v>
      </c>
      <c r="O2241" s="1319"/>
      <c r="P2241" s="1319"/>
      <c r="Q2241" s="35">
        <v>45588</v>
      </c>
      <c r="R2241" s="36">
        <v>4.24E-2</v>
      </c>
      <c r="S2241" s="37">
        <v>4.0500000000000001E-2</v>
      </c>
    </row>
    <row r="2242" spans="1:19" x14ac:dyDescent="0.2">
      <c r="A2242" s="1"/>
      <c r="B2242" s="13">
        <v>42464</v>
      </c>
      <c r="C2242" s="14">
        <v>27.69</v>
      </c>
      <c r="D2242" s="15">
        <v>245325</v>
      </c>
      <c r="E2242" s="14">
        <v>28.3</v>
      </c>
      <c r="F2242" s="14">
        <v>28.43</v>
      </c>
      <c r="G2242" s="16">
        <v>27.375</v>
      </c>
      <c r="H2242" s="69">
        <f t="shared" si="50"/>
        <v>-2.1554770318021221E-2</v>
      </c>
      <c r="O2242" s="1319"/>
      <c r="P2242" s="1319"/>
      <c r="Q2242" s="35">
        <v>45589</v>
      </c>
      <c r="R2242" s="36">
        <v>4.2099999999999999E-2</v>
      </c>
      <c r="S2242" s="37">
        <v>4.0300000000000002E-2</v>
      </c>
    </row>
    <row r="2243" spans="1:19" x14ac:dyDescent="0.2">
      <c r="A2243" s="1"/>
      <c r="B2243" s="13">
        <v>42461</v>
      </c>
      <c r="C2243" s="14">
        <v>28.3</v>
      </c>
      <c r="D2243" s="15">
        <v>142104</v>
      </c>
      <c r="E2243" s="14">
        <v>27.97</v>
      </c>
      <c r="F2243" s="14">
        <v>28.35</v>
      </c>
      <c r="G2243" s="16">
        <v>27.17</v>
      </c>
      <c r="H2243" s="69">
        <f t="shared" si="50"/>
        <v>5.3285968028420339E-3</v>
      </c>
      <c r="O2243" s="1319"/>
      <c r="P2243" s="1319"/>
      <c r="Q2243" s="35">
        <v>45590</v>
      </c>
      <c r="R2243" s="36">
        <v>4.2500000000000003E-2</v>
      </c>
      <c r="S2243" s="37">
        <v>4.07E-2</v>
      </c>
    </row>
    <row r="2244" spans="1:19" x14ac:dyDescent="0.2">
      <c r="A2244" s="1"/>
      <c r="B2244" s="13">
        <v>42460</v>
      </c>
      <c r="C2244" s="14">
        <v>28.15</v>
      </c>
      <c r="D2244" s="15">
        <v>117030</v>
      </c>
      <c r="E2244" s="14">
        <v>28.31</v>
      </c>
      <c r="F2244" s="14">
        <v>28.445</v>
      </c>
      <c r="G2244" s="16">
        <v>27.87</v>
      </c>
      <c r="H2244" s="69">
        <f t="shared" si="50"/>
        <v>-5.6517131755563499E-3</v>
      </c>
      <c r="O2244" s="1319"/>
      <c r="P2244" s="1319"/>
      <c r="Q2244" s="35">
        <v>45593</v>
      </c>
      <c r="R2244" s="36">
        <v>4.2800000000000005E-2</v>
      </c>
      <c r="S2244" s="37">
        <v>4.1100000000000005E-2</v>
      </c>
    </row>
    <row r="2245" spans="1:19" x14ac:dyDescent="0.2">
      <c r="A2245" s="1"/>
      <c r="B2245" s="13">
        <v>42459</v>
      </c>
      <c r="C2245" s="14">
        <v>28.31</v>
      </c>
      <c r="D2245" s="15">
        <v>200966</v>
      </c>
      <c r="E2245" s="14">
        <v>28.45</v>
      </c>
      <c r="F2245" s="14">
        <v>28.69</v>
      </c>
      <c r="G2245" s="16">
        <v>28.22</v>
      </c>
      <c r="H2245" s="69">
        <f t="shared" si="50"/>
        <v>-1.7630465444288257E-3</v>
      </c>
      <c r="O2245" s="1319"/>
      <c r="P2245" s="1319"/>
      <c r="Q2245" s="35">
        <v>45594</v>
      </c>
      <c r="R2245" s="36">
        <v>4.2800000000000005E-2</v>
      </c>
      <c r="S2245" s="37">
        <v>4.1100000000000005E-2</v>
      </c>
    </row>
    <row r="2246" spans="1:19" x14ac:dyDescent="0.2">
      <c r="A2246" s="1"/>
      <c r="B2246" s="13">
        <v>42458</v>
      </c>
      <c r="C2246" s="14">
        <v>28.36</v>
      </c>
      <c r="D2246" s="15">
        <v>309514</v>
      </c>
      <c r="E2246" s="14">
        <v>27.45</v>
      </c>
      <c r="F2246" s="14">
        <v>28.37</v>
      </c>
      <c r="G2246" s="16">
        <v>27.07</v>
      </c>
      <c r="H2246" s="69">
        <f t="shared" si="50"/>
        <v>3.1647871953437656E-2</v>
      </c>
      <c r="O2246" s="1319"/>
      <c r="P2246" s="1319"/>
      <c r="Q2246" s="35">
        <v>45595</v>
      </c>
      <c r="R2246" s="36">
        <v>4.2900000000000001E-2</v>
      </c>
      <c r="S2246" s="37">
        <v>4.1399999999999999E-2</v>
      </c>
    </row>
    <row r="2247" spans="1:19" x14ac:dyDescent="0.2">
      <c r="A2247" s="1"/>
      <c r="B2247" s="13">
        <v>42457</v>
      </c>
      <c r="C2247" s="14">
        <v>27.49</v>
      </c>
      <c r="D2247" s="15">
        <v>147193</v>
      </c>
      <c r="E2247" s="14">
        <v>28.5</v>
      </c>
      <c r="F2247" s="14">
        <v>28.5</v>
      </c>
      <c r="G2247" s="16">
        <v>27.27</v>
      </c>
      <c r="H2247" s="69">
        <f t="shared" si="50"/>
        <v>-3.5100035100035121E-2</v>
      </c>
      <c r="O2247" s="1319"/>
      <c r="P2247" s="1319"/>
      <c r="Q2247" s="35">
        <v>45596</v>
      </c>
      <c r="R2247" s="36">
        <v>4.2800000000000005E-2</v>
      </c>
      <c r="S2247" s="37">
        <v>4.1500000000000002E-2</v>
      </c>
    </row>
    <row r="2248" spans="1:19" x14ac:dyDescent="0.2">
      <c r="A2248" s="1"/>
      <c r="B2248" s="13">
        <v>42453</v>
      </c>
      <c r="C2248" s="14">
        <v>28.49</v>
      </c>
      <c r="D2248" s="15">
        <v>156088</v>
      </c>
      <c r="E2248" s="14">
        <v>28.21</v>
      </c>
      <c r="F2248" s="14">
        <v>28.62</v>
      </c>
      <c r="G2248" s="16">
        <v>27.76</v>
      </c>
      <c r="H2248" s="69">
        <f t="shared" si="50"/>
        <v>6.7137809187278741E-3</v>
      </c>
      <c r="O2248" s="1319"/>
      <c r="P2248" s="1319"/>
      <c r="Q2248" s="35">
        <v>45597</v>
      </c>
      <c r="R2248" s="36">
        <v>4.3700000000000003E-2</v>
      </c>
      <c r="S2248" s="37">
        <v>4.2199999999999994E-2</v>
      </c>
    </row>
    <row r="2249" spans="1:19" x14ac:dyDescent="0.2">
      <c r="A2249" s="1"/>
      <c r="B2249" s="13">
        <v>42452</v>
      </c>
      <c r="C2249" s="14">
        <v>28.3</v>
      </c>
      <c r="D2249" s="15">
        <v>329134</v>
      </c>
      <c r="E2249" s="14">
        <v>29.15</v>
      </c>
      <c r="F2249" s="14">
        <v>29.355</v>
      </c>
      <c r="G2249" s="16">
        <v>28.3</v>
      </c>
      <c r="H2249" s="69">
        <f t="shared" si="50"/>
        <v>-2.8492962581531001E-2</v>
      </c>
      <c r="O2249" s="1319"/>
      <c r="P2249" s="1319"/>
      <c r="Q2249" s="35">
        <v>45600</v>
      </c>
      <c r="R2249" s="36">
        <v>4.3099999999999999E-2</v>
      </c>
      <c r="S2249" s="37">
        <v>4.1700000000000001E-2</v>
      </c>
    </row>
    <row r="2250" spans="1:19" x14ac:dyDescent="0.2">
      <c r="A2250" s="1"/>
      <c r="B2250" s="13">
        <v>42451</v>
      </c>
      <c r="C2250" s="14">
        <v>29.13</v>
      </c>
      <c r="D2250" s="15">
        <v>161105</v>
      </c>
      <c r="E2250" s="14">
        <v>29.58</v>
      </c>
      <c r="F2250" s="14">
        <v>29.58</v>
      </c>
      <c r="G2250" s="16">
        <v>28.91</v>
      </c>
      <c r="H2250" s="69">
        <f t="shared" si="50"/>
        <v>-2.1498152502519297E-2</v>
      </c>
      <c r="O2250" s="1319"/>
      <c r="P2250" s="1319"/>
      <c r="Q2250" s="35">
        <v>45601</v>
      </c>
      <c r="R2250" s="36">
        <v>4.2599999999999999E-2</v>
      </c>
      <c r="S2250" s="37">
        <v>4.1599999999999998E-2</v>
      </c>
    </row>
    <row r="2251" spans="1:19" x14ac:dyDescent="0.2">
      <c r="A2251" s="1"/>
      <c r="B2251" s="13">
        <v>42450</v>
      </c>
      <c r="C2251" s="14">
        <v>29.77</v>
      </c>
      <c r="D2251" s="15">
        <v>230712</v>
      </c>
      <c r="E2251" s="14">
        <v>29.19</v>
      </c>
      <c r="F2251" s="14">
        <v>29.92</v>
      </c>
      <c r="G2251" s="16">
        <v>29.11</v>
      </c>
      <c r="H2251" s="69">
        <f t="shared" si="50"/>
        <v>2.4079807361541139E-2</v>
      </c>
      <c r="O2251" s="1319"/>
      <c r="P2251" s="1319"/>
      <c r="Q2251" s="35">
        <v>45602</v>
      </c>
      <c r="R2251" s="36">
        <v>4.4199999999999996E-2</v>
      </c>
      <c r="S2251" s="37">
        <v>4.2699999999999995E-2</v>
      </c>
    </row>
    <row r="2252" spans="1:19" x14ac:dyDescent="0.2">
      <c r="A2252" s="1"/>
      <c r="B2252" s="13">
        <v>42447</v>
      </c>
      <c r="C2252" s="14">
        <v>29.07</v>
      </c>
      <c r="D2252" s="15">
        <v>441413</v>
      </c>
      <c r="E2252" s="14">
        <v>29.15</v>
      </c>
      <c r="F2252" s="14">
        <v>29.72</v>
      </c>
      <c r="G2252" s="16">
        <v>28.73</v>
      </c>
      <c r="H2252" s="69">
        <f t="shared" si="50"/>
        <v>3.1055900621117516E-3</v>
      </c>
      <c r="O2252" s="1319"/>
      <c r="P2252" s="1319"/>
      <c r="Q2252" s="35">
        <v>45603</v>
      </c>
      <c r="R2252" s="36">
        <v>4.3099999999999999E-2</v>
      </c>
      <c r="S2252" s="37">
        <v>4.1700000000000001E-2</v>
      </c>
    </row>
    <row r="2253" spans="1:19" x14ac:dyDescent="0.2">
      <c r="A2253" s="1"/>
      <c r="B2253" s="13">
        <v>42446</v>
      </c>
      <c r="C2253" s="14">
        <v>28.98</v>
      </c>
      <c r="D2253" s="15">
        <v>325684</v>
      </c>
      <c r="E2253" s="14">
        <v>27.15</v>
      </c>
      <c r="F2253" s="14">
        <v>29.364999999999998</v>
      </c>
      <c r="G2253" s="16">
        <v>26.97</v>
      </c>
      <c r="H2253" s="69">
        <f t="shared" si="50"/>
        <v>6.9372693726937218E-2</v>
      </c>
      <c r="O2253" s="1319"/>
      <c r="P2253" s="1319"/>
      <c r="Q2253" s="35">
        <v>45604</v>
      </c>
      <c r="R2253" s="36">
        <v>4.2999999999999997E-2</v>
      </c>
      <c r="S2253" s="37">
        <v>4.2000000000000003E-2</v>
      </c>
    </row>
    <row r="2254" spans="1:19" x14ac:dyDescent="0.2">
      <c r="A2254" s="1"/>
      <c r="B2254" s="13">
        <v>42445</v>
      </c>
      <c r="C2254" s="14">
        <v>27.1</v>
      </c>
      <c r="D2254" s="15">
        <v>151754</v>
      </c>
      <c r="E2254" s="14">
        <v>26.32</v>
      </c>
      <c r="F2254" s="14">
        <v>27.25</v>
      </c>
      <c r="G2254" s="16">
        <v>26.22</v>
      </c>
      <c r="H2254" s="69">
        <f t="shared" si="50"/>
        <v>2.6126467247254981E-2</v>
      </c>
      <c r="O2254" s="1319"/>
      <c r="P2254" s="1319"/>
      <c r="Q2254" s="35">
        <v>45608</v>
      </c>
      <c r="R2254" s="36">
        <v>4.4299999999999999E-2</v>
      </c>
      <c r="S2254" s="37">
        <v>4.3200000000000002E-2</v>
      </c>
    </row>
    <row r="2255" spans="1:19" x14ac:dyDescent="0.2">
      <c r="A2255" s="1"/>
      <c r="B2255" s="13">
        <v>42444</v>
      </c>
      <c r="C2255" s="14">
        <v>26.41</v>
      </c>
      <c r="D2255" s="15">
        <v>152468</v>
      </c>
      <c r="E2255" s="14">
        <v>26.95</v>
      </c>
      <c r="F2255" s="14">
        <v>26.95</v>
      </c>
      <c r="G2255" s="16">
        <v>26.23</v>
      </c>
      <c r="H2255" s="69">
        <f t="shared" si="50"/>
        <v>-2.5461254612546225E-2</v>
      </c>
      <c r="O2255" s="1319"/>
      <c r="P2255" s="1319"/>
      <c r="Q2255" s="35">
        <v>45609</v>
      </c>
      <c r="R2255" s="36">
        <v>4.4400000000000002E-2</v>
      </c>
      <c r="S2255" s="37">
        <v>4.2999999999999997E-2</v>
      </c>
    </row>
    <row r="2256" spans="1:19" x14ac:dyDescent="0.2">
      <c r="A2256" s="1"/>
      <c r="B2256" s="13">
        <v>42443</v>
      </c>
      <c r="C2256" s="14">
        <v>27.1</v>
      </c>
      <c r="D2256" s="15">
        <v>183907</v>
      </c>
      <c r="E2256" s="14">
        <v>27.29</v>
      </c>
      <c r="F2256" s="14">
        <v>27.35</v>
      </c>
      <c r="G2256" s="16">
        <v>26.76</v>
      </c>
      <c r="H2256" s="69">
        <f t="shared" si="50"/>
        <v>-9.8648154914139363E-3</v>
      </c>
      <c r="O2256" s="1319"/>
      <c r="P2256" s="1319"/>
      <c r="Q2256" s="35">
        <v>45610</v>
      </c>
      <c r="R2256" s="36">
        <v>4.4299999999999999E-2</v>
      </c>
      <c r="S2256" s="37">
        <v>4.3200000000000002E-2</v>
      </c>
    </row>
    <row r="2257" spans="1:19" x14ac:dyDescent="0.2">
      <c r="A2257" s="1"/>
      <c r="B2257" s="13">
        <v>42440</v>
      </c>
      <c r="C2257" s="14">
        <v>27.37</v>
      </c>
      <c r="D2257" s="15">
        <v>142622</v>
      </c>
      <c r="E2257" s="14">
        <v>26.53</v>
      </c>
      <c r="F2257" s="14">
        <v>27.41</v>
      </c>
      <c r="G2257" s="16">
        <v>26.53</v>
      </c>
      <c r="H2257" s="69">
        <f t="shared" si="50"/>
        <v>4.3461685093404423E-2</v>
      </c>
      <c r="O2257" s="1319"/>
      <c r="P2257" s="1319"/>
      <c r="Q2257" s="35">
        <v>45611</v>
      </c>
      <c r="R2257" s="36">
        <v>4.4299999999999999E-2</v>
      </c>
      <c r="S2257" s="37">
        <v>4.2999999999999997E-2</v>
      </c>
    </row>
    <row r="2258" spans="1:19" x14ac:dyDescent="0.2">
      <c r="A2258" s="1"/>
      <c r="B2258" s="13">
        <v>42439</v>
      </c>
      <c r="C2258" s="14">
        <v>26.23</v>
      </c>
      <c r="D2258" s="15">
        <v>296024</v>
      </c>
      <c r="E2258" s="14">
        <v>26.26</v>
      </c>
      <c r="F2258" s="14">
        <v>27.247</v>
      </c>
      <c r="G2258" s="16">
        <v>25.39</v>
      </c>
      <c r="H2258" s="69">
        <f t="shared" si="50"/>
        <v>3.4429992348889993E-3</v>
      </c>
      <c r="O2258" s="1319"/>
      <c r="P2258" s="1319"/>
      <c r="Q2258" s="35">
        <v>45614</v>
      </c>
      <c r="R2258" s="36">
        <v>4.4199999999999996E-2</v>
      </c>
      <c r="S2258" s="37">
        <v>4.2800000000000005E-2</v>
      </c>
    </row>
    <row r="2259" spans="1:19" x14ac:dyDescent="0.2">
      <c r="A2259" s="1"/>
      <c r="B2259" s="13">
        <v>42438</v>
      </c>
      <c r="C2259" s="14">
        <v>26.14</v>
      </c>
      <c r="D2259" s="15">
        <v>256552</v>
      </c>
      <c r="E2259" s="14">
        <v>26.16</v>
      </c>
      <c r="F2259" s="14">
        <v>26.51</v>
      </c>
      <c r="G2259" s="16">
        <v>25.97</v>
      </c>
      <c r="H2259" s="69">
        <f t="shared" si="50"/>
        <v>7.6569678407345521E-4</v>
      </c>
      <c r="O2259" s="1319"/>
      <c r="P2259" s="1319"/>
      <c r="Q2259" s="35">
        <v>45615</v>
      </c>
      <c r="R2259" s="36">
        <v>4.3899999999999995E-2</v>
      </c>
      <c r="S2259" s="37">
        <v>4.2500000000000003E-2</v>
      </c>
    </row>
    <row r="2260" spans="1:19" x14ac:dyDescent="0.2">
      <c r="A2260" s="1"/>
      <c r="B2260" s="13">
        <v>42437</v>
      </c>
      <c r="C2260" s="14">
        <v>26.12</v>
      </c>
      <c r="D2260" s="15">
        <v>304405</v>
      </c>
      <c r="E2260" s="14">
        <v>26.94</v>
      </c>
      <c r="F2260" s="14">
        <v>27.06</v>
      </c>
      <c r="G2260" s="16">
        <v>26.01</v>
      </c>
      <c r="H2260" s="69">
        <f t="shared" si="50"/>
        <v>-3.4737620103473699E-2</v>
      </c>
      <c r="O2260" s="1319"/>
      <c r="P2260" s="1319"/>
      <c r="Q2260" s="35">
        <v>45616</v>
      </c>
      <c r="R2260" s="36">
        <v>4.41E-2</v>
      </c>
      <c r="S2260" s="37">
        <v>4.2800000000000005E-2</v>
      </c>
    </row>
    <row r="2261" spans="1:19" x14ac:dyDescent="0.2">
      <c r="A2261" s="1"/>
      <c r="B2261" s="13">
        <v>42436</v>
      </c>
      <c r="C2261" s="14">
        <v>27.06</v>
      </c>
      <c r="D2261" s="15">
        <v>258707</v>
      </c>
      <c r="E2261" s="14">
        <v>26.76</v>
      </c>
      <c r="F2261" s="14">
        <v>27.84</v>
      </c>
      <c r="G2261" s="16">
        <v>26.55</v>
      </c>
      <c r="H2261" s="69">
        <f t="shared" si="50"/>
        <v>1.0078387458006599E-2</v>
      </c>
      <c r="O2261" s="1319"/>
      <c r="P2261" s="1319"/>
      <c r="Q2261" s="35">
        <v>45617</v>
      </c>
      <c r="R2261" s="36">
        <v>4.4299999999999999E-2</v>
      </c>
      <c r="S2261" s="37">
        <v>4.2999999999999997E-2</v>
      </c>
    </row>
    <row r="2262" spans="1:19" x14ac:dyDescent="0.2">
      <c r="A2262" s="1"/>
      <c r="B2262" s="13">
        <v>42433</v>
      </c>
      <c r="C2262" s="14">
        <v>26.79</v>
      </c>
      <c r="D2262" s="15">
        <v>197692</v>
      </c>
      <c r="E2262" s="14">
        <v>26.56</v>
      </c>
      <c r="F2262" s="14">
        <v>27.37</v>
      </c>
      <c r="G2262" s="16">
        <v>26.05</v>
      </c>
      <c r="H2262" s="69">
        <f t="shared" si="50"/>
        <v>9.0395480225988756E-3</v>
      </c>
      <c r="O2262" s="1319"/>
      <c r="P2262" s="1319"/>
      <c r="Q2262" s="35">
        <v>45618</v>
      </c>
      <c r="R2262" s="36">
        <v>4.41E-2</v>
      </c>
      <c r="S2262" s="37">
        <v>4.2999999999999997E-2</v>
      </c>
    </row>
    <row r="2263" spans="1:19" x14ac:dyDescent="0.2">
      <c r="A2263" s="1"/>
      <c r="B2263" s="13">
        <v>42432</v>
      </c>
      <c r="C2263" s="14">
        <v>26.55</v>
      </c>
      <c r="D2263" s="15">
        <v>232763</v>
      </c>
      <c r="E2263" s="14">
        <v>26.55</v>
      </c>
      <c r="F2263" s="14">
        <v>26.934999999999999</v>
      </c>
      <c r="G2263" s="16">
        <v>26.31</v>
      </c>
      <c r="H2263" s="69">
        <f t="shared" si="50"/>
        <v>-4.1260315078769372E-3</v>
      </c>
      <c r="O2263" s="1319"/>
      <c r="P2263" s="1319"/>
      <c r="Q2263" s="35">
        <v>45621</v>
      </c>
      <c r="R2263" s="36">
        <v>4.2699999999999995E-2</v>
      </c>
      <c r="S2263" s="37">
        <v>4.1700000000000001E-2</v>
      </c>
    </row>
    <row r="2264" spans="1:19" x14ac:dyDescent="0.2">
      <c r="A2264" s="1"/>
      <c r="B2264" s="13">
        <v>42431</v>
      </c>
      <c r="C2264" s="14">
        <v>26.66</v>
      </c>
      <c r="D2264" s="15">
        <v>194911</v>
      </c>
      <c r="E2264" s="14">
        <v>27.34</v>
      </c>
      <c r="F2264" s="14">
        <v>27.78</v>
      </c>
      <c r="G2264" s="16">
        <v>26.42</v>
      </c>
      <c r="H2264" s="69">
        <f t="shared" si="50"/>
        <v>-3.0545454545454542E-2</v>
      </c>
      <c r="O2264" s="1319"/>
      <c r="P2264" s="1319"/>
      <c r="Q2264" s="35">
        <v>45622</v>
      </c>
      <c r="R2264" s="36">
        <v>4.2999999999999997E-2</v>
      </c>
      <c r="S2264" s="37">
        <v>4.1700000000000001E-2</v>
      </c>
    </row>
    <row r="2265" spans="1:19" x14ac:dyDescent="0.2">
      <c r="A2265" s="1"/>
      <c r="B2265" s="13">
        <v>42430</v>
      </c>
      <c r="C2265" s="14">
        <v>27.5</v>
      </c>
      <c r="D2265" s="15">
        <v>341017</v>
      </c>
      <c r="E2265" s="14">
        <v>26.37</v>
      </c>
      <c r="F2265" s="14">
        <v>27.61</v>
      </c>
      <c r="G2265" s="16">
        <v>26.23</v>
      </c>
      <c r="H2265" s="69">
        <f t="shared" si="50"/>
        <v>4.7619047619047672E-2</v>
      </c>
      <c r="O2265" s="1319"/>
      <c r="P2265" s="1319"/>
      <c r="Q2265" s="35">
        <v>45623</v>
      </c>
      <c r="R2265" s="36">
        <v>4.2500000000000003E-2</v>
      </c>
      <c r="S2265" s="37">
        <v>4.1100000000000005E-2</v>
      </c>
    </row>
    <row r="2266" spans="1:19" x14ac:dyDescent="0.2">
      <c r="A2266" s="1"/>
      <c r="B2266" s="13">
        <v>42429</v>
      </c>
      <c r="C2266" s="14">
        <v>26.25</v>
      </c>
      <c r="D2266" s="15">
        <v>312169</v>
      </c>
      <c r="E2266" s="14">
        <v>26.22</v>
      </c>
      <c r="F2266" s="14">
        <v>26.75</v>
      </c>
      <c r="G2266" s="16">
        <v>25.99</v>
      </c>
      <c r="H2266" s="69">
        <f t="shared" si="50"/>
        <v>3.8240917782026429E-3</v>
      </c>
      <c r="O2266" s="1319"/>
      <c r="P2266" s="1319"/>
      <c r="Q2266" s="35">
        <v>45625</v>
      </c>
      <c r="R2266" s="36">
        <v>4.1799999999999997E-2</v>
      </c>
      <c r="S2266" s="37">
        <v>4.0500000000000001E-2</v>
      </c>
    </row>
    <row r="2267" spans="1:19" x14ac:dyDescent="0.2">
      <c r="A2267" s="1"/>
      <c r="B2267" s="13">
        <v>42426</v>
      </c>
      <c r="C2267" s="14">
        <v>26.15</v>
      </c>
      <c r="D2267" s="15">
        <v>230212</v>
      </c>
      <c r="E2267" s="14">
        <v>25.91</v>
      </c>
      <c r="F2267" s="14">
        <v>26.67</v>
      </c>
      <c r="G2267" s="16">
        <v>25.77</v>
      </c>
      <c r="H2267" s="69">
        <f t="shared" si="50"/>
        <v>2.308294209702666E-2</v>
      </c>
      <c r="O2267" s="1319"/>
      <c r="P2267" s="1319"/>
      <c r="Q2267" s="35">
        <v>45628</v>
      </c>
      <c r="R2267" s="36">
        <v>4.1900000000000007E-2</v>
      </c>
      <c r="S2267" s="37">
        <v>4.0800000000000003E-2</v>
      </c>
    </row>
    <row r="2268" spans="1:19" x14ac:dyDescent="0.2">
      <c r="A2268" s="1"/>
      <c r="B2268" s="13">
        <v>42425</v>
      </c>
      <c r="C2268" s="14">
        <v>25.56</v>
      </c>
      <c r="D2268" s="15">
        <v>158548</v>
      </c>
      <c r="E2268" s="14">
        <v>26.06</v>
      </c>
      <c r="F2268" s="14">
        <v>26.3</v>
      </c>
      <c r="G2268" s="16">
        <v>25.15</v>
      </c>
      <c r="H2268" s="69">
        <f t="shared" si="50"/>
        <v>-1.0069713400464808E-2</v>
      </c>
      <c r="O2268" s="1319"/>
      <c r="P2268" s="1319"/>
      <c r="Q2268" s="35">
        <v>45629</v>
      </c>
      <c r="R2268" s="36">
        <v>4.2300000000000004E-2</v>
      </c>
      <c r="S2268" s="37">
        <v>4.1100000000000005E-2</v>
      </c>
    </row>
    <row r="2269" spans="1:19" x14ac:dyDescent="0.2">
      <c r="A2269" s="1"/>
      <c r="B2269" s="13">
        <v>42424</v>
      </c>
      <c r="C2269" s="14">
        <v>25.82</v>
      </c>
      <c r="D2269" s="15">
        <v>278378</v>
      </c>
      <c r="E2269" s="14">
        <v>26.41</v>
      </c>
      <c r="F2269" s="14">
        <v>26.41</v>
      </c>
      <c r="G2269" s="16">
        <v>24.08</v>
      </c>
      <c r="H2269" s="69">
        <f t="shared" si="50"/>
        <v>-2.7495291902071561E-2</v>
      </c>
      <c r="O2269" s="1319"/>
      <c r="P2269" s="1319"/>
      <c r="Q2269" s="35">
        <v>45630</v>
      </c>
      <c r="R2269" s="36">
        <v>4.1900000000000007E-2</v>
      </c>
      <c r="S2269" s="37">
        <v>4.07E-2</v>
      </c>
    </row>
    <row r="2270" spans="1:19" x14ac:dyDescent="0.2">
      <c r="A2270" s="1"/>
      <c r="B2270" s="13">
        <v>42423</v>
      </c>
      <c r="C2270" s="14">
        <v>26.55</v>
      </c>
      <c r="D2270" s="15">
        <v>411772</v>
      </c>
      <c r="E2270" s="14">
        <v>26.72</v>
      </c>
      <c r="F2270" s="14">
        <v>27.22</v>
      </c>
      <c r="G2270" s="16">
        <v>25.67</v>
      </c>
      <c r="H2270" s="69">
        <f t="shared" si="50"/>
        <v>-1.0436079016026722E-2</v>
      </c>
      <c r="O2270" s="1319"/>
      <c r="P2270" s="1319"/>
      <c r="Q2270" s="35">
        <v>45631</v>
      </c>
      <c r="R2270" s="36">
        <v>4.1700000000000001E-2</v>
      </c>
      <c r="S2270" s="37">
        <v>4.07E-2</v>
      </c>
    </row>
    <row r="2271" spans="1:19" x14ac:dyDescent="0.2">
      <c r="A2271" s="1"/>
      <c r="B2271" s="13">
        <v>42422</v>
      </c>
      <c r="C2271" s="14">
        <v>26.83</v>
      </c>
      <c r="D2271" s="15">
        <v>331510</v>
      </c>
      <c r="E2271" s="14">
        <v>26.25</v>
      </c>
      <c r="F2271" s="14">
        <v>26.94</v>
      </c>
      <c r="G2271" s="16">
        <v>26.25</v>
      </c>
      <c r="H2271" s="69">
        <f t="shared" si="50"/>
        <v>3.7108620023192707E-2</v>
      </c>
      <c r="O2271" s="1319"/>
      <c r="P2271" s="1319"/>
      <c r="Q2271" s="35">
        <v>45632</v>
      </c>
      <c r="R2271" s="36">
        <v>4.1500000000000002E-2</v>
      </c>
      <c r="S2271" s="37">
        <v>4.0300000000000002E-2</v>
      </c>
    </row>
    <row r="2272" spans="1:19" x14ac:dyDescent="0.2">
      <c r="A2272" s="1"/>
      <c r="B2272" s="13">
        <v>42419</v>
      </c>
      <c r="C2272" s="14">
        <v>25.87</v>
      </c>
      <c r="D2272" s="15">
        <v>195912</v>
      </c>
      <c r="E2272" s="14">
        <v>25.89</v>
      </c>
      <c r="F2272" s="14">
        <v>26.63</v>
      </c>
      <c r="G2272" s="16">
        <v>25.19</v>
      </c>
      <c r="H2272" s="69">
        <f t="shared" si="50"/>
        <v>-5.0000000000000044E-3</v>
      </c>
      <c r="O2272" s="1319"/>
      <c r="P2272" s="1319"/>
      <c r="Q2272" s="35">
        <v>45635</v>
      </c>
      <c r="R2272" s="36">
        <v>4.2000000000000003E-2</v>
      </c>
      <c r="S2272" s="37">
        <v>4.07E-2</v>
      </c>
    </row>
    <row r="2273" spans="1:19" x14ac:dyDescent="0.2">
      <c r="A2273" s="1"/>
      <c r="B2273" s="13">
        <v>42418</v>
      </c>
      <c r="C2273" s="14">
        <v>26</v>
      </c>
      <c r="D2273" s="15">
        <v>251452</v>
      </c>
      <c r="E2273" s="14">
        <v>26.23</v>
      </c>
      <c r="F2273" s="14">
        <v>26.44</v>
      </c>
      <c r="G2273" s="16">
        <v>25.68</v>
      </c>
      <c r="H2273" s="69">
        <f t="shared" si="50"/>
        <v>-1.0277883517320174E-2</v>
      </c>
      <c r="O2273" s="1319"/>
      <c r="P2273" s="1319"/>
      <c r="Q2273" s="35">
        <v>45636</v>
      </c>
      <c r="R2273" s="36">
        <v>4.2199999999999994E-2</v>
      </c>
      <c r="S2273" s="37">
        <v>4.0899999999999999E-2</v>
      </c>
    </row>
    <row r="2274" spans="1:19" x14ac:dyDescent="0.2">
      <c r="A2274" s="1"/>
      <c r="B2274" s="13">
        <v>42417</v>
      </c>
      <c r="C2274" s="14">
        <v>26.27</v>
      </c>
      <c r="D2274" s="15">
        <v>378780</v>
      </c>
      <c r="E2274" s="14">
        <v>27.56</v>
      </c>
      <c r="F2274" s="14">
        <v>28.364999999999998</v>
      </c>
      <c r="G2274" s="16">
        <v>26.25</v>
      </c>
      <c r="H2274" s="69">
        <f t="shared" si="50"/>
        <v>-3.8081288905162936E-2</v>
      </c>
      <c r="O2274" s="1319"/>
      <c r="P2274" s="1319"/>
      <c r="Q2274" s="35">
        <v>45637</v>
      </c>
      <c r="R2274" s="36">
        <v>4.2599999999999999E-2</v>
      </c>
      <c r="S2274" s="37">
        <v>4.1299999999999996E-2</v>
      </c>
    </row>
    <row r="2275" spans="1:19" x14ac:dyDescent="0.2">
      <c r="A2275" s="1"/>
      <c r="B2275" s="13">
        <v>42416</v>
      </c>
      <c r="C2275" s="14">
        <v>27.31</v>
      </c>
      <c r="D2275" s="15">
        <v>384186</v>
      </c>
      <c r="E2275" s="14">
        <v>27.08</v>
      </c>
      <c r="F2275" s="14">
        <v>27.48</v>
      </c>
      <c r="G2275" s="16">
        <v>25.46</v>
      </c>
      <c r="H2275" s="69">
        <f t="shared" si="50"/>
        <v>1.7511177347242946E-2</v>
      </c>
      <c r="O2275" s="1319"/>
      <c r="P2275" s="1319"/>
      <c r="Q2275" s="35">
        <v>45638</v>
      </c>
      <c r="R2275" s="36">
        <v>4.3200000000000002E-2</v>
      </c>
      <c r="S2275" s="37">
        <v>4.1799999999999997E-2</v>
      </c>
    </row>
    <row r="2276" spans="1:19" x14ac:dyDescent="0.2">
      <c r="A2276" s="1"/>
      <c r="B2276" s="13">
        <v>42412</v>
      </c>
      <c r="C2276" s="14">
        <v>26.84</v>
      </c>
      <c r="D2276" s="15">
        <v>277937</v>
      </c>
      <c r="E2276" s="14">
        <v>27.17</v>
      </c>
      <c r="F2276" s="14">
        <v>27.51</v>
      </c>
      <c r="G2276" s="16">
        <v>26.77</v>
      </c>
      <c r="H2276" s="69">
        <f t="shared" si="50"/>
        <v>-5.9259259259258901E-3</v>
      </c>
      <c r="O2276" s="1319"/>
      <c r="P2276" s="1319"/>
      <c r="Q2276" s="35">
        <v>45639</v>
      </c>
      <c r="R2276" s="36">
        <v>4.4000000000000004E-2</v>
      </c>
      <c r="S2276" s="37">
        <v>4.2500000000000003E-2</v>
      </c>
    </row>
    <row r="2277" spans="1:19" x14ac:dyDescent="0.2">
      <c r="A2277" s="1"/>
      <c r="B2277" s="13">
        <v>42411</v>
      </c>
      <c r="C2277" s="14">
        <v>27</v>
      </c>
      <c r="D2277" s="15">
        <v>301216</v>
      </c>
      <c r="E2277" s="14">
        <v>26.5</v>
      </c>
      <c r="F2277" s="14">
        <v>27.2</v>
      </c>
      <c r="G2277" s="16">
        <v>25.66</v>
      </c>
      <c r="H2277" s="69">
        <f t="shared" si="50"/>
        <v>1.3133208255159623E-2</v>
      </c>
      <c r="O2277" s="1319"/>
      <c r="P2277" s="1319"/>
      <c r="Q2277" s="35">
        <v>45642</v>
      </c>
      <c r="R2277" s="36">
        <v>4.3899999999999995E-2</v>
      </c>
      <c r="S2277" s="37">
        <v>4.2500000000000003E-2</v>
      </c>
    </row>
    <row r="2278" spans="1:19" x14ac:dyDescent="0.2">
      <c r="A2278" s="1"/>
      <c r="B2278" s="13">
        <v>42410</v>
      </c>
      <c r="C2278" s="14">
        <v>26.65</v>
      </c>
      <c r="D2278" s="15">
        <v>353265</v>
      </c>
      <c r="E2278" s="14">
        <v>27.36</v>
      </c>
      <c r="F2278" s="14">
        <v>27.65</v>
      </c>
      <c r="G2278" s="16">
        <v>26.45</v>
      </c>
      <c r="H2278" s="69">
        <f t="shared" si="50"/>
        <v>-2.9143897996357082E-2</v>
      </c>
      <c r="O2278" s="1319"/>
      <c r="P2278" s="1319"/>
      <c r="Q2278" s="35">
        <v>45643</v>
      </c>
      <c r="R2278" s="36">
        <v>4.4000000000000004E-2</v>
      </c>
      <c r="S2278" s="37">
        <v>4.2599999999999999E-2</v>
      </c>
    </row>
    <row r="2279" spans="1:19" x14ac:dyDescent="0.2">
      <c r="A2279" s="1"/>
      <c r="B2279" s="13">
        <v>42409</v>
      </c>
      <c r="C2279" s="14">
        <v>27.45</v>
      </c>
      <c r="D2279" s="15">
        <v>390050</v>
      </c>
      <c r="E2279" s="14">
        <v>26.37</v>
      </c>
      <c r="F2279" s="14">
        <v>27.66</v>
      </c>
      <c r="G2279" s="16">
        <v>25.75</v>
      </c>
      <c r="H2279" s="69">
        <f t="shared" si="50"/>
        <v>3.9379023097311672E-2</v>
      </c>
      <c r="O2279" s="1319"/>
      <c r="P2279" s="1319"/>
      <c r="Q2279" s="35">
        <v>45644</v>
      </c>
      <c r="R2279" s="36">
        <v>4.4999999999999998E-2</v>
      </c>
      <c r="S2279" s="37">
        <v>4.4000000000000004E-2</v>
      </c>
    </row>
    <row r="2280" spans="1:19" x14ac:dyDescent="0.2">
      <c r="A2280" s="1"/>
      <c r="B2280" s="13">
        <v>42408</v>
      </c>
      <c r="C2280" s="14">
        <v>26.41</v>
      </c>
      <c r="D2280" s="15">
        <v>638684</v>
      </c>
      <c r="E2280" s="14">
        <v>25.36</v>
      </c>
      <c r="F2280" s="14">
        <v>26.44</v>
      </c>
      <c r="G2280" s="16">
        <v>25.19</v>
      </c>
      <c r="H2280" s="69">
        <f t="shared" ref="H2280:H2305" si="51">C2280/C2281-1</f>
        <v>3.7313432835820892E-2</v>
      </c>
      <c r="O2280" s="1319"/>
      <c r="P2280" s="1319"/>
      <c r="Q2280" s="35">
        <v>45645</v>
      </c>
      <c r="R2280" s="36">
        <v>4.5700000000000005E-2</v>
      </c>
      <c r="S2280" s="37">
        <v>4.4299999999999999E-2</v>
      </c>
    </row>
    <row r="2281" spans="1:19" x14ac:dyDescent="0.2">
      <c r="A2281" s="1"/>
      <c r="B2281" s="13">
        <v>42405</v>
      </c>
      <c r="C2281" s="14">
        <v>25.46</v>
      </c>
      <c r="D2281" s="15">
        <v>1255737</v>
      </c>
      <c r="E2281" s="14">
        <v>25.89</v>
      </c>
      <c r="F2281" s="14">
        <v>26.9999</v>
      </c>
      <c r="G2281" s="16">
        <v>24.03</v>
      </c>
      <c r="H2281" s="69">
        <f t="shared" si="51"/>
        <v>0.13004882379050153</v>
      </c>
      <c r="O2281" s="1319"/>
      <c r="P2281" s="1319"/>
      <c r="Q2281" s="35">
        <v>45646</v>
      </c>
      <c r="R2281" s="36">
        <v>4.5199999999999997E-2</v>
      </c>
      <c r="S2281" s="37">
        <v>4.3700000000000003E-2</v>
      </c>
    </row>
    <row r="2282" spans="1:19" x14ac:dyDescent="0.2">
      <c r="A2282" s="1"/>
      <c r="B2282" s="13">
        <v>42404</v>
      </c>
      <c r="C2282" s="14">
        <v>22.53</v>
      </c>
      <c r="D2282" s="15">
        <v>638716</v>
      </c>
      <c r="E2282" s="14">
        <v>20.23</v>
      </c>
      <c r="F2282" s="14">
        <v>22.88</v>
      </c>
      <c r="G2282" s="16">
        <v>20.23</v>
      </c>
      <c r="H2282" s="69">
        <f t="shared" si="51"/>
        <v>9.8488542174548943E-2</v>
      </c>
      <c r="O2282" s="1319"/>
      <c r="P2282" s="1319"/>
      <c r="Q2282" s="35">
        <v>45649</v>
      </c>
      <c r="R2282" s="36">
        <v>4.5899999999999996E-2</v>
      </c>
      <c r="S2282" s="37">
        <v>4.4400000000000002E-2</v>
      </c>
    </row>
    <row r="2283" spans="1:19" x14ac:dyDescent="0.2">
      <c r="A2283" s="1"/>
      <c r="B2283" s="13">
        <v>42403</v>
      </c>
      <c r="C2283" s="14">
        <v>20.51</v>
      </c>
      <c r="D2283" s="15">
        <v>434375</v>
      </c>
      <c r="E2283" s="14">
        <v>21.03</v>
      </c>
      <c r="F2283" s="14">
        <v>21.42</v>
      </c>
      <c r="G2283" s="16">
        <v>20.309999999999999</v>
      </c>
      <c r="H2283" s="69">
        <f t="shared" si="51"/>
        <v>-1.9598470363288767E-2</v>
      </c>
      <c r="O2283" s="1319"/>
      <c r="P2283" s="1319"/>
      <c r="Q2283" s="35">
        <v>45650</v>
      </c>
      <c r="R2283" s="36">
        <v>4.5899999999999996E-2</v>
      </c>
      <c r="S2283" s="37">
        <v>4.4299999999999999E-2</v>
      </c>
    </row>
    <row r="2284" spans="1:19" x14ac:dyDescent="0.2">
      <c r="A2284" s="1"/>
      <c r="B2284" s="13">
        <v>42402</v>
      </c>
      <c r="C2284" s="14">
        <v>20.92</v>
      </c>
      <c r="D2284" s="15">
        <v>194681</v>
      </c>
      <c r="E2284" s="14">
        <v>21.66</v>
      </c>
      <c r="F2284" s="14">
        <v>21.66</v>
      </c>
      <c r="G2284" s="16">
        <v>20.63</v>
      </c>
      <c r="H2284" s="69">
        <f t="shared" si="51"/>
        <v>-4.0806969280146599E-2</v>
      </c>
      <c r="O2284" s="1319"/>
      <c r="P2284" s="1319"/>
      <c r="Q2284" s="35">
        <v>45652</v>
      </c>
      <c r="R2284" s="36">
        <v>4.58E-2</v>
      </c>
      <c r="S2284" s="37">
        <v>4.4199999999999996E-2</v>
      </c>
    </row>
    <row r="2285" spans="1:19" x14ac:dyDescent="0.2">
      <c r="A2285" s="1"/>
      <c r="B2285" s="13">
        <v>42401</v>
      </c>
      <c r="C2285" s="14">
        <v>21.81</v>
      </c>
      <c r="D2285" s="15">
        <v>241793</v>
      </c>
      <c r="E2285" s="14">
        <v>21.28</v>
      </c>
      <c r="F2285" s="14">
        <v>22.13</v>
      </c>
      <c r="G2285" s="16">
        <v>20.81</v>
      </c>
      <c r="H2285" s="69">
        <f t="shared" si="51"/>
        <v>1.9635343618513268E-2</v>
      </c>
      <c r="O2285" s="1319"/>
      <c r="P2285" s="1319"/>
      <c r="Q2285" s="35">
        <v>45653</v>
      </c>
      <c r="R2285" s="36">
        <v>4.6199999999999998E-2</v>
      </c>
      <c r="S2285" s="37">
        <v>4.4500000000000005E-2</v>
      </c>
    </row>
    <row r="2286" spans="1:19" x14ac:dyDescent="0.2">
      <c r="A2286" s="1"/>
      <c r="B2286" s="13">
        <v>42398</v>
      </c>
      <c r="C2286" s="14">
        <v>21.39</v>
      </c>
      <c r="D2286" s="15">
        <v>229144</v>
      </c>
      <c r="E2286" s="14">
        <v>20.98</v>
      </c>
      <c r="F2286" s="14">
        <v>21.53</v>
      </c>
      <c r="G2286" s="16">
        <v>20.76</v>
      </c>
      <c r="H2286" s="69">
        <f t="shared" si="51"/>
        <v>2.5899280575539585E-2</v>
      </c>
      <c r="O2286" s="1319"/>
      <c r="P2286" s="1319"/>
      <c r="Q2286" s="35">
        <v>45656</v>
      </c>
      <c r="R2286" s="36">
        <v>4.5499999999999999E-2</v>
      </c>
      <c r="S2286" s="37">
        <v>4.3700000000000003E-2</v>
      </c>
    </row>
    <row r="2287" spans="1:19" x14ac:dyDescent="0.2">
      <c r="A2287" s="1"/>
      <c r="B2287" s="13">
        <v>42397</v>
      </c>
      <c r="C2287" s="14">
        <v>20.85</v>
      </c>
      <c r="D2287" s="15">
        <v>190682</v>
      </c>
      <c r="E2287" s="14">
        <v>21.77</v>
      </c>
      <c r="F2287" s="14">
        <v>21.89</v>
      </c>
      <c r="G2287" s="16">
        <v>20.350000000000001</v>
      </c>
      <c r="H2287" s="69">
        <f t="shared" si="51"/>
        <v>-3.4275127373784131E-2</v>
      </c>
      <c r="O2287" s="1319"/>
      <c r="P2287" s="1319"/>
      <c r="Q2287" s="38">
        <v>45657</v>
      </c>
      <c r="R2287" s="39">
        <v>4.58E-2</v>
      </c>
      <c r="S2287" s="40">
        <v>4.3799999999999999E-2</v>
      </c>
    </row>
    <row r="2288" spans="1:19" x14ac:dyDescent="0.2">
      <c r="A2288" s="1"/>
      <c r="B2288" s="13">
        <v>42396</v>
      </c>
      <c r="C2288" s="14">
        <v>21.59</v>
      </c>
      <c r="D2288" s="15">
        <v>251133</v>
      </c>
      <c r="E2288" s="14">
        <v>21.68</v>
      </c>
      <c r="F2288" s="14">
        <v>22.09</v>
      </c>
      <c r="G2288" s="16">
        <v>21.36</v>
      </c>
      <c r="H2288" s="69">
        <f t="shared" si="51"/>
        <v>-1.0540788267644374E-2</v>
      </c>
    </row>
    <row r="2289" spans="1:8" x14ac:dyDescent="0.2">
      <c r="A2289" s="1"/>
      <c r="B2289" s="13">
        <v>42395</v>
      </c>
      <c r="C2289" s="14">
        <v>21.82</v>
      </c>
      <c r="D2289" s="15">
        <v>149149</v>
      </c>
      <c r="E2289" s="14">
        <v>20.45</v>
      </c>
      <c r="F2289" s="14">
        <v>21.94</v>
      </c>
      <c r="G2289" s="16">
        <v>19.93</v>
      </c>
      <c r="H2289" s="69">
        <f t="shared" si="51"/>
        <v>6.7514677103718057E-2</v>
      </c>
    </row>
    <row r="2290" spans="1:8" x14ac:dyDescent="0.2">
      <c r="A2290" s="1"/>
      <c r="B2290" s="13">
        <v>42394</v>
      </c>
      <c r="C2290" s="14">
        <v>20.440000000000001</v>
      </c>
      <c r="D2290" s="15">
        <v>243969</v>
      </c>
      <c r="E2290" s="14">
        <v>20.93</v>
      </c>
      <c r="F2290" s="14">
        <v>20.93</v>
      </c>
      <c r="G2290" s="16">
        <v>20.21</v>
      </c>
      <c r="H2290" s="69">
        <f t="shared" si="51"/>
        <v>-2.2944550669216079E-2</v>
      </c>
    </row>
    <row r="2291" spans="1:8" x14ac:dyDescent="0.2">
      <c r="A2291" s="1"/>
      <c r="B2291" s="13">
        <v>42391</v>
      </c>
      <c r="C2291" s="14">
        <v>20.92</v>
      </c>
      <c r="D2291" s="15">
        <v>203766</v>
      </c>
      <c r="E2291" s="14">
        <v>20.420000000000002</v>
      </c>
      <c r="F2291" s="14">
        <v>21.33</v>
      </c>
      <c r="G2291" s="16">
        <v>19.48</v>
      </c>
      <c r="H2291" s="69">
        <f t="shared" si="51"/>
        <v>3.5643564356435675E-2</v>
      </c>
    </row>
    <row r="2292" spans="1:8" x14ac:dyDescent="0.2">
      <c r="A2292" s="1"/>
      <c r="B2292" s="13">
        <v>42390</v>
      </c>
      <c r="C2292" s="14">
        <v>20.2</v>
      </c>
      <c r="D2292" s="15">
        <v>236863</v>
      </c>
      <c r="E2292" s="14">
        <v>19.329999999999998</v>
      </c>
      <c r="F2292" s="14">
        <v>20.74</v>
      </c>
      <c r="G2292" s="16">
        <v>19.11</v>
      </c>
      <c r="H2292" s="69">
        <f t="shared" si="51"/>
        <v>4.3388429752066138E-2</v>
      </c>
    </row>
    <row r="2293" spans="1:8" x14ac:dyDescent="0.2">
      <c r="A2293" s="1"/>
      <c r="B2293" s="13">
        <v>42389</v>
      </c>
      <c r="C2293" s="14">
        <v>19.36</v>
      </c>
      <c r="D2293" s="15">
        <v>248742</v>
      </c>
      <c r="E2293" s="14">
        <v>19.079999999999998</v>
      </c>
      <c r="F2293" s="14">
        <v>19.61</v>
      </c>
      <c r="G2293" s="16">
        <v>18.28</v>
      </c>
      <c r="H2293" s="69">
        <f t="shared" si="51"/>
        <v>2.0703933747412417E-3</v>
      </c>
    </row>
    <row r="2294" spans="1:8" x14ac:dyDescent="0.2">
      <c r="A2294" s="1"/>
      <c r="B2294" s="13">
        <v>42388</v>
      </c>
      <c r="C2294" s="14">
        <v>19.32</v>
      </c>
      <c r="D2294" s="15">
        <v>234939</v>
      </c>
      <c r="E2294" s="14">
        <v>19.86</v>
      </c>
      <c r="F2294" s="14">
        <v>20.010000000000002</v>
      </c>
      <c r="G2294" s="16">
        <v>19.190000000000001</v>
      </c>
      <c r="H2294" s="69">
        <f t="shared" si="51"/>
        <v>-1.7793594306049876E-2</v>
      </c>
    </row>
    <row r="2295" spans="1:8" x14ac:dyDescent="0.2">
      <c r="A2295" s="1"/>
      <c r="B2295" s="13">
        <v>42384</v>
      </c>
      <c r="C2295" s="14">
        <v>19.670000000000002</v>
      </c>
      <c r="D2295" s="15">
        <v>247885</v>
      </c>
      <c r="E2295" s="14">
        <v>19.059999999999999</v>
      </c>
      <c r="F2295" s="14">
        <v>19.829999999999998</v>
      </c>
      <c r="G2295" s="16">
        <v>18.63</v>
      </c>
      <c r="H2295" s="69">
        <f t="shared" si="51"/>
        <v>8.2009226037929039E-3</v>
      </c>
    </row>
    <row r="2296" spans="1:8" x14ac:dyDescent="0.2">
      <c r="A2296" s="1"/>
      <c r="B2296" s="13">
        <v>42383</v>
      </c>
      <c r="C2296" s="14">
        <v>19.510000000000002</v>
      </c>
      <c r="D2296" s="15">
        <v>222467</v>
      </c>
      <c r="E2296" s="14">
        <v>19.899999999999999</v>
      </c>
      <c r="F2296" s="14">
        <v>20.079999999999998</v>
      </c>
      <c r="G2296" s="16">
        <v>18.86</v>
      </c>
      <c r="H2296" s="69">
        <f t="shared" si="51"/>
        <v>-1.4646464646464574E-2</v>
      </c>
    </row>
    <row r="2297" spans="1:8" x14ac:dyDescent="0.2">
      <c r="A2297" s="1"/>
      <c r="B2297" s="13">
        <v>42382</v>
      </c>
      <c r="C2297" s="14">
        <v>19.8</v>
      </c>
      <c r="D2297" s="15">
        <v>266569</v>
      </c>
      <c r="E2297" s="14">
        <v>19.79</v>
      </c>
      <c r="F2297" s="14">
        <v>20.2</v>
      </c>
      <c r="G2297" s="16">
        <v>19.52</v>
      </c>
      <c r="H2297" s="69">
        <f t="shared" si="51"/>
        <v>0</v>
      </c>
    </row>
    <row r="2298" spans="1:8" x14ac:dyDescent="0.2">
      <c r="A2298" s="1"/>
      <c r="B2298" s="13">
        <v>42381</v>
      </c>
      <c r="C2298" s="14">
        <v>19.8</v>
      </c>
      <c r="D2298" s="15">
        <v>198398</v>
      </c>
      <c r="E2298" s="14">
        <v>19.95</v>
      </c>
      <c r="F2298" s="14">
        <v>20.52</v>
      </c>
      <c r="G2298" s="16">
        <v>19.239999999999998</v>
      </c>
      <c r="H2298" s="69">
        <f t="shared" si="51"/>
        <v>-7.5187969924811471E-3</v>
      </c>
    </row>
    <row r="2299" spans="1:8" x14ac:dyDescent="0.2">
      <c r="A2299" s="1"/>
      <c r="B2299" s="13">
        <v>42380</v>
      </c>
      <c r="C2299" s="14">
        <v>19.95</v>
      </c>
      <c r="D2299" s="15">
        <v>248658</v>
      </c>
      <c r="E2299" s="14">
        <v>20.079999999999998</v>
      </c>
      <c r="F2299" s="14">
        <v>20.399999999999999</v>
      </c>
      <c r="G2299" s="16">
        <v>19.920000000000002</v>
      </c>
      <c r="H2299" s="69">
        <f t="shared" si="51"/>
        <v>1.5060240963853389E-3</v>
      </c>
    </row>
    <row r="2300" spans="1:8" x14ac:dyDescent="0.2">
      <c r="A2300" s="1"/>
      <c r="B2300" s="13">
        <v>42377</v>
      </c>
      <c r="C2300" s="14">
        <v>19.920000000000002</v>
      </c>
      <c r="D2300" s="15">
        <v>372198</v>
      </c>
      <c r="E2300" s="14">
        <v>20.010000000000002</v>
      </c>
      <c r="F2300" s="14">
        <v>20.785</v>
      </c>
      <c r="G2300" s="16">
        <v>19.87</v>
      </c>
      <c r="H2300" s="69">
        <f t="shared" si="51"/>
        <v>-6.4837905236907467E-3</v>
      </c>
    </row>
    <row r="2301" spans="1:8" x14ac:dyDescent="0.2">
      <c r="A2301" s="1"/>
      <c r="B2301" s="13">
        <v>42376</v>
      </c>
      <c r="C2301" s="14">
        <v>20.05</v>
      </c>
      <c r="D2301" s="15">
        <v>345880</v>
      </c>
      <c r="E2301" s="14">
        <v>20.83</v>
      </c>
      <c r="F2301" s="14">
        <v>20.83</v>
      </c>
      <c r="G2301" s="16">
        <v>19.72</v>
      </c>
      <c r="H2301" s="69">
        <f t="shared" si="51"/>
        <v>-7.3475046210720873E-2</v>
      </c>
    </row>
    <row r="2302" spans="1:8" x14ac:dyDescent="0.2">
      <c r="A2302" s="1"/>
      <c r="B2302" s="13">
        <v>42375</v>
      </c>
      <c r="C2302" s="14">
        <v>21.64</v>
      </c>
      <c r="D2302" s="15">
        <v>260337</v>
      </c>
      <c r="E2302" s="14">
        <v>21.95</v>
      </c>
      <c r="F2302" s="14">
        <v>22.38</v>
      </c>
      <c r="G2302" s="16">
        <v>21.32</v>
      </c>
      <c r="H2302" s="69">
        <f t="shared" si="51"/>
        <v>-3.5220686580472504E-2</v>
      </c>
    </row>
    <row r="2303" spans="1:8" x14ac:dyDescent="0.2">
      <c r="A2303" s="1"/>
      <c r="B2303" s="13">
        <v>42374</v>
      </c>
      <c r="C2303" s="14">
        <v>22.43</v>
      </c>
      <c r="D2303" s="15">
        <v>206877</v>
      </c>
      <c r="E2303" s="14">
        <v>21.87</v>
      </c>
      <c r="F2303" s="14">
        <v>22.51</v>
      </c>
      <c r="G2303" s="16">
        <v>21.63</v>
      </c>
      <c r="H2303" s="69">
        <f t="shared" si="51"/>
        <v>2.9371271225332674E-2</v>
      </c>
    </row>
    <row r="2304" spans="1:8" x14ac:dyDescent="0.2">
      <c r="A2304" s="1"/>
      <c r="B2304" s="13">
        <v>42373</v>
      </c>
      <c r="C2304" s="14">
        <v>21.79</v>
      </c>
      <c r="D2304" s="15">
        <v>258568</v>
      </c>
      <c r="E2304" s="14">
        <v>21.73</v>
      </c>
      <c r="F2304" s="14">
        <v>21.9</v>
      </c>
      <c r="G2304" s="16">
        <v>21.09</v>
      </c>
      <c r="H2304" s="69">
        <f t="shared" si="51"/>
        <v>-2.0674157303370855E-2</v>
      </c>
    </row>
    <row r="2305" spans="2:8" x14ac:dyDescent="0.2">
      <c r="B2305" s="17">
        <v>42369</v>
      </c>
      <c r="C2305" s="18">
        <v>22.25</v>
      </c>
      <c r="D2305" s="19">
        <v>225518</v>
      </c>
      <c r="E2305" s="18">
        <v>21.44</v>
      </c>
      <c r="F2305" s="18">
        <v>22.49</v>
      </c>
      <c r="G2305" s="20">
        <v>21.381</v>
      </c>
      <c r="H2305" s="69" t="e">
        <f t="shared" si="51"/>
        <v>#DIV/0!</v>
      </c>
    </row>
  </sheetData>
  <mergeCells count="2">
    <mergeCell ref="J38:K38"/>
    <mergeCell ref="B2:O6"/>
  </mergeCells>
  <hyperlinks>
    <hyperlink ref="B35" r:id="rId1" xr:uid="{7057DC50-5C32-4381-86F7-DDE7DA64580C}"/>
    <hyperlink ref="R35" r:id="rId2" xr:uid="{C5B85CD1-125B-4E09-96F1-5C25088FB588}"/>
    <hyperlink ref="AA35" r:id="rId3" xr:uid="{D42CD876-EB9D-4096-99B7-A2D9D484677E}"/>
  </hyperlinks>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C9EA6-9244-48A6-9F18-7E68E1F657D7}">
  <dimension ref="A1:CE136"/>
  <sheetViews>
    <sheetView showGridLines="0" zoomScaleNormal="100" workbookViewId="0">
      <selection activeCell="F19" sqref="F19"/>
    </sheetView>
  </sheetViews>
  <sheetFormatPr defaultColWidth="9.01171875" defaultRowHeight="14.1" customHeight="1" x14ac:dyDescent="0.2"/>
  <cols>
    <col min="1" max="1" width="0.671875" customWidth="1"/>
    <col min="2" max="2" width="0.8046875" customWidth="1"/>
    <col min="3" max="3" width="31.20703125" style="60" customWidth="1"/>
    <col min="4" max="7" width="10.22265625" style="60" customWidth="1"/>
    <col min="8" max="9" width="10.22265625" style="60" bestFit="1" customWidth="1"/>
    <col min="10" max="10" width="10.22265625" style="60" customWidth="1"/>
    <col min="11" max="15" width="10.22265625" style="60" bestFit="1" customWidth="1"/>
    <col min="16" max="16" width="2.5546875" style="60" customWidth="1"/>
    <col min="17" max="17" width="5.6484375" style="60" customWidth="1"/>
    <col min="18" max="18" width="31.20703125" style="60" customWidth="1"/>
    <col min="19" max="19" width="10.22265625" style="60" customWidth="1"/>
    <col min="20" max="43" width="9.01171875" style="60" customWidth="1"/>
    <col min="44" max="47" width="9.01171875" style="60"/>
    <col min="48" max="48" width="9.01171875" style="60" customWidth="1"/>
    <col min="49" max="52" width="9.01171875" style="60"/>
    <col min="53" max="53" width="9.01171875" style="60" customWidth="1"/>
    <col min="54" max="57" width="9.01171875" style="60"/>
    <col min="58" max="58" width="9.01171875" style="60" customWidth="1"/>
    <col min="59" max="62" width="9.01171875" style="60"/>
    <col min="63" max="63" width="9.01171875" style="60" customWidth="1"/>
    <col min="64" max="67" width="9.01171875" style="60"/>
    <col min="68" max="68" width="9.01171875" style="60" customWidth="1"/>
    <col min="69" max="72" width="9.01171875" style="60"/>
    <col min="73" max="73" width="9.01171875" style="60" customWidth="1"/>
    <col min="74" max="76" width="9.01171875" style="60"/>
    <col min="77" max="77" width="10.76171875" style="60" bestFit="1" customWidth="1"/>
    <col min="78" max="78" width="9.01171875" style="60" customWidth="1"/>
    <col min="79" max="16384" width="9.01171875" style="60"/>
  </cols>
  <sheetData>
    <row r="1" spans="1:83" customFormat="1" ht="3" customHeight="1" x14ac:dyDescent="0.2"/>
    <row r="2" spans="1:83" customFormat="1" ht="1.1499999999999999" customHeight="1" x14ac:dyDescent="0.2"/>
    <row r="3" spans="1:83" s="41" customFormat="1" ht="18.75" x14ac:dyDescent="0.25">
      <c r="A3"/>
      <c r="B3"/>
      <c r="C3" s="47" t="str">
        <f>Company_Name</f>
        <v>SAIA, Inc.</v>
      </c>
      <c r="D3" s="48"/>
      <c r="E3" s="48"/>
      <c r="F3" s="48"/>
      <c r="G3" s="48"/>
      <c r="H3" s="48"/>
      <c r="I3" s="48"/>
      <c r="J3" s="48"/>
      <c r="K3" s="48"/>
      <c r="L3" s="48"/>
      <c r="M3" s="48"/>
      <c r="N3" s="67" t="str">
        <f>'Revenue Build'!N3</f>
        <v>Model Case:</v>
      </c>
      <c r="O3" s="48" t="str">
        <f>'Revenue Build'!O3</f>
        <v>Base</v>
      </c>
      <c r="P3" s="1373" t="s">
        <v>172</v>
      </c>
      <c r="Q3" s="1373"/>
      <c r="R3" s="1374" t="str">
        <f>C3</f>
        <v>SAIA, Inc.</v>
      </c>
      <c r="S3" s="1374"/>
      <c r="T3" s="1374"/>
      <c r="U3" s="1374"/>
      <c r="V3" s="1374"/>
      <c r="W3" s="1374"/>
      <c r="X3" s="1374"/>
      <c r="Y3" s="1374"/>
      <c r="Z3" s="1374"/>
      <c r="AA3" s="1374"/>
      <c r="AB3" s="1374"/>
      <c r="AC3" s="1374"/>
      <c r="AD3" s="1374"/>
      <c r="AE3" s="1374"/>
      <c r="AF3" s="1374"/>
      <c r="AG3" s="1374"/>
      <c r="AH3" s="1374"/>
      <c r="AI3" s="1374"/>
      <c r="AJ3" s="1374"/>
      <c r="AK3" s="1374"/>
      <c r="AL3" s="1374"/>
      <c r="AM3" s="1374"/>
      <c r="AN3" s="1374"/>
      <c r="AO3" s="1374"/>
      <c r="AP3" s="1374"/>
      <c r="AQ3" s="1374"/>
      <c r="AR3" s="1374"/>
      <c r="AS3" s="1374"/>
      <c r="AT3" s="1374"/>
      <c r="AU3" s="1374"/>
      <c r="AV3" s="1374"/>
      <c r="AW3" s="1374"/>
      <c r="AX3" s="1374"/>
      <c r="AY3" s="1374"/>
      <c r="AZ3" s="1374"/>
      <c r="BA3" s="47"/>
      <c r="BB3" s="47"/>
      <c r="BC3" s="47"/>
      <c r="BD3" s="47"/>
      <c r="BE3" s="47"/>
      <c r="BF3" s="47"/>
      <c r="BG3" s="47"/>
      <c r="BH3" s="47"/>
      <c r="BI3" s="47"/>
      <c r="BJ3" s="47"/>
      <c r="BK3" s="47"/>
      <c r="BL3" s="47"/>
      <c r="BM3" s="47"/>
      <c r="BN3" s="47"/>
      <c r="BO3" s="47"/>
      <c r="BP3" s="47"/>
      <c r="BQ3" s="47"/>
      <c r="BR3" s="67" t="str">
        <f>N3</f>
        <v>Model Case:</v>
      </c>
      <c r="BS3" s="48" t="str">
        <f>O3</f>
        <v>Base</v>
      </c>
      <c r="BT3" s="1152"/>
      <c r="BU3" s="48"/>
      <c r="BV3" s="48"/>
      <c r="BW3" s="48"/>
      <c r="BX3" s="67" t="str">
        <f>N4</f>
        <v>DCF Share Value as of 12/31/2024:</v>
      </c>
      <c r="BY3" s="65">
        <f>O4</f>
        <v>520.1066763818468</v>
      </c>
      <c r="BZ3" s="47"/>
    </row>
    <row r="4" spans="1:83" s="62" customFormat="1" ht="15" x14ac:dyDescent="0.2">
      <c r="A4"/>
      <c r="B4"/>
      <c r="C4" s="48" t="str">
        <f>"Sensitivity "</f>
        <v xml:space="preserve">Sensitivity </v>
      </c>
      <c r="D4" s="48"/>
      <c r="E4" s="48"/>
      <c r="F4" s="48"/>
      <c r="G4" s="48"/>
      <c r="H4" s="48"/>
      <c r="I4" s="48"/>
      <c r="J4" s="48"/>
      <c r="K4" s="48"/>
      <c r="L4" s="48"/>
      <c r="M4" s="48"/>
      <c r="N4" s="67" t="str" cm="1">
        <f t="array" ref="N4">"DCF Share Value as of "&amp;TEXT(DCF_ShareValue_Date,"MM/DD/YYYY")&amp;":"</f>
        <v>DCF Share Value as of 12/31/2024:</v>
      </c>
      <c r="O4" s="65">
        <f>DCF_Share_Value</f>
        <v>520.1066763818468</v>
      </c>
      <c r="P4" s="1373"/>
      <c r="Q4" s="1373"/>
      <c r="R4" s="1375" t="str">
        <f>C4&amp;" Quarterly and Year Basis"</f>
        <v>Sensitivity  Quarterly and Year Basis</v>
      </c>
      <c r="S4" s="1375"/>
      <c r="T4" s="1375"/>
      <c r="U4" s="1375"/>
      <c r="V4" s="1375"/>
      <c r="W4" s="1375"/>
      <c r="X4" s="1375"/>
      <c r="Y4" s="1375"/>
      <c r="Z4" s="1375"/>
      <c r="AA4" s="1375"/>
      <c r="AB4" s="1375"/>
      <c r="AC4" s="1375"/>
      <c r="AD4" s="1375"/>
      <c r="AE4" s="1375"/>
      <c r="AF4" s="1375"/>
      <c r="AG4" s="1375"/>
      <c r="AH4" s="1375"/>
      <c r="AI4" s="1375"/>
      <c r="AJ4" s="1375"/>
      <c r="AK4" s="1375"/>
      <c r="AL4" s="1375"/>
      <c r="AM4" s="1375"/>
      <c r="AN4" s="1375"/>
      <c r="AO4" s="1375"/>
      <c r="AP4" s="1375"/>
      <c r="AQ4" s="1375"/>
      <c r="AR4" s="1375"/>
      <c r="AS4" s="1375"/>
      <c r="AT4" s="1375"/>
      <c r="AU4" s="1375"/>
      <c r="AV4" s="1375"/>
      <c r="AW4" s="1375"/>
      <c r="AX4" s="1375"/>
      <c r="AY4" s="1375"/>
      <c r="AZ4" s="1375"/>
      <c r="BA4" s="1375"/>
      <c r="BB4" s="63"/>
      <c r="BC4" s="63"/>
      <c r="BD4" s="63"/>
      <c r="BE4" s="63"/>
      <c r="BF4" s="63"/>
      <c r="BG4" s="63"/>
      <c r="BH4" s="63"/>
      <c r="BI4" s="63"/>
      <c r="BJ4" s="63"/>
      <c r="BK4" s="63"/>
      <c r="BL4" s="63"/>
      <c r="BM4" s="63"/>
      <c r="BN4" s="63"/>
      <c r="BO4" s="63"/>
      <c r="BP4" s="63"/>
      <c r="BQ4" s="63"/>
      <c r="BR4" s="63"/>
      <c r="BS4" s="63"/>
      <c r="BT4" s="63"/>
      <c r="BU4" s="63"/>
      <c r="BV4" s="63"/>
      <c r="BW4" s="63"/>
      <c r="BX4" s="1145" t="str">
        <f>N5</f>
        <v>Market Share Price as of 12/31/2024:</v>
      </c>
      <c r="BY4" s="1146">
        <f>O5</f>
        <v>455.73</v>
      </c>
      <c r="BZ4" s="63"/>
    </row>
    <row r="5" spans="1:83" s="61" customFormat="1" ht="15" x14ac:dyDescent="0.2">
      <c r="A5"/>
      <c r="B5"/>
      <c r="C5" s="46" t="str">
        <f>"($ in millions, fiscal year ending "&amp;TEXT(FY_Year_End,"MMMM,DD")&amp;")"</f>
        <v>($ in millions, fiscal year ending December,31)</v>
      </c>
      <c r="D5" s="49"/>
      <c r="E5" s="49"/>
      <c r="F5" s="49"/>
      <c r="G5" s="49"/>
      <c r="H5" s="49" t="str">
        <f>"Ticker: "&amp;Company_Ticker</f>
        <v>Ticker: SAIA</v>
      </c>
      <c r="I5" s="49"/>
      <c r="J5" s="49"/>
      <c r="K5" s="49"/>
      <c r="L5" s="49"/>
      <c r="M5" s="49"/>
      <c r="N5" s="66" t="str" cm="1">
        <f t="array" ref="N5">"Market Share Price as of "&amp;TEXT(Market_Share_Price_Date,"MM/DD/YYYY")&amp;":"</f>
        <v>Market Share Price as of 12/31/2024:</v>
      </c>
      <c r="O5" s="65">
        <f>Market_Share_Price</f>
        <v>455.73</v>
      </c>
      <c r="P5" s="1373"/>
      <c r="Q5" s="1373"/>
      <c r="R5" s="96"/>
      <c r="S5" s="1367">
        <f>D7</f>
        <v>43100</v>
      </c>
      <c r="T5" s="1368"/>
      <c r="U5" s="1368"/>
      <c r="V5" s="1368"/>
      <c r="W5" s="1368"/>
      <c r="X5" s="1368">
        <f>DATE(YEAR(S5)+1,MONTH(S5),DAY(S5))</f>
        <v>43465</v>
      </c>
      <c r="Y5" s="1368"/>
      <c r="Z5" s="1368"/>
      <c r="AA5" s="1368"/>
      <c r="AB5" s="1368"/>
      <c r="AC5" s="1368">
        <f>DATE(YEAR(X5)+1,MONTH(X5),DAY(X5))</f>
        <v>43830</v>
      </c>
      <c r="AD5" s="1368"/>
      <c r="AE5" s="1368"/>
      <c r="AF5" s="1368"/>
      <c r="AG5" s="1368"/>
      <c r="AH5" s="1368">
        <f>DATE(YEAR(AC5)+1,MONTH(AC5),DAY(AC5))</f>
        <v>44196</v>
      </c>
      <c r="AI5" s="1368"/>
      <c r="AJ5" s="1368"/>
      <c r="AK5" s="1368"/>
      <c r="AL5" s="1368"/>
      <c r="AM5" s="1368">
        <f>DATE(YEAR(AH5)+1,MONTH(AH5),DAY(AH5))</f>
        <v>44561</v>
      </c>
      <c r="AN5" s="1368"/>
      <c r="AO5" s="1368"/>
      <c r="AP5" s="1368"/>
      <c r="AQ5" s="1368"/>
      <c r="AR5" s="1368">
        <f>DATE(YEAR(AM5)+1,MONTH(AM5),DAY(AM5))</f>
        <v>44926</v>
      </c>
      <c r="AS5" s="1368"/>
      <c r="AT5" s="1368"/>
      <c r="AU5" s="1368"/>
      <c r="AV5" s="1368"/>
      <c r="AW5" s="1368">
        <f>DATE(YEAR(AR5)+1,MONTH(AR5),DAY(AR5))</f>
        <v>45291</v>
      </c>
      <c r="AX5" s="1368"/>
      <c r="AY5" s="1368"/>
      <c r="AZ5" s="1368"/>
      <c r="BA5" s="1368"/>
      <c r="BB5" s="1369">
        <f>DATE(YEAR(AW5)+1,MONTH(AW5),DAY(AW5))</f>
        <v>45657</v>
      </c>
      <c r="BC5" s="1369"/>
      <c r="BD5" s="1369"/>
      <c r="BE5" s="1369"/>
      <c r="BF5" s="1369"/>
      <c r="BG5" s="1365">
        <f>DATE(YEAR(BB5)+1,MONTH(BB5),DAY(BB5))</f>
        <v>46022</v>
      </c>
      <c r="BH5" s="1365"/>
      <c r="BI5" s="1365"/>
      <c r="BJ5" s="1365"/>
      <c r="BK5" s="1365"/>
      <c r="BL5" s="1365">
        <f>DATE(YEAR(BG5)+1,MONTH(BG5),DAY(BG5))</f>
        <v>46387</v>
      </c>
      <c r="BM5" s="1365"/>
      <c r="BN5" s="1365"/>
      <c r="BO5" s="1365"/>
      <c r="BP5" s="1365"/>
      <c r="BQ5" s="1365">
        <f>DATE(YEAR(BL5)+1,MONTH(BL5),DAY(BL5))</f>
        <v>46752</v>
      </c>
      <c r="BR5" s="1365"/>
      <c r="BS5" s="1365"/>
      <c r="BT5" s="1365"/>
      <c r="BU5" s="1365"/>
      <c r="BV5" s="1365">
        <f>DATE(YEAR(BQ5)+1,MONTH(BQ5),DAY(BQ5))</f>
        <v>47118</v>
      </c>
      <c r="BW5" s="1365"/>
      <c r="BX5" s="1365"/>
      <c r="BY5" s="1365"/>
      <c r="BZ5" s="1366"/>
      <c r="CA5" s="1388"/>
      <c r="CB5" s="1388"/>
      <c r="CC5" s="1388"/>
      <c r="CD5" s="1388"/>
      <c r="CE5" s="1388"/>
    </row>
    <row r="6" spans="1:83" s="45" customFormat="1" ht="1.5" customHeight="1" x14ac:dyDescent="0.2">
      <c r="A6"/>
      <c r="B6"/>
      <c r="C6" s="42" t="s">
        <v>49</v>
      </c>
      <c r="D6" s="42">
        <v>6</v>
      </c>
      <c r="E6" s="42">
        <v>5</v>
      </c>
      <c r="F6" s="42">
        <v>4</v>
      </c>
      <c r="G6" s="42">
        <v>3</v>
      </c>
      <c r="H6" s="42">
        <v>2</v>
      </c>
      <c r="I6" s="42">
        <v>1</v>
      </c>
      <c r="J6" s="42"/>
      <c r="K6" s="42">
        <v>1</v>
      </c>
      <c r="L6" s="42">
        <v>2</v>
      </c>
      <c r="M6" s="42">
        <v>3</v>
      </c>
      <c r="N6" s="42">
        <v>4</v>
      </c>
      <c r="O6" s="42">
        <v>5</v>
      </c>
      <c r="P6" s="1373"/>
      <c r="Q6" s="1373"/>
      <c r="R6" s="42"/>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4"/>
      <c r="CB6" s="44"/>
      <c r="CC6" s="44"/>
      <c r="CD6" s="44"/>
      <c r="CE6" s="44"/>
    </row>
    <row r="7" spans="1:83" s="50" customFormat="1" ht="14.1" customHeight="1" x14ac:dyDescent="0.2">
      <c r="A7"/>
      <c r="B7"/>
      <c r="C7" s="163"/>
      <c r="D7" s="51">
        <f t="shared" ref="D7:I7" si="0">DATE(Base_Year-D6,MONTH(FY_Year_End),DAY(FY_Year_End))</f>
        <v>43100</v>
      </c>
      <c r="E7" s="52">
        <f t="shared" si="0"/>
        <v>43465</v>
      </c>
      <c r="F7" s="52">
        <f t="shared" si="0"/>
        <v>43830</v>
      </c>
      <c r="G7" s="52">
        <f t="shared" si="0"/>
        <v>44196</v>
      </c>
      <c r="H7" s="52">
        <f t="shared" si="0"/>
        <v>44561</v>
      </c>
      <c r="I7" s="52">
        <f t="shared" si="0"/>
        <v>44926</v>
      </c>
      <c r="J7" s="52">
        <f>DATE(Base_Year,MONTH(FY_Year_End),DAY(FY_Year_End))</f>
        <v>45291</v>
      </c>
      <c r="K7" s="53">
        <f>DATE(Base_Year+K6,MONTH(FY_Year_End),DAY(FY_Year_End))</f>
        <v>45657</v>
      </c>
      <c r="L7" s="54">
        <f>DATE(Base_Year+L6,MONTH(FY_Year_End),DAY(FY_Year_End))</f>
        <v>46022</v>
      </c>
      <c r="M7" s="54">
        <f>DATE(Base_Year+M6,MONTH(FY_Year_End),DAY(FY_Year_End))</f>
        <v>46387</v>
      </c>
      <c r="N7" s="54">
        <f>DATE(Base_Year+N6,MONTH(FY_Year_End),DAY(FY_Year_End))</f>
        <v>46752</v>
      </c>
      <c r="O7" s="55">
        <f>DATE(Base_Year+O6,MONTH(FY_Year_End),DAY(FY_Year_End))</f>
        <v>47118</v>
      </c>
      <c r="P7" s="1373"/>
      <c r="Q7" s="1373"/>
      <c r="R7" s="56"/>
      <c r="S7" s="56" t="str">
        <f>TEXT(S5,"YYYY")&amp; " Q"&amp;$K$6</f>
        <v>2017 Q1</v>
      </c>
      <c r="T7" s="57" t="str">
        <f>TEXT(S5,"YYYY")&amp; " Q"&amp;$L$6</f>
        <v>2017 Q2</v>
      </c>
      <c r="U7" s="57" t="str">
        <f>TEXT(S5,"YYYY")&amp; " Q"&amp;$M$6</f>
        <v>2017 Q3</v>
      </c>
      <c r="V7" s="57" t="str">
        <f>TEXT(S5,"YYYY")&amp; " Q"&amp;$N$6</f>
        <v>2017 Q4</v>
      </c>
      <c r="W7" s="57" t="str">
        <f>TEXT(S5,"YYYY")&amp; " FY"</f>
        <v>2017 FY</v>
      </c>
      <c r="X7" s="57" t="str">
        <f>TEXT(X5,"YYYY")&amp; " Q"&amp;$K$6</f>
        <v>2018 Q1</v>
      </c>
      <c r="Y7" s="57" t="str">
        <f>TEXT(X5,"YYYY")&amp; " Q"&amp;$L$6</f>
        <v>2018 Q2</v>
      </c>
      <c r="Z7" s="57" t="str">
        <f>TEXT(X5,"YYYY")&amp; " Q"&amp;$M$6</f>
        <v>2018 Q3</v>
      </c>
      <c r="AA7" s="57" t="str">
        <f>TEXT(X5,"YYYY")&amp; " Q"&amp;$N$6</f>
        <v>2018 Q4</v>
      </c>
      <c r="AB7" s="57" t="str">
        <f>TEXT(X5,"YYYY")&amp; " FY"</f>
        <v>2018 FY</v>
      </c>
      <c r="AC7" s="57" t="str">
        <f>TEXT(AC5,"YYYY")&amp; " Q"&amp;$K$6</f>
        <v>2019 Q1</v>
      </c>
      <c r="AD7" s="57" t="str">
        <f>TEXT(AC5,"YYYY")&amp; " Q"&amp;$L$6</f>
        <v>2019 Q2</v>
      </c>
      <c r="AE7" s="57" t="str">
        <f>TEXT(AC5,"YYYY")&amp; " Q"&amp;$M$6</f>
        <v>2019 Q3</v>
      </c>
      <c r="AF7" s="57" t="str">
        <f>TEXT(AC5,"YYYY")&amp; " Q"&amp;$N$6</f>
        <v>2019 Q4</v>
      </c>
      <c r="AG7" s="57" t="str">
        <f>TEXT(AC5,"YYYY")&amp; " FY"</f>
        <v>2019 FY</v>
      </c>
      <c r="AH7" s="57" t="str">
        <f>TEXT(AH5,"YYYY")&amp; " Q"&amp;$K$6</f>
        <v>2020 Q1</v>
      </c>
      <c r="AI7" s="57" t="str">
        <f>TEXT(AH5,"YYYY")&amp; " Q"&amp;$L$6</f>
        <v>2020 Q2</v>
      </c>
      <c r="AJ7" s="57" t="str">
        <f>TEXT(AH5,"YYYY")&amp; " Q"&amp;$M$6</f>
        <v>2020 Q3</v>
      </c>
      <c r="AK7" s="57" t="str">
        <f>TEXT(AH5,"YYYY")&amp; " Q"&amp;$N$6</f>
        <v>2020 Q4</v>
      </c>
      <c r="AL7" s="57" t="str">
        <f>TEXT(AH5,"YYYY")&amp; " FY"</f>
        <v>2020 FY</v>
      </c>
      <c r="AM7" s="57" t="str">
        <f>TEXT(AM5,"YYYY")&amp; " Q"&amp;$K$6</f>
        <v>2021 Q1</v>
      </c>
      <c r="AN7" s="57" t="str">
        <f>TEXT(AM5,"YYYY")&amp; " Q"&amp;$L$6</f>
        <v>2021 Q2</v>
      </c>
      <c r="AO7" s="57" t="str">
        <f>TEXT(AM5,"YYYY")&amp; " Q"&amp;$M$6</f>
        <v>2021 Q3</v>
      </c>
      <c r="AP7" s="57" t="str">
        <f>TEXT(AM5,"YYYY")&amp; " Q"&amp;$N$6</f>
        <v>2021 Q4</v>
      </c>
      <c r="AQ7" s="57" t="str">
        <f>TEXT(AM5,"YYYY")&amp; " FY"</f>
        <v>2021 FY</v>
      </c>
      <c r="AR7" s="57" t="str">
        <f>TEXT(AR5,"YYYY")&amp; " Q"&amp;$K$6</f>
        <v>2022 Q1</v>
      </c>
      <c r="AS7" s="57" t="str">
        <f>TEXT(AR5,"YYYY")&amp; " Q"&amp;$L$6</f>
        <v>2022 Q2</v>
      </c>
      <c r="AT7" s="57" t="str">
        <f>TEXT(AR5,"YYYY")&amp; " Q"&amp;$M$6</f>
        <v>2022 Q3</v>
      </c>
      <c r="AU7" s="57" t="str">
        <f>TEXT(AR5,"YYYY")&amp; " Q"&amp;$N$6</f>
        <v>2022 Q4</v>
      </c>
      <c r="AV7" s="57" t="str">
        <f>TEXT(AR5,"YYYY")&amp; " FY"</f>
        <v>2022 FY</v>
      </c>
      <c r="AW7" s="57" t="str">
        <f>TEXT(AW5,"YYYY")&amp; " Q"&amp;$K$6</f>
        <v>2023 Q1</v>
      </c>
      <c r="AX7" s="57" t="str">
        <f>TEXT(AW5,"YYYY")&amp; " Q"&amp;$L$6</f>
        <v>2023 Q2</v>
      </c>
      <c r="AY7" s="57" t="str">
        <f>TEXT(AW5,"YYYY")&amp; " Q"&amp;$M$6</f>
        <v>2023 Q3</v>
      </c>
      <c r="AZ7" s="57" t="str">
        <f>TEXT(AW5,"YYYY")&amp; " Q"&amp;$N$6</f>
        <v>2023 Q4</v>
      </c>
      <c r="BA7" s="57" t="str">
        <f>TEXT(AW5,"YYYY")&amp; " FY"</f>
        <v>2023 FY</v>
      </c>
      <c r="BB7" s="57" t="str">
        <f>TEXT(BB5,"YYYY")&amp; " Q"&amp;$K$6</f>
        <v>2024 Q1</v>
      </c>
      <c r="BC7" s="57" t="str">
        <f>TEXT(BB5,"YYYY")&amp; " Q"&amp;$L$6</f>
        <v>2024 Q2</v>
      </c>
      <c r="BD7" s="57" t="str">
        <f>TEXT(BB5,"YYYY")&amp; " Q"&amp;$M$6</f>
        <v>2024 Q3</v>
      </c>
      <c r="BE7" s="58" t="str">
        <f>TEXT(BB5,"YYYY")&amp; " Q"&amp;$N$6</f>
        <v>2024 Q4</v>
      </c>
      <c r="BF7" s="58" t="str">
        <f>TEXT(BB5,"YYYY")&amp; " FY"</f>
        <v>2024 FY</v>
      </c>
      <c r="BG7" s="58" t="str">
        <f>TEXT(BG5,"YYYY")&amp; " Q"&amp;$K$6</f>
        <v>2025 Q1</v>
      </c>
      <c r="BH7" s="58" t="str">
        <f>TEXT(BG5,"YYYY")&amp; " Q"&amp;$L$6</f>
        <v>2025 Q2</v>
      </c>
      <c r="BI7" s="58" t="str">
        <f>TEXT(BG5,"YYYY")&amp; " Q"&amp;$M$6</f>
        <v>2025 Q3</v>
      </c>
      <c r="BJ7" s="58" t="str">
        <f>TEXT(BG5,"YYYY")&amp; " Q"&amp;$N$6</f>
        <v>2025 Q4</v>
      </c>
      <c r="BK7" s="58" t="str">
        <f>TEXT(BG5,"YYYY")&amp; " FY"</f>
        <v>2025 FY</v>
      </c>
      <c r="BL7" s="58" t="str">
        <f>TEXT(BL5,"YYYY")&amp; " Q"&amp;$K$6</f>
        <v>2026 Q1</v>
      </c>
      <c r="BM7" s="58" t="str">
        <f>TEXT(BL5,"YYYY")&amp; " Q"&amp;$L$6</f>
        <v>2026 Q2</v>
      </c>
      <c r="BN7" s="58" t="str">
        <f>TEXT(BL5,"YYYY")&amp; " Q"&amp;$M$6</f>
        <v>2026 Q3</v>
      </c>
      <c r="BO7" s="58" t="str">
        <f>TEXT(BL5,"YYYY")&amp; " Q"&amp;$N$6</f>
        <v>2026 Q4</v>
      </c>
      <c r="BP7" s="58" t="str">
        <f>TEXT(BL5,"YYYY")&amp; " FY"</f>
        <v>2026 FY</v>
      </c>
      <c r="BQ7" s="58" t="str">
        <f>TEXT(BQ5,"YYYY")&amp; " Q"&amp;$K$6</f>
        <v>2027 Q1</v>
      </c>
      <c r="BR7" s="58" t="str">
        <f>TEXT(BQ5,"YYYY")&amp; " Q"&amp;$L$6</f>
        <v>2027 Q2</v>
      </c>
      <c r="BS7" s="58" t="str">
        <f>TEXT(BQ5,"YYYY")&amp; " Q"&amp;$M$6</f>
        <v>2027 Q3</v>
      </c>
      <c r="BT7" s="58" t="str">
        <f>TEXT(BQ5,"YYYY")&amp; " Q"&amp;$N$6</f>
        <v>2027 Q4</v>
      </c>
      <c r="BU7" s="58" t="str">
        <f>TEXT(BQ5,"YYYY")&amp; " FY"</f>
        <v>2027 FY</v>
      </c>
      <c r="BV7" s="58" t="str">
        <f>TEXT(BV5,"YYYY")&amp; " Q"&amp;$K$6</f>
        <v>2028 Q1</v>
      </c>
      <c r="BW7" s="58" t="str">
        <f>TEXT(BV5,"YYYY")&amp; " Q"&amp;$L$6</f>
        <v>2028 Q2</v>
      </c>
      <c r="BX7" s="58" t="str">
        <f>TEXT(BV5,"YYYY")&amp; " Q"&amp;$M$6</f>
        <v>2028 Q3</v>
      </c>
      <c r="BY7" s="58" t="str">
        <f>TEXT(BV5,"YYYY")&amp; " Q"&amp;$N$6</f>
        <v>2028 Q4</v>
      </c>
      <c r="BZ7" s="59" t="str">
        <f>TEXT(BV5,"YYYY")&amp; " FY"</f>
        <v>2028 FY</v>
      </c>
    </row>
    <row r="8" spans="1:83" s="114" customFormat="1" ht="14.1" customHeight="1" x14ac:dyDescent="0.2">
      <c r="A8"/>
      <c r="B8"/>
    </row>
    <row r="9" spans="1:83" s="161" customFormat="1" ht="14.1" customHeight="1" x14ac:dyDescent="0.2">
      <c r="A9"/>
      <c r="B9"/>
      <c r="C9" s="1169"/>
      <c r="D9" s="1170"/>
      <c r="E9" s="1170"/>
      <c r="F9" s="1170"/>
      <c r="G9" s="1170"/>
      <c r="H9" s="1170"/>
      <c r="I9" s="1170"/>
      <c r="J9" s="1170"/>
      <c r="K9" s="1170"/>
      <c r="L9" s="1170"/>
      <c r="M9" s="1180"/>
      <c r="N9" s="1170"/>
      <c r="O9" s="1170"/>
      <c r="P9" s="1170"/>
      <c r="Q9" s="1170"/>
      <c r="R9" s="1170"/>
      <c r="S9" s="122"/>
      <c r="T9" s="122"/>
      <c r="U9" s="122"/>
      <c r="V9" s="122"/>
      <c r="W9" s="122"/>
      <c r="X9" s="122"/>
      <c r="Y9" s="122"/>
      <c r="Z9" s="122"/>
      <c r="AA9" s="122"/>
      <c r="AB9" s="122"/>
      <c r="AC9" s="122"/>
      <c r="AD9" s="122"/>
      <c r="AE9" s="122"/>
      <c r="AF9" s="122"/>
      <c r="AG9" s="122"/>
      <c r="AH9" s="122"/>
      <c r="AI9" s="122"/>
      <c r="AJ9" s="122"/>
      <c r="AK9" s="122"/>
      <c r="AL9" s="122"/>
      <c r="AM9" s="122"/>
      <c r="AN9" s="122"/>
      <c r="AO9" s="122"/>
      <c r="AP9" s="122"/>
      <c r="AQ9" s="122"/>
      <c r="AR9" s="122"/>
      <c r="AS9" s="122"/>
      <c r="AT9" s="122"/>
      <c r="AU9" s="122"/>
      <c r="AV9" s="122"/>
      <c r="AW9" s="122"/>
      <c r="AX9" s="122"/>
      <c r="AY9" s="122"/>
      <c r="AZ9" s="122"/>
      <c r="BA9" s="122"/>
      <c r="BB9" s="122"/>
      <c r="BC9" s="122"/>
      <c r="BD9" s="122"/>
      <c r="BE9" s="122"/>
      <c r="BF9" s="122"/>
      <c r="BG9" s="122"/>
      <c r="BH9" s="122"/>
      <c r="BI9" s="122"/>
      <c r="BJ9" s="122"/>
      <c r="BK9" s="122"/>
      <c r="BL9" s="122"/>
      <c r="BM9" s="122"/>
      <c r="BN9" s="122"/>
      <c r="BO9" s="122"/>
      <c r="BP9" s="122"/>
      <c r="BQ9" s="122"/>
      <c r="BR9" s="122"/>
      <c r="BS9" s="122"/>
      <c r="BT9" s="122"/>
      <c r="BU9" s="122"/>
      <c r="BV9" s="122"/>
      <c r="BW9" s="122"/>
      <c r="BX9" s="122"/>
      <c r="BY9" s="122"/>
      <c r="BZ9" s="122"/>
    </row>
    <row r="10" spans="1:83" s="114" customFormat="1" ht="14.1" customHeight="1" x14ac:dyDescent="0.2">
      <c r="A10"/>
      <c r="B10"/>
      <c r="D10" s="1181"/>
      <c r="E10" s="1181"/>
      <c r="F10" s="1182"/>
      <c r="G10" s="1182"/>
      <c r="H10" s="1182"/>
      <c r="I10" s="1182"/>
      <c r="J10" s="1182"/>
      <c r="K10" s="1182"/>
      <c r="M10" s="191"/>
    </row>
    <row r="11" spans="1:83" s="114" customFormat="1" ht="14.1" customHeight="1" x14ac:dyDescent="0.2">
      <c r="A11"/>
      <c r="B11"/>
      <c r="D11" s="1181"/>
      <c r="E11" s="1181"/>
      <c r="F11" s="1181"/>
      <c r="G11" s="1181"/>
      <c r="H11" s="1181"/>
      <c r="I11" s="1181"/>
      <c r="J11" s="1181"/>
      <c r="K11" s="1181"/>
    </row>
    <row r="12" spans="1:83" s="114" customFormat="1" ht="14.1" customHeight="1" x14ac:dyDescent="0.2">
      <c r="A12"/>
      <c r="B12"/>
      <c r="D12" s="1182"/>
      <c r="E12" s="1181"/>
      <c r="F12" s="1181"/>
      <c r="G12" s="1181"/>
      <c r="H12" s="1181"/>
      <c r="I12" s="1181"/>
      <c r="J12" s="1181"/>
      <c r="K12" s="1181"/>
    </row>
    <row r="13" spans="1:83" s="114" customFormat="1" ht="14.1" customHeight="1" x14ac:dyDescent="0.2">
      <c r="A13"/>
      <c r="B13"/>
      <c r="D13" s="1182"/>
      <c r="E13" s="1181"/>
      <c r="F13" s="1181"/>
      <c r="G13" s="1181"/>
      <c r="H13" s="1181"/>
      <c r="I13" s="1181"/>
      <c r="J13" s="1181"/>
      <c r="K13" s="1181"/>
    </row>
    <row r="14" spans="1:83" s="114" customFormat="1" ht="14.1" customHeight="1" x14ac:dyDescent="0.2">
      <c r="A14"/>
      <c r="B14"/>
      <c r="D14" s="1182"/>
      <c r="E14" s="1181"/>
      <c r="F14" s="1181"/>
      <c r="G14" s="1181"/>
      <c r="H14" s="1181"/>
      <c r="I14" s="1181"/>
      <c r="J14" s="1181"/>
      <c r="K14" s="1181"/>
    </row>
    <row r="15" spans="1:83" s="114" customFormat="1" ht="14.1" customHeight="1" x14ac:dyDescent="0.2">
      <c r="A15"/>
      <c r="B15"/>
      <c r="D15" s="1182"/>
      <c r="E15" s="1181"/>
      <c r="F15" s="1181"/>
      <c r="G15" s="1181"/>
      <c r="H15" s="1181"/>
      <c r="I15" s="1181"/>
      <c r="J15" s="1181"/>
      <c r="K15" s="1181"/>
    </row>
    <row r="16" spans="1:83" s="114" customFormat="1" ht="14.1" customHeight="1" x14ac:dyDescent="0.2">
      <c r="A16"/>
      <c r="B16"/>
      <c r="D16" s="1182"/>
      <c r="E16" s="1181"/>
      <c r="F16" s="1181"/>
      <c r="G16" s="1181"/>
      <c r="H16" s="1181"/>
      <c r="I16" s="1181"/>
      <c r="J16" s="1181"/>
      <c r="K16" s="1181"/>
    </row>
    <row r="17" spans="1:78" s="114" customFormat="1" ht="14.1" customHeight="1" x14ac:dyDescent="0.2">
      <c r="A17"/>
      <c r="B17"/>
      <c r="D17" s="1182"/>
      <c r="E17" s="1181"/>
      <c r="F17" s="1181"/>
      <c r="G17" s="1181"/>
      <c r="H17" s="1181"/>
      <c r="I17" s="1181"/>
      <c r="J17" s="1181"/>
      <c r="K17" s="1181"/>
    </row>
    <row r="18" spans="1:78" s="114" customFormat="1" ht="14.1" customHeight="1" x14ac:dyDescent="0.2">
      <c r="A18"/>
      <c r="B18"/>
      <c r="D18" s="1182"/>
      <c r="E18" s="1181"/>
      <c r="F18" s="1181"/>
      <c r="G18" s="1181"/>
      <c r="H18" s="1181"/>
      <c r="I18" s="1181"/>
      <c r="J18" s="1181"/>
      <c r="K18" s="1181"/>
    </row>
    <row r="19" spans="1:78" s="114" customFormat="1" ht="14.1" customHeight="1" x14ac:dyDescent="0.2">
      <c r="A19"/>
      <c r="B19"/>
      <c r="C19" s="118"/>
      <c r="D19" s="1182"/>
      <c r="E19" s="1181"/>
      <c r="F19" s="1181"/>
      <c r="G19" s="1181"/>
      <c r="H19" s="1181"/>
      <c r="I19" s="1181"/>
      <c r="J19" s="1181"/>
      <c r="K19" s="1181"/>
      <c r="R19" s="118"/>
    </row>
    <row r="20" spans="1:78" s="114" customFormat="1" ht="14.1" customHeight="1" x14ac:dyDescent="0.2">
      <c r="A20"/>
      <c r="B20"/>
      <c r="C20" s="1171"/>
      <c r="D20" s="1182"/>
      <c r="E20" s="1183"/>
      <c r="F20" s="1183"/>
      <c r="G20" s="1183"/>
      <c r="H20" s="1183"/>
      <c r="I20" s="1183"/>
      <c r="J20" s="1183"/>
      <c r="K20" s="1183"/>
      <c r="L20" s="122"/>
      <c r="M20" s="122"/>
      <c r="N20" s="122"/>
      <c r="O20" s="122"/>
      <c r="P20" s="122"/>
      <c r="Q20" s="122"/>
      <c r="R20" s="117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c r="AS20" s="122"/>
      <c r="AT20" s="122"/>
      <c r="AU20" s="122"/>
      <c r="AV20" s="122"/>
      <c r="AW20" s="122"/>
      <c r="AX20" s="122"/>
      <c r="AY20" s="122"/>
      <c r="AZ20" s="122"/>
      <c r="BA20" s="122"/>
      <c r="BB20" s="122"/>
      <c r="BC20" s="122"/>
      <c r="BD20" s="122"/>
      <c r="BE20" s="122"/>
      <c r="BF20" s="122"/>
      <c r="BG20" s="122"/>
      <c r="BH20" s="122"/>
      <c r="BI20" s="122"/>
      <c r="BJ20" s="122"/>
      <c r="BK20" s="122"/>
      <c r="BL20" s="122"/>
      <c r="BM20" s="122"/>
      <c r="BN20" s="122"/>
      <c r="BO20" s="122"/>
      <c r="BP20" s="122"/>
      <c r="BQ20" s="122"/>
      <c r="BR20" s="122"/>
      <c r="BS20" s="122"/>
      <c r="BT20" s="122"/>
      <c r="BU20" s="122"/>
      <c r="BV20" s="122"/>
      <c r="BW20" s="122"/>
      <c r="BX20" s="122"/>
      <c r="BY20" s="122"/>
      <c r="BZ20" s="122"/>
    </row>
    <row r="21" spans="1:78" s="118" customFormat="1" ht="14.1" customHeight="1" x14ac:dyDescent="0.2">
      <c r="A21"/>
      <c r="B21"/>
      <c r="C21" s="1173"/>
      <c r="D21" s="1174"/>
      <c r="E21" s="1174"/>
      <c r="F21" s="1174"/>
      <c r="G21" s="1174"/>
      <c r="H21" s="1174"/>
      <c r="I21" s="1174"/>
      <c r="J21" s="1174"/>
      <c r="K21" s="1174"/>
      <c r="L21" s="1174"/>
      <c r="M21" s="1174"/>
      <c r="N21" s="1174"/>
      <c r="O21" s="1174"/>
      <c r="P21" s="1174"/>
      <c r="Q21" s="1174"/>
      <c r="R21" s="1175"/>
      <c r="S21" s="1174"/>
      <c r="T21" s="1174"/>
      <c r="U21" s="1174"/>
      <c r="V21" s="1174"/>
      <c r="W21" s="1174"/>
      <c r="X21" s="1174"/>
      <c r="Y21" s="1174"/>
      <c r="Z21" s="1174"/>
      <c r="AA21" s="1174"/>
      <c r="AB21" s="1174"/>
      <c r="AC21" s="1174"/>
      <c r="AD21" s="1174"/>
      <c r="AE21" s="1174"/>
      <c r="AF21" s="1174"/>
      <c r="AG21" s="1174"/>
      <c r="AH21" s="1174"/>
      <c r="AI21" s="1174"/>
      <c r="AJ21" s="1174"/>
      <c r="AK21" s="1174"/>
      <c r="AL21" s="1174"/>
      <c r="AM21" s="1174"/>
      <c r="AN21" s="1174"/>
      <c r="AO21" s="1174"/>
      <c r="AP21" s="1174"/>
      <c r="AQ21" s="1174"/>
      <c r="AR21" s="1174"/>
      <c r="AS21" s="1174"/>
      <c r="AT21" s="1174"/>
      <c r="AU21" s="1174"/>
      <c r="AV21" s="1174"/>
      <c r="AW21" s="1174"/>
      <c r="AX21" s="1174"/>
      <c r="AY21" s="1174"/>
      <c r="AZ21" s="1174"/>
      <c r="BA21" s="1174"/>
      <c r="BB21" s="1174"/>
      <c r="BC21" s="1174"/>
      <c r="BD21" s="1174"/>
      <c r="BE21" s="1174"/>
      <c r="BF21" s="1174"/>
      <c r="BG21" s="1174"/>
      <c r="BH21" s="1174"/>
      <c r="BI21" s="1174"/>
      <c r="BJ21" s="1174"/>
      <c r="BK21" s="1174"/>
      <c r="BL21" s="1174"/>
      <c r="BM21" s="1174"/>
      <c r="BN21" s="1174"/>
      <c r="BO21" s="1174"/>
      <c r="BP21" s="1174"/>
      <c r="BQ21" s="1174"/>
      <c r="BR21" s="1174"/>
      <c r="BS21" s="1174"/>
      <c r="BT21" s="1174"/>
      <c r="BU21" s="1174"/>
      <c r="BV21" s="1174"/>
      <c r="BW21" s="1174"/>
      <c r="BX21" s="1174"/>
      <c r="BY21" s="1174"/>
      <c r="BZ21" s="1174"/>
    </row>
    <row r="22" spans="1:78" s="114" customFormat="1" ht="14.1" customHeight="1" x14ac:dyDescent="0.2">
      <c r="A22"/>
      <c r="B22"/>
    </row>
    <row r="23" spans="1:78" s="114" customFormat="1" ht="14.1" customHeight="1" x14ac:dyDescent="0.2">
      <c r="A23"/>
      <c r="B23"/>
    </row>
    <row r="24" spans="1:78" s="114" customFormat="1" ht="14.1" customHeight="1" x14ac:dyDescent="0.2">
      <c r="A24"/>
      <c r="B24"/>
    </row>
    <row r="25" spans="1:78" s="114" customFormat="1" ht="14.1" customHeight="1" x14ac:dyDescent="0.2">
      <c r="A25"/>
      <c r="B25"/>
    </row>
    <row r="26" spans="1:78" s="114" customFormat="1" ht="14.1" customHeight="1" x14ac:dyDescent="0.2">
      <c r="A26"/>
      <c r="B26"/>
    </row>
    <row r="27" spans="1:78" s="114" customFormat="1" ht="14.1" customHeight="1" x14ac:dyDescent="0.2">
      <c r="A27"/>
      <c r="B27"/>
    </row>
    <row r="28" spans="1:78" s="114" customFormat="1" ht="14.1" customHeight="1" x14ac:dyDescent="0.2">
      <c r="A28"/>
      <c r="B28"/>
    </row>
    <row r="29" spans="1:78" s="114" customFormat="1" ht="14.1" customHeight="1" x14ac:dyDescent="0.2">
      <c r="A29"/>
      <c r="B29"/>
    </row>
    <row r="30" spans="1:78" s="114" customFormat="1" ht="14.1" customHeight="1" x14ac:dyDescent="0.2">
      <c r="A30"/>
      <c r="B30"/>
    </row>
    <row r="31" spans="1:78" s="114" customFormat="1" ht="14.1" customHeight="1" x14ac:dyDescent="0.2">
      <c r="A31"/>
      <c r="B31"/>
    </row>
    <row r="32" spans="1:78" s="114" customFormat="1" ht="14.1" customHeight="1" x14ac:dyDescent="0.2">
      <c r="A32"/>
      <c r="B32"/>
    </row>
    <row r="33" spans="1:78" s="114" customFormat="1" ht="14.1" customHeight="1" x14ac:dyDescent="0.2">
      <c r="A33"/>
      <c r="B33"/>
    </row>
    <row r="34" spans="1:78" s="114" customFormat="1" ht="14.1" customHeight="1" x14ac:dyDescent="0.2">
      <c r="A34"/>
      <c r="B34"/>
    </row>
    <row r="35" spans="1:78" s="114" customFormat="1" ht="14.1" customHeight="1" x14ac:dyDescent="0.2">
      <c r="A35"/>
      <c r="B35"/>
    </row>
    <row r="36" spans="1:78" s="114" customFormat="1" ht="14.1" customHeight="1" x14ac:dyDescent="0.2">
      <c r="A36"/>
      <c r="B36"/>
    </row>
    <row r="37" spans="1:78" s="114" customFormat="1" ht="14.1" customHeight="1" x14ac:dyDescent="0.2">
      <c r="A37"/>
      <c r="B37"/>
      <c r="C37" s="118"/>
      <c r="G37" s="118"/>
      <c r="H37" s="118"/>
      <c r="I37" s="118"/>
      <c r="J37" s="118"/>
      <c r="K37" s="118"/>
      <c r="L37" s="118"/>
      <c r="M37" s="118"/>
      <c r="N37" s="118"/>
      <c r="O37" s="118"/>
      <c r="P37" s="118"/>
      <c r="Q37" s="118"/>
      <c r="R37" s="118"/>
      <c r="S37" s="118"/>
      <c r="T37" s="118"/>
      <c r="U37" s="118"/>
      <c r="V37" s="118"/>
      <c r="W37" s="118"/>
      <c r="X37" s="118"/>
      <c r="Y37" s="118"/>
      <c r="Z37" s="118"/>
      <c r="AA37" s="118"/>
      <c r="AB37" s="118"/>
      <c r="AC37" s="118"/>
      <c r="AD37" s="118"/>
      <c r="AE37" s="118"/>
      <c r="AF37" s="118"/>
      <c r="AG37" s="118"/>
      <c r="AH37" s="118"/>
      <c r="AI37" s="118"/>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c r="BY37" s="118"/>
      <c r="BZ37" s="118"/>
    </row>
    <row r="38" spans="1:78" s="114" customFormat="1" ht="14.1" customHeight="1" x14ac:dyDescent="0.2">
      <c r="A38"/>
      <c r="B38"/>
    </row>
    <row r="39" spans="1:78" s="114" customFormat="1" ht="14.1" customHeight="1" x14ac:dyDescent="0.2">
      <c r="A39"/>
      <c r="B39"/>
      <c r="G39" s="116"/>
      <c r="H39" s="116"/>
      <c r="I39" s="116"/>
      <c r="J39" s="116"/>
      <c r="K39" s="116"/>
      <c r="L39" s="116"/>
      <c r="M39" s="116"/>
      <c r="N39" s="116"/>
      <c r="O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row>
    <row r="40" spans="1:78" s="114" customFormat="1" ht="14.1" customHeight="1" x14ac:dyDescent="0.2">
      <c r="A40"/>
      <c r="B40"/>
      <c r="G40" s="116"/>
      <c r="H40" s="116"/>
      <c r="I40" s="116"/>
      <c r="J40" s="116"/>
      <c r="K40" s="116"/>
      <c r="L40" s="116"/>
      <c r="M40" s="116"/>
      <c r="N40" s="116"/>
      <c r="O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row>
    <row r="41" spans="1:78" s="114" customFormat="1" ht="14.1" customHeight="1" x14ac:dyDescent="0.2">
      <c r="A41"/>
      <c r="B41"/>
    </row>
    <row r="42" spans="1:78" s="1177" customFormat="1" ht="14.1" customHeight="1" x14ac:dyDescent="0.2">
      <c r="A42"/>
      <c r="B42"/>
      <c r="C42" s="1176"/>
    </row>
    <row r="43" spans="1:78" s="114" customFormat="1" ht="14.1" customHeight="1" x14ac:dyDescent="0.2">
      <c r="A43"/>
      <c r="B43"/>
    </row>
    <row r="44" spans="1:78" s="114" customFormat="1" ht="14.1" customHeight="1" x14ac:dyDescent="0.2">
      <c r="A44"/>
      <c r="B44"/>
    </row>
    <row r="45" spans="1:78" s="114" customFormat="1" ht="14.1" customHeight="1" x14ac:dyDescent="0.2">
      <c r="A45"/>
      <c r="B45"/>
    </row>
    <row r="46" spans="1:78" s="114" customFormat="1" ht="14.1" customHeight="1" x14ac:dyDescent="0.2">
      <c r="A46"/>
      <c r="B46"/>
    </row>
    <row r="47" spans="1:78" s="114" customFormat="1" ht="14.1" customHeight="1" x14ac:dyDescent="0.2">
      <c r="A47"/>
      <c r="B47"/>
      <c r="C47" s="123"/>
      <c r="R47" s="123"/>
    </row>
    <row r="48" spans="1:78" s="114" customFormat="1" ht="14.1" customHeight="1" x14ac:dyDescent="0.2">
      <c r="A48"/>
      <c r="B48"/>
    </row>
    <row r="49" spans="1:78" ht="14.1" customHeight="1" x14ac:dyDescent="0.2">
      <c r="G49" s="444"/>
      <c r="J49" s="925"/>
    </row>
    <row r="50" spans="1:78" ht="14.1" customHeight="1" x14ac:dyDescent="0.2">
      <c r="O50" s="444"/>
    </row>
    <row r="51" spans="1:78" ht="14.1" customHeight="1" x14ac:dyDescent="0.2">
      <c r="J51" s="271"/>
    </row>
    <row r="52" spans="1:78" ht="6" customHeight="1" x14ac:dyDescent="0.2"/>
    <row r="53" spans="1:78" ht="6" customHeight="1" x14ac:dyDescent="0.2"/>
    <row r="54" spans="1:78" ht="18" customHeight="1" x14ac:dyDescent="0.25">
      <c r="C54" s="136" t="str">
        <f>C3</f>
        <v>SAIA, Inc.</v>
      </c>
      <c r="D54" s="133"/>
      <c r="E54" s="133"/>
      <c r="F54" s="133"/>
      <c r="G54" s="133"/>
      <c r="H54" s="133"/>
      <c r="I54" s="133"/>
      <c r="J54" s="133"/>
      <c r="K54" s="133"/>
      <c r="L54" s="133"/>
      <c r="M54" s="133"/>
      <c r="N54" s="67" t="str">
        <f t="shared" ref="N54:O56" si="1">N3</f>
        <v>Model Case:</v>
      </c>
      <c r="O54" s="144" t="str">
        <f t="shared" si="1"/>
        <v>Base</v>
      </c>
      <c r="R54" s="1374" t="str">
        <f>R3</f>
        <v>SAIA, Inc.</v>
      </c>
      <c r="S54" s="1374"/>
      <c r="T54" s="1374"/>
      <c r="U54" s="1374"/>
      <c r="V54" s="1374"/>
      <c r="W54" s="1374"/>
      <c r="X54" s="1374"/>
      <c r="Y54" s="1374"/>
      <c r="Z54" s="1374"/>
      <c r="AA54" s="1374"/>
      <c r="AB54" s="1374"/>
      <c r="AC54" s="1374"/>
      <c r="AD54" s="1374"/>
      <c r="AE54" s="1374"/>
      <c r="AF54" s="1374"/>
      <c r="AG54" s="1374"/>
      <c r="AH54" s="1374"/>
      <c r="AI54" s="1374"/>
      <c r="AJ54" s="1374"/>
      <c r="AK54" s="1374"/>
      <c r="AL54" s="1374"/>
      <c r="AM54" s="1374"/>
      <c r="AN54" s="1374"/>
      <c r="AO54" s="1374"/>
      <c r="AP54" s="1374"/>
      <c r="AQ54" s="1374"/>
      <c r="AR54" s="1374"/>
      <c r="AS54" s="1374"/>
      <c r="AT54" s="1374"/>
      <c r="AU54" s="1374"/>
      <c r="AV54" s="1374"/>
      <c r="AW54" s="1374"/>
      <c r="AX54" s="1374"/>
      <c r="AY54" s="1374"/>
      <c r="AZ54" s="1374"/>
      <c r="BA54" s="47"/>
      <c r="BB54" s="47"/>
      <c r="BC54" s="47"/>
      <c r="BD54" s="47"/>
      <c r="BE54" s="47"/>
      <c r="BF54" s="47"/>
      <c r="BG54" s="47"/>
      <c r="BH54" s="47"/>
      <c r="BI54" s="47"/>
      <c r="BJ54" s="47"/>
      <c r="BK54" s="47"/>
      <c r="BL54" s="47"/>
      <c r="BM54" s="47"/>
      <c r="BN54" s="47"/>
      <c r="BO54" s="47"/>
      <c r="BP54" s="47"/>
      <c r="BQ54" s="47"/>
      <c r="BR54" s="47"/>
      <c r="BS54" s="47"/>
      <c r="BT54" s="47"/>
      <c r="BU54" s="47"/>
      <c r="BV54" s="47"/>
      <c r="BW54" s="1144"/>
      <c r="BX54" s="67" t="str">
        <f>BR3</f>
        <v>Model Case:</v>
      </c>
      <c r="BY54" s="48" t="str">
        <f>BS3</f>
        <v>Base</v>
      </c>
      <c r="BZ54" s="47"/>
    </row>
    <row r="55" spans="1:78" ht="14.1" customHeight="1" x14ac:dyDescent="0.2">
      <c r="C55" s="133" t="str">
        <f>C4&amp; " Margins, Tax Rates and Percentages"</f>
        <v>Sensitivity  Margins, Tax Rates and Percentages</v>
      </c>
      <c r="D55" s="133"/>
      <c r="E55" s="133"/>
      <c r="F55" s="133"/>
      <c r="G55" s="133"/>
      <c r="H55" s="133"/>
      <c r="I55" s="133"/>
      <c r="J55" s="133"/>
      <c r="K55" s="133"/>
      <c r="L55" s="133"/>
      <c r="M55" s="133"/>
      <c r="N55" s="67" t="str">
        <f t="shared" si="1"/>
        <v>DCF Share Value as of 12/31/2024:</v>
      </c>
      <c r="O55" s="65">
        <f t="shared" si="1"/>
        <v>520.1066763818468</v>
      </c>
      <c r="R55" s="1387" t="str">
        <f>C55</f>
        <v>Sensitivity  Margins, Tax Rates and Percentages</v>
      </c>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48"/>
      <c r="BC55" s="48"/>
      <c r="BD55" s="48"/>
      <c r="BE55" s="48"/>
      <c r="BF55" s="48"/>
      <c r="BG55" s="48"/>
      <c r="BH55" s="48"/>
      <c r="BI55" s="48"/>
      <c r="BJ55" s="48"/>
      <c r="BK55" s="48"/>
      <c r="BL55" s="48"/>
      <c r="BM55" s="48"/>
      <c r="BN55" s="48"/>
      <c r="BO55" s="48"/>
      <c r="BP55" s="48"/>
      <c r="BQ55" s="48"/>
      <c r="BR55" s="48"/>
      <c r="BS55" s="48"/>
      <c r="BT55" s="48"/>
      <c r="BU55" s="48"/>
      <c r="BV55" s="48"/>
      <c r="BW55" s="48"/>
      <c r="BX55" s="67" t="str">
        <f>BX3</f>
        <v>DCF Share Value as of 12/31/2024:</v>
      </c>
      <c r="BY55" s="65">
        <f>BY3</f>
        <v>520.1066763818468</v>
      </c>
      <c r="BZ55" s="48"/>
    </row>
    <row r="56" spans="1:78" ht="14.1" customHeight="1" x14ac:dyDescent="0.2">
      <c r="C56" s="151" t="str">
        <f>C5</f>
        <v>($ in millions, fiscal year ending December,31)</v>
      </c>
      <c r="D56" s="133"/>
      <c r="E56" s="133"/>
      <c r="F56" s="133"/>
      <c r="G56" s="133"/>
      <c r="H56" s="133"/>
      <c r="I56" s="133"/>
      <c r="J56" s="133"/>
      <c r="K56" s="133"/>
      <c r="L56" s="133"/>
      <c r="M56" s="133"/>
      <c r="N56" s="67" t="str">
        <f t="shared" si="1"/>
        <v>Market Share Price as of 12/31/2024:</v>
      </c>
      <c r="O56" s="65">
        <f t="shared" si="1"/>
        <v>455.73</v>
      </c>
      <c r="R56" s="144" t="str">
        <f>"Quarterly and Year Basis"</f>
        <v>Quarterly and Year Basis</v>
      </c>
      <c r="S56" s="95"/>
      <c r="T56" s="95"/>
      <c r="U56" s="95"/>
      <c r="V56" s="95"/>
      <c r="W56" s="95"/>
      <c r="X56" s="95"/>
      <c r="Y56" s="95"/>
      <c r="Z56" s="95"/>
      <c r="AA56" s="95"/>
      <c r="AB56" s="95"/>
      <c r="AC56" s="95"/>
      <c r="AD56" s="95"/>
      <c r="AE56" s="95"/>
      <c r="AF56" s="95"/>
      <c r="AG56" s="95"/>
      <c r="AH56" s="95"/>
      <c r="AI56" s="95"/>
      <c r="AJ56" s="95"/>
      <c r="AK56" s="95"/>
      <c r="AL56" s="95"/>
      <c r="AM56" s="95"/>
      <c r="AN56" s="95"/>
      <c r="AO56" s="95"/>
      <c r="AP56" s="95"/>
      <c r="AQ56" s="95"/>
      <c r="AR56" s="95"/>
      <c r="AS56" s="95"/>
      <c r="AT56" s="95"/>
      <c r="AU56" s="95"/>
      <c r="AV56" s="95"/>
      <c r="AW56" s="95"/>
      <c r="AX56" s="95"/>
      <c r="AY56" s="95"/>
      <c r="AZ56" s="95"/>
      <c r="BA56" s="95"/>
      <c r="BB56" s="63"/>
      <c r="BC56" s="63"/>
      <c r="BD56" s="63"/>
      <c r="BE56" s="63"/>
      <c r="BF56" s="63"/>
      <c r="BG56" s="63"/>
      <c r="BH56" s="63"/>
      <c r="BI56" s="63"/>
      <c r="BJ56" s="63"/>
      <c r="BK56" s="63"/>
      <c r="BL56" s="63"/>
      <c r="BM56" s="63"/>
      <c r="BN56" s="63"/>
      <c r="BO56" s="63"/>
      <c r="BP56" s="63"/>
      <c r="BQ56" s="63"/>
      <c r="BR56" s="63"/>
      <c r="BS56" s="63"/>
      <c r="BT56" s="63"/>
      <c r="BU56" s="63"/>
      <c r="BV56" s="63"/>
      <c r="BW56" s="63"/>
      <c r="BX56" s="321" t="str">
        <f>BX4</f>
        <v>Market Share Price as of 12/31/2024:</v>
      </c>
      <c r="BY56" s="322">
        <f>BY4</f>
        <v>455.73</v>
      </c>
      <c r="BZ56" s="63"/>
    </row>
    <row r="57" spans="1:78" ht="14.1" customHeight="1" x14ac:dyDescent="0.2">
      <c r="C57" s="170"/>
      <c r="D57" s="97">
        <f>D7</f>
        <v>43100</v>
      </c>
      <c r="E57" s="98">
        <f t="shared" ref="E57:O57" si="2">E7</f>
        <v>43465</v>
      </c>
      <c r="F57" s="98">
        <f t="shared" si="2"/>
        <v>43830</v>
      </c>
      <c r="G57" s="98">
        <f t="shared" si="2"/>
        <v>44196</v>
      </c>
      <c r="H57" s="98">
        <f t="shared" si="2"/>
        <v>44561</v>
      </c>
      <c r="I57" s="98">
        <f t="shared" si="2"/>
        <v>44926</v>
      </c>
      <c r="J57" s="98">
        <f t="shared" si="2"/>
        <v>45291</v>
      </c>
      <c r="K57" s="137">
        <f t="shared" si="2"/>
        <v>45657</v>
      </c>
      <c r="L57" s="138">
        <f t="shared" si="2"/>
        <v>46022</v>
      </c>
      <c r="M57" s="138">
        <f t="shared" si="2"/>
        <v>46387</v>
      </c>
      <c r="N57" s="138">
        <f t="shared" si="2"/>
        <v>46752</v>
      </c>
      <c r="O57" s="139">
        <f t="shared" si="2"/>
        <v>47118</v>
      </c>
      <c r="R57" s="96"/>
      <c r="S57" s="1395">
        <f>S5</f>
        <v>43100</v>
      </c>
      <c r="T57" s="1396"/>
      <c r="U57" s="1396"/>
      <c r="V57" s="1396"/>
      <c r="W57" s="1397"/>
      <c r="X57" s="1395">
        <f>X5</f>
        <v>43465</v>
      </c>
      <c r="Y57" s="1396"/>
      <c r="Z57" s="1396"/>
      <c r="AA57" s="1396"/>
      <c r="AB57" s="1397"/>
      <c r="AC57" s="1395">
        <f>AC5</f>
        <v>43830</v>
      </c>
      <c r="AD57" s="1396"/>
      <c r="AE57" s="1396"/>
      <c r="AF57" s="1396"/>
      <c r="AG57" s="1397"/>
      <c r="AH57" s="1395">
        <f>AH5</f>
        <v>44196</v>
      </c>
      <c r="AI57" s="1396"/>
      <c r="AJ57" s="1396"/>
      <c r="AK57" s="1396"/>
      <c r="AL57" s="1397"/>
      <c r="AM57" s="1395">
        <f>AM5</f>
        <v>44561</v>
      </c>
      <c r="AN57" s="1396"/>
      <c r="AO57" s="1396"/>
      <c r="AP57" s="1396"/>
      <c r="AQ57" s="1397"/>
      <c r="AR57" s="1395">
        <f>AR5</f>
        <v>44926</v>
      </c>
      <c r="AS57" s="1396"/>
      <c r="AT57" s="1396"/>
      <c r="AU57" s="1396"/>
      <c r="AV57" s="1397"/>
      <c r="AW57" s="1395">
        <f>AW5</f>
        <v>45291</v>
      </c>
      <c r="AX57" s="1396"/>
      <c r="AY57" s="1396"/>
      <c r="AZ57" s="1396"/>
      <c r="BA57" s="1397"/>
      <c r="BB57" s="1389">
        <f>BB5</f>
        <v>45657</v>
      </c>
      <c r="BC57" s="1390"/>
      <c r="BD57" s="1390"/>
      <c r="BE57" s="1390"/>
      <c r="BF57" s="1391"/>
      <c r="BG57" s="1392">
        <f>BG5</f>
        <v>46022</v>
      </c>
      <c r="BH57" s="1393"/>
      <c r="BI57" s="1393"/>
      <c r="BJ57" s="1393"/>
      <c r="BK57" s="1394"/>
      <c r="BL57" s="1392">
        <f>BL5</f>
        <v>46387</v>
      </c>
      <c r="BM57" s="1393"/>
      <c r="BN57" s="1393"/>
      <c r="BO57" s="1393"/>
      <c r="BP57" s="1394"/>
      <c r="BQ57" s="1392">
        <f>BQ5</f>
        <v>46752</v>
      </c>
      <c r="BR57" s="1393"/>
      <c r="BS57" s="1393"/>
      <c r="BT57" s="1393"/>
      <c r="BU57" s="1394"/>
      <c r="BV57" s="1392">
        <f>BV5</f>
        <v>47118</v>
      </c>
      <c r="BW57" s="1393"/>
      <c r="BX57" s="1393"/>
      <c r="BY57" s="1393"/>
      <c r="BZ57" s="1393"/>
    </row>
    <row r="58" spans="1:78" s="143" customFormat="1" ht="14.1" customHeight="1" x14ac:dyDescent="0.25">
      <c r="A58"/>
      <c r="B58"/>
      <c r="C58" s="149"/>
      <c r="D58" s="94"/>
      <c r="E58" s="94"/>
      <c r="F58" s="94"/>
      <c r="G58" s="94"/>
      <c r="H58" s="94"/>
      <c r="I58" s="94"/>
      <c r="J58" s="94"/>
      <c r="K58" s="94"/>
      <c r="L58" s="94"/>
      <c r="M58" s="94"/>
      <c r="N58" s="94"/>
      <c r="O58" s="94"/>
      <c r="P58" s="60"/>
      <c r="Q58" s="60"/>
      <c r="R58" s="170"/>
      <c r="S58" s="96" t="str">
        <f t="shared" ref="S58:BZ58" si="3">S7</f>
        <v>2017 Q1</v>
      </c>
      <c r="T58" s="140" t="str">
        <f t="shared" si="3"/>
        <v>2017 Q2</v>
      </c>
      <c r="U58" s="140" t="str">
        <f t="shared" si="3"/>
        <v>2017 Q3</v>
      </c>
      <c r="V58" s="140" t="str">
        <f t="shared" si="3"/>
        <v>2017 Q4</v>
      </c>
      <c r="W58" s="140" t="str">
        <f t="shared" si="3"/>
        <v>2017 FY</v>
      </c>
      <c r="X58" s="140" t="str">
        <f t="shared" si="3"/>
        <v>2018 Q1</v>
      </c>
      <c r="Y58" s="140" t="str">
        <f t="shared" si="3"/>
        <v>2018 Q2</v>
      </c>
      <c r="Z58" s="140" t="str">
        <f t="shared" si="3"/>
        <v>2018 Q3</v>
      </c>
      <c r="AA58" s="140" t="str">
        <f t="shared" si="3"/>
        <v>2018 Q4</v>
      </c>
      <c r="AB58" s="140" t="str">
        <f t="shared" si="3"/>
        <v>2018 FY</v>
      </c>
      <c r="AC58" s="140" t="str">
        <f t="shared" si="3"/>
        <v>2019 Q1</v>
      </c>
      <c r="AD58" s="140" t="str">
        <f t="shared" si="3"/>
        <v>2019 Q2</v>
      </c>
      <c r="AE58" s="140" t="str">
        <f t="shared" si="3"/>
        <v>2019 Q3</v>
      </c>
      <c r="AF58" s="140" t="str">
        <f t="shared" si="3"/>
        <v>2019 Q4</v>
      </c>
      <c r="AG58" s="140" t="str">
        <f t="shared" si="3"/>
        <v>2019 FY</v>
      </c>
      <c r="AH58" s="140" t="str">
        <f t="shared" si="3"/>
        <v>2020 Q1</v>
      </c>
      <c r="AI58" s="140" t="str">
        <f t="shared" si="3"/>
        <v>2020 Q2</v>
      </c>
      <c r="AJ58" s="140" t="str">
        <f t="shared" si="3"/>
        <v>2020 Q3</v>
      </c>
      <c r="AK58" s="140" t="str">
        <f t="shared" si="3"/>
        <v>2020 Q4</v>
      </c>
      <c r="AL58" s="140" t="str">
        <f t="shared" si="3"/>
        <v>2020 FY</v>
      </c>
      <c r="AM58" s="140" t="str">
        <f t="shared" si="3"/>
        <v>2021 Q1</v>
      </c>
      <c r="AN58" s="140" t="str">
        <f t="shared" si="3"/>
        <v>2021 Q2</v>
      </c>
      <c r="AO58" s="140" t="str">
        <f t="shared" si="3"/>
        <v>2021 Q3</v>
      </c>
      <c r="AP58" s="140" t="str">
        <f t="shared" si="3"/>
        <v>2021 Q4</v>
      </c>
      <c r="AQ58" s="140" t="str">
        <f t="shared" si="3"/>
        <v>2021 FY</v>
      </c>
      <c r="AR58" s="140" t="str">
        <f t="shared" si="3"/>
        <v>2022 Q1</v>
      </c>
      <c r="AS58" s="140" t="str">
        <f t="shared" si="3"/>
        <v>2022 Q2</v>
      </c>
      <c r="AT58" s="140" t="str">
        <f t="shared" si="3"/>
        <v>2022 Q3</v>
      </c>
      <c r="AU58" s="140" t="str">
        <f t="shared" si="3"/>
        <v>2022 Q4</v>
      </c>
      <c r="AV58" s="140" t="str">
        <f t="shared" si="3"/>
        <v>2022 FY</v>
      </c>
      <c r="AW58" s="140" t="str">
        <f t="shared" si="3"/>
        <v>2023 Q1</v>
      </c>
      <c r="AX58" s="140" t="str">
        <f t="shared" si="3"/>
        <v>2023 Q2</v>
      </c>
      <c r="AY58" s="140" t="str">
        <f t="shared" si="3"/>
        <v>2023 Q3</v>
      </c>
      <c r="AZ58" s="140" t="str">
        <f t="shared" si="3"/>
        <v>2023 Q4</v>
      </c>
      <c r="BA58" s="140" t="str">
        <f t="shared" si="3"/>
        <v>2023 FY</v>
      </c>
      <c r="BB58" s="140" t="str">
        <f t="shared" si="3"/>
        <v>2024 Q1</v>
      </c>
      <c r="BC58" s="140" t="str">
        <f t="shared" si="3"/>
        <v>2024 Q2</v>
      </c>
      <c r="BD58" s="140" t="str">
        <f t="shared" si="3"/>
        <v>2024 Q3</v>
      </c>
      <c r="BE58" s="141" t="str">
        <f t="shared" si="3"/>
        <v>2024 Q4</v>
      </c>
      <c r="BF58" s="141" t="str">
        <f t="shared" si="3"/>
        <v>2024 FY</v>
      </c>
      <c r="BG58" s="141" t="str">
        <f t="shared" si="3"/>
        <v>2025 Q1</v>
      </c>
      <c r="BH58" s="141" t="str">
        <f t="shared" si="3"/>
        <v>2025 Q2</v>
      </c>
      <c r="BI58" s="141" t="str">
        <f t="shared" si="3"/>
        <v>2025 Q3</v>
      </c>
      <c r="BJ58" s="141" t="str">
        <f t="shared" si="3"/>
        <v>2025 Q4</v>
      </c>
      <c r="BK58" s="141" t="str">
        <f t="shared" si="3"/>
        <v>2025 FY</v>
      </c>
      <c r="BL58" s="141" t="str">
        <f t="shared" si="3"/>
        <v>2026 Q1</v>
      </c>
      <c r="BM58" s="141" t="str">
        <f t="shared" si="3"/>
        <v>2026 Q2</v>
      </c>
      <c r="BN58" s="141" t="str">
        <f t="shared" si="3"/>
        <v>2026 Q3</v>
      </c>
      <c r="BO58" s="141" t="str">
        <f t="shared" si="3"/>
        <v>2026 Q4</v>
      </c>
      <c r="BP58" s="141" t="str">
        <f t="shared" si="3"/>
        <v>2026 FY</v>
      </c>
      <c r="BQ58" s="141" t="str">
        <f t="shared" si="3"/>
        <v>2027 Q1</v>
      </c>
      <c r="BR58" s="141" t="str">
        <f t="shared" si="3"/>
        <v>2027 Q2</v>
      </c>
      <c r="BS58" s="141" t="str">
        <f t="shared" si="3"/>
        <v>2027 Q3</v>
      </c>
      <c r="BT58" s="141" t="str">
        <f t="shared" si="3"/>
        <v>2027 Q4</v>
      </c>
      <c r="BU58" s="141" t="str">
        <f t="shared" si="3"/>
        <v>2027 FY</v>
      </c>
      <c r="BV58" s="141" t="str">
        <f t="shared" si="3"/>
        <v>2028 Q1</v>
      </c>
      <c r="BW58" s="141" t="str">
        <f t="shared" si="3"/>
        <v>2028 Q2</v>
      </c>
      <c r="BX58" s="141" t="str">
        <f t="shared" si="3"/>
        <v>2028 Q3</v>
      </c>
      <c r="BY58" s="141" t="str">
        <f t="shared" si="3"/>
        <v>2028 Q4</v>
      </c>
      <c r="BZ58" s="142" t="str">
        <f t="shared" si="3"/>
        <v>2028 FY</v>
      </c>
    </row>
    <row r="59" spans="1:78" s="116" customFormat="1" ht="14.1" customHeight="1" x14ac:dyDescent="0.2">
      <c r="A59" s="150"/>
      <c r="B59" s="150"/>
      <c r="C59" s="748"/>
      <c r="D59" s="748"/>
      <c r="E59" s="748"/>
      <c r="F59" s="748"/>
      <c r="G59" s="748"/>
      <c r="H59" s="748"/>
      <c r="I59" s="748"/>
      <c r="J59" s="748"/>
      <c r="K59" s="748"/>
      <c r="L59" s="748"/>
      <c r="M59" s="748"/>
      <c r="N59" s="115"/>
      <c r="O59" s="115"/>
      <c r="P59" s="161"/>
      <c r="Q59" s="161"/>
      <c r="R59" s="161"/>
      <c r="S59" s="161"/>
      <c r="T59" s="161"/>
      <c r="U59" s="161"/>
      <c r="V59" s="161"/>
      <c r="W59" s="161"/>
      <c r="X59" s="161"/>
      <c r="Y59" s="161"/>
      <c r="Z59" s="161"/>
      <c r="AA59" s="161"/>
      <c r="AB59" s="161"/>
      <c r="AC59" s="161"/>
      <c r="AD59" s="161"/>
      <c r="AE59" s="161"/>
      <c r="AF59" s="161"/>
      <c r="AG59" s="161"/>
      <c r="AH59" s="161"/>
      <c r="AI59" s="161"/>
      <c r="AJ59" s="161"/>
      <c r="AK59" s="161"/>
      <c r="AL59" s="161"/>
      <c r="AM59" s="161"/>
      <c r="AN59" s="161"/>
      <c r="AO59" s="161"/>
      <c r="AP59" s="161"/>
      <c r="AQ59" s="161"/>
      <c r="AR59" s="161"/>
      <c r="AS59" s="161"/>
      <c r="AT59" s="161"/>
      <c r="AU59" s="161"/>
      <c r="AV59" s="161"/>
      <c r="AW59" s="161"/>
      <c r="AX59" s="161"/>
      <c r="AY59" s="161"/>
      <c r="AZ59" s="161"/>
      <c r="BA59" s="161"/>
      <c r="BB59" s="161"/>
      <c r="BC59" s="161"/>
      <c r="BD59" s="161"/>
      <c r="BE59" s="161"/>
      <c r="BF59" s="161"/>
      <c r="BG59" s="161"/>
      <c r="BH59" s="161"/>
      <c r="BI59" s="161"/>
      <c r="BJ59" s="161"/>
      <c r="BK59" s="161"/>
      <c r="BL59" s="161"/>
      <c r="BM59" s="161"/>
      <c r="BN59" s="161"/>
      <c r="BO59" s="161"/>
      <c r="BP59" s="161"/>
      <c r="BQ59" s="161"/>
      <c r="BR59" s="161"/>
      <c r="BS59" s="161"/>
      <c r="BT59" s="161"/>
      <c r="BU59" s="161"/>
      <c r="BV59" s="161"/>
      <c r="BW59" s="161"/>
      <c r="BX59" s="161"/>
      <c r="BY59" s="161"/>
      <c r="BZ59" s="161"/>
    </row>
    <row r="60" spans="1:78" s="116" customFormat="1" ht="14.1" customHeight="1" x14ac:dyDescent="0.2">
      <c r="A60"/>
      <c r="B60"/>
      <c r="C60" s="114"/>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1"/>
      <c r="AK60" s="161"/>
      <c r="AL60" s="161"/>
      <c r="AM60" s="161"/>
      <c r="AN60" s="161"/>
      <c r="AO60" s="161"/>
      <c r="AP60" s="161"/>
      <c r="AQ60" s="161"/>
      <c r="AR60" s="161"/>
      <c r="AS60" s="161"/>
      <c r="AT60" s="161"/>
      <c r="AU60" s="161"/>
      <c r="AV60" s="161"/>
      <c r="AW60" s="161"/>
      <c r="AX60" s="161"/>
      <c r="AY60" s="161"/>
      <c r="AZ60" s="161"/>
      <c r="BA60" s="161"/>
      <c r="BB60" s="161"/>
      <c r="BC60" s="161"/>
      <c r="BD60" s="161"/>
      <c r="BE60" s="161"/>
      <c r="BF60" s="161"/>
      <c r="BG60" s="161"/>
      <c r="BH60" s="161"/>
      <c r="BI60" s="161"/>
      <c r="BJ60" s="161"/>
      <c r="BK60" s="161"/>
      <c r="BL60" s="161"/>
      <c r="BM60" s="161"/>
      <c r="BN60" s="161"/>
      <c r="BO60" s="161"/>
      <c r="BP60" s="161"/>
      <c r="BQ60" s="161"/>
      <c r="BR60" s="161"/>
      <c r="BS60" s="161"/>
      <c r="BT60" s="161"/>
      <c r="BU60" s="161"/>
      <c r="BV60" s="161"/>
      <c r="BW60" s="161"/>
      <c r="BX60" s="161"/>
      <c r="BY60" s="161"/>
      <c r="BZ60" s="161"/>
    </row>
    <row r="61" spans="1:78" s="712" customFormat="1" ht="14.1" customHeight="1" x14ac:dyDescent="0.2">
      <c r="A61"/>
      <c r="B61"/>
      <c r="C61" s="1176"/>
      <c r="D61" s="1176"/>
      <c r="E61" s="1176"/>
      <c r="F61" s="1176"/>
      <c r="G61" s="1176"/>
      <c r="H61" s="1176"/>
      <c r="I61" s="1176"/>
      <c r="J61" s="1176"/>
      <c r="K61" s="1176"/>
      <c r="L61" s="1176"/>
      <c r="M61" s="1176"/>
      <c r="N61" s="1176"/>
      <c r="O61" s="1176"/>
      <c r="P61" s="1176"/>
      <c r="Q61" s="1176"/>
      <c r="R61" s="1176"/>
      <c r="S61" s="1176"/>
      <c r="T61" s="1176"/>
      <c r="U61" s="1176"/>
      <c r="V61" s="1176"/>
      <c r="W61" s="1176"/>
      <c r="X61" s="1176"/>
      <c r="Y61" s="1176"/>
      <c r="Z61" s="1176"/>
      <c r="AA61" s="1176"/>
      <c r="AB61" s="1176"/>
      <c r="AC61" s="1176"/>
      <c r="AD61" s="1176"/>
      <c r="AE61" s="1176"/>
      <c r="AF61" s="1176"/>
      <c r="AG61" s="1176"/>
      <c r="AH61" s="1176"/>
      <c r="AI61" s="1176"/>
      <c r="AJ61" s="1176"/>
      <c r="AK61" s="1176"/>
      <c r="AL61" s="1176"/>
      <c r="AM61" s="1176"/>
      <c r="AN61" s="1176"/>
      <c r="AO61" s="1176"/>
      <c r="AP61" s="1176"/>
      <c r="AQ61" s="1176"/>
      <c r="AR61" s="1176"/>
      <c r="AS61" s="1176"/>
      <c r="AT61" s="1176"/>
      <c r="AU61" s="1176"/>
      <c r="AV61" s="1176"/>
      <c r="AW61" s="1176"/>
      <c r="AX61" s="1176"/>
      <c r="AY61" s="1176"/>
      <c r="AZ61" s="1176"/>
      <c r="BA61" s="1176"/>
      <c r="BB61" s="1176"/>
      <c r="BC61" s="1176"/>
      <c r="BD61" s="1176"/>
      <c r="BE61" s="1176"/>
      <c r="BF61" s="1176"/>
      <c r="BG61" s="1176"/>
      <c r="BH61" s="1176"/>
      <c r="BI61" s="1176"/>
      <c r="BJ61" s="1176"/>
      <c r="BK61" s="1176"/>
      <c r="BL61" s="1176"/>
      <c r="BM61" s="1176"/>
      <c r="BN61" s="1176"/>
      <c r="BO61" s="1176"/>
      <c r="BP61" s="1176"/>
      <c r="BQ61" s="1176"/>
      <c r="BR61" s="1176"/>
      <c r="BS61" s="1176"/>
      <c r="BT61" s="1176"/>
      <c r="BU61" s="1176"/>
      <c r="BV61" s="1176"/>
      <c r="BW61" s="1176"/>
      <c r="BX61" s="1176"/>
      <c r="BY61" s="1176"/>
      <c r="BZ61" s="1176"/>
    </row>
    <row r="62" spans="1:78" s="1174" customFormat="1" ht="14.1" customHeight="1" x14ac:dyDescent="0.2">
      <c r="A62"/>
      <c r="B62"/>
      <c r="C62" s="1176"/>
      <c r="D62" s="1177"/>
      <c r="E62" s="1177"/>
      <c r="F62" s="1177"/>
      <c r="G62" s="1177"/>
      <c r="H62" s="1177"/>
      <c r="I62" s="1177"/>
      <c r="J62" s="1177"/>
      <c r="K62" s="1177"/>
      <c r="L62" s="1177"/>
      <c r="M62" s="1177"/>
      <c r="N62" s="1177"/>
      <c r="O62" s="1177"/>
      <c r="P62" s="1177"/>
      <c r="Q62" s="1177"/>
      <c r="R62" s="1177"/>
      <c r="S62" s="1177"/>
      <c r="T62" s="1177"/>
      <c r="U62" s="1177"/>
      <c r="V62" s="1177"/>
      <c r="W62" s="1177"/>
      <c r="X62" s="1177"/>
      <c r="Y62" s="1177"/>
      <c r="Z62" s="1177"/>
      <c r="AA62" s="1177"/>
      <c r="AB62" s="1177"/>
      <c r="AC62" s="1177"/>
      <c r="AD62" s="1177"/>
      <c r="AE62" s="1177"/>
      <c r="AF62" s="1177"/>
      <c r="AG62" s="1177"/>
      <c r="AH62" s="1177"/>
      <c r="AI62" s="1177"/>
      <c r="AJ62" s="1177"/>
      <c r="AK62" s="1177"/>
      <c r="AL62" s="1177"/>
      <c r="AM62" s="1177"/>
      <c r="AN62" s="1177"/>
      <c r="AO62" s="1177"/>
      <c r="AP62" s="1177"/>
      <c r="AQ62" s="1177"/>
      <c r="AR62" s="1177"/>
      <c r="AS62" s="1177"/>
      <c r="AT62" s="1177"/>
      <c r="AU62" s="1177"/>
      <c r="AV62" s="1177"/>
      <c r="AW62" s="1177"/>
      <c r="AX62" s="1177"/>
      <c r="AY62" s="1177"/>
      <c r="AZ62" s="1177"/>
      <c r="BA62" s="1177"/>
      <c r="BB62" s="1177"/>
      <c r="BC62" s="1177"/>
      <c r="BD62" s="1177"/>
      <c r="BE62" s="1177"/>
      <c r="BF62" s="1177"/>
      <c r="BG62" s="1177"/>
      <c r="BH62" s="1177"/>
      <c r="BI62" s="1177"/>
      <c r="BJ62" s="1177"/>
      <c r="BK62" s="1177"/>
      <c r="BL62" s="1177"/>
      <c r="BM62" s="1177"/>
      <c r="BN62" s="1177"/>
      <c r="BO62" s="1177"/>
      <c r="BP62" s="1177"/>
      <c r="BQ62" s="1177"/>
      <c r="BR62" s="1177"/>
      <c r="BS62" s="1177"/>
      <c r="BT62" s="1177"/>
      <c r="BU62" s="1177"/>
      <c r="BV62" s="1177"/>
      <c r="BW62" s="1177"/>
      <c r="BX62" s="1177"/>
      <c r="BY62" s="1177"/>
      <c r="BZ62" s="1177"/>
    </row>
    <row r="63" spans="1:78" s="115" customFormat="1" ht="14.1" customHeight="1" x14ac:dyDescent="0.2">
      <c r="A63"/>
      <c r="B63"/>
      <c r="C63" s="114"/>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c r="AF63" s="161"/>
      <c r="AG63" s="161"/>
      <c r="AH63" s="161"/>
      <c r="AI63" s="161"/>
      <c r="AJ63" s="161"/>
      <c r="AK63" s="161"/>
      <c r="AL63" s="161"/>
      <c r="AM63" s="161"/>
      <c r="AN63" s="161"/>
      <c r="AO63" s="161"/>
      <c r="AP63" s="161"/>
      <c r="AQ63" s="161"/>
      <c r="AR63" s="161"/>
      <c r="AS63" s="161"/>
      <c r="AT63" s="161"/>
      <c r="AU63" s="161"/>
      <c r="AV63" s="161"/>
      <c r="AW63" s="161"/>
      <c r="AX63" s="161"/>
      <c r="AY63" s="161"/>
      <c r="AZ63" s="161"/>
      <c r="BA63" s="161"/>
      <c r="BB63" s="161"/>
      <c r="BC63" s="161"/>
      <c r="BD63" s="161"/>
      <c r="BE63" s="161"/>
      <c r="BF63" s="161"/>
      <c r="BG63" s="161"/>
      <c r="BH63" s="161"/>
      <c r="BI63" s="161"/>
      <c r="BJ63" s="161"/>
      <c r="BK63" s="161"/>
      <c r="BL63" s="161"/>
      <c r="BM63" s="161"/>
      <c r="BN63" s="161"/>
      <c r="BO63" s="161"/>
      <c r="BP63" s="161"/>
      <c r="BQ63" s="161"/>
      <c r="BR63" s="161"/>
      <c r="BS63" s="161"/>
      <c r="BT63" s="161"/>
      <c r="BU63" s="161"/>
      <c r="BV63" s="161"/>
      <c r="BW63" s="161"/>
      <c r="BX63" s="161"/>
      <c r="BY63" s="161"/>
      <c r="BZ63" s="161"/>
    </row>
    <row r="64" spans="1:78" s="115" customFormat="1" ht="14.1" customHeight="1" x14ac:dyDescent="0.2">
      <c r="A64"/>
      <c r="B64"/>
      <c r="C64" s="114"/>
      <c r="D64" s="161"/>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c r="AF64" s="161"/>
      <c r="AG64" s="161"/>
      <c r="AH64" s="161"/>
      <c r="AI64" s="161"/>
      <c r="AJ64" s="161"/>
      <c r="AK64" s="161"/>
      <c r="AL64" s="161"/>
      <c r="AM64" s="161"/>
      <c r="AN64" s="161"/>
      <c r="AO64" s="161"/>
      <c r="AP64" s="161"/>
      <c r="AQ64" s="161"/>
      <c r="AR64" s="161"/>
      <c r="AS64" s="161"/>
      <c r="AT64" s="161"/>
      <c r="AU64" s="161"/>
      <c r="AV64" s="161"/>
      <c r="AW64" s="161"/>
      <c r="AX64" s="161"/>
      <c r="AY64" s="161"/>
      <c r="AZ64" s="161"/>
      <c r="BA64" s="161"/>
      <c r="BB64" s="161"/>
      <c r="BC64" s="161"/>
      <c r="BD64" s="161"/>
      <c r="BE64" s="161"/>
      <c r="BF64" s="161"/>
      <c r="BG64" s="161"/>
      <c r="BH64" s="161"/>
      <c r="BI64" s="161"/>
      <c r="BJ64" s="161"/>
      <c r="BK64" s="161"/>
      <c r="BL64" s="161"/>
      <c r="BM64" s="161"/>
      <c r="BN64" s="161"/>
      <c r="BO64" s="161"/>
      <c r="BP64" s="161"/>
      <c r="BQ64" s="161"/>
      <c r="BR64" s="161"/>
      <c r="BS64" s="161"/>
      <c r="BT64" s="161"/>
      <c r="BU64" s="161"/>
      <c r="BV64" s="161"/>
      <c r="BW64" s="161"/>
      <c r="BX64" s="161"/>
      <c r="BY64" s="161"/>
      <c r="BZ64" s="161"/>
    </row>
    <row r="65" spans="1:79" s="115" customFormat="1" ht="14.1" customHeight="1" x14ac:dyDescent="0.2">
      <c r="A65"/>
      <c r="B65"/>
      <c r="C65" s="114"/>
      <c r="D65" s="161"/>
      <c r="E65" s="161"/>
      <c r="F65" s="161"/>
      <c r="G65" s="161"/>
      <c r="H65" s="161"/>
      <c r="I65" s="161"/>
      <c r="J65" s="161"/>
      <c r="K65" s="161"/>
      <c r="L65" s="161"/>
      <c r="M65" s="161"/>
      <c r="N65" s="161"/>
      <c r="O65" s="161"/>
      <c r="P65" s="161"/>
      <c r="Q65" s="161"/>
      <c r="R65" s="161"/>
      <c r="S65" s="122"/>
      <c r="T65" s="122"/>
      <c r="U65" s="122"/>
      <c r="V65" s="122"/>
      <c r="W65" s="122"/>
      <c r="X65" s="122"/>
      <c r="Y65" s="122"/>
      <c r="Z65" s="122"/>
      <c r="AA65" s="122"/>
      <c r="AB65" s="122"/>
      <c r="AC65" s="122"/>
      <c r="AD65" s="122"/>
      <c r="AE65" s="122"/>
      <c r="AF65" s="122"/>
      <c r="AG65" s="122"/>
      <c r="AH65" s="122"/>
      <c r="AI65" s="122"/>
      <c r="AJ65" s="122"/>
      <c r="AK65" s="122"/>
      <c r="AL65" s="122"/>
      <c r="AM65" s="122"/>
      <c r="AN65" s="122"/>
      <c r="AO65" s="122"/>
      <c r="AP65" s="122"/>
      <c r="AQ65" s="122"/>
      <c r="AR65" s="122"/>
      <c r="AS65" s="122"/>
      <c r="AT65" s="122"/>
      <c r="AU65" s="122"/>
      <c r="AV65" s="122"/>
      <c r="AW65" s="122"/>
      <c r="AX65" s="122"/>
      <c r="AY65" s="122"/>
      <c r="AZ65" s="122"/>
      <c r="BA65" s="122"/>
      <c r="BB65" s="122"/>
      <c r="BC65" s="122"/>
      <c r="BD65" s="122"/>
      <c r="BE65" s="122"/>
      <c r="BF65" s="122"/>
      <c r="BG65" s="122"/>
      <c r="BH65" s="122"/>
      <c r="BI65" s="122"/>
      <c r="BJ65" s="122"/>
      <c r="BK65" s="122"/>
      <c r="BL65" s="122"/>
      <c r="BM65" s="122"/>
      <c r="BN65" s="122"/>
      <c r="BO65" s="122"/>
      <c r="BP65" s="122"/>
      <c r="BQ65" s="122"/>
      <c r="BR65" s="122"/>
      <c r="BS65" s="122"/>
      <c r="BT65" s="122"/>
      <c r="BU65" s="122"/>
      <c r="BV65" s="122"/>
      <c r="BW65" s="122"/>
      <c r="BX65" s="122"/>
      <c r="BY65" s="122"/>
      <c r="BZ65" s="122"/>
      <c r="CA65" s="122"/>
    </row>
    <row r="66" spans="1:79" s="116" customFormat="1" ht="14.1" customHeight="1" x14ac:dyDescent="0.2">
      <c r="A66"/>
      <c r="B66"/>
      <c r="C66" s="172"/>
      <c r="D66" s="114"/>
      <c r="E66" s="114"/>
      <c r="F66" s="114"/>
      <c r="G66" s="114"/>
      <c r="H66" s="114"/>
      <c r="I66" s="114"/>
      <c r="J66" s="114"/>
      <c r="P66" s="114"/>
      <c r="Q66" s="114"/>
      <c r="R66" s="172"/>
      <c r="S66" s="747"/>
      <c r="T66" s="747"/>
      <c r="U66" s="747"/>
      <c r="V66" s="747"/>
      <c r="W66" s="1178"/>
      <c r="X66" s="747"/>
      <c r="Y66" s="747"/>
      <c r="Z66" s="747"/>
      <c r="AA66" s="747"/>
      <c r="AB66" s="1178"/>
      <c r="AC66" s="747"/>
      <c r="AD66" s="747"/>
      <c r="AE66" s="747"/>
      <c r="AF66" s="747"/>
      <c r="AG66" s="1178"/>
      <c r="AH66" s="747"/>
      <c r="AI66" s="747"/>
      <c r="AJ66" s="747"/>
      <c r="AK66" s="747"/>
      <c r="AL66" s="1178"/>
      <c r="AM66" s="747"/>
      <c r="AN66" s="747"/>
      <c r="AO66" s="747"/>
      <c r="AP66" s="747"/>
      <c r="AQ66" s="1178"/>
      <c r="AR66" s="747"/>
      <c r="AS66" s="747"/>
      <c r="AT66" s="747"/>
      <c r="AU66" s="747"/>
      <c r="AV66" s="1178"/>
      <c r="AW66" s="747"/>
      <c r="AX66" s="747"/>
      <c r="AY66" s="747"/>
      <c r="AZ66" s="747"/>
      <c r="BA66" s="1178"/>
      <c r="BB66" s="747"/>
      <c r="BC66" s="747"/>
      <c r="BD66" s="747"/>
      <c r="BE66" s="747"/>
      <c r="BF66" s="1178"/>
      <c r="BG66" s="747"/>
      <c r="BH66" s="747"/>
      <c r="BI66" s="747"/>
      <c r="BJ66" s="747"/>
      <c r="BK66" s="1178"/>
      <c r="BL66" s="747"/>
      <c r="BM66" s="747"/>
      <c r="BN66" s="747"/>
      <c r="BO66" s="747"/>
      <c r="BP66" s="1178"/>
      <c r="BQ66" s="747"/>
      <c r="BR66" s="747"/>
      <c r="BS66" s="747"/>
      <c r="BT66" s="747"/>
      <c r="BU66" s="1178"/>
      <c r="BV66" s="747"/>
      <c r="BW66" s="747"/>
      <c r="BX66" s="747"/>
      <c r="BY66" s="747"/>
      <c r="BZ66" s="1178"/>
      <c r="CA66" s="747"/>
    </row>
    <row r="67" spans="1:79" s="116" customFormat="1" ht="14.1" customHeight="1" x14ac:dyDescent="0.2">
      <c r="A67"/>
      <c r="B67"/>
      <c r="C67" s="172"/>
      <c r="D67" s="114"/>
      <c r="E67" s="114"/>
      <c r="F67" s="114"/>
      <c r="G67" s="114"/>
      <c r="H67" s="114"/>
      <c r="I67" s="114"/>
      <c r="J67" s="114"/>
      <c r="P67" s="114"/>
      <c r="Q67" s="114"/>
      <c r="R67" s="172"/>
      <c r="S67" s="747"/>
      <c r="T67" s="747"/>
      <c r="U67" s="747"/>
      <c r="V67" s="747"/>
      <c r="W67" s="1178"/>
      <c r="X67" s="747"/>
      <c r="Y67" s="747"/>
      <c r="Z67" s="747"/>
      <c r="AA67" s="747"/>
      <c r="AB67" s="1178"/>
      <c r="AC67" s="747"/>
      <c r="AD67" s="747"/>
      <c r="AE67" s="747"/>
      <c r="AF67" s="747"/>
      <c r="AG67" s="1178"/>
      <c r="AH67" s="747"/>
      <c r="AI67" s="747"/>
      <c r="AJ67" s="747"/>
      <c r="AK67" s="747"/>
      <c r="AL67" s="1178"/>
      <c r="AM67" s="747"/>
      <c r="AN67" s="747"/>
      <c r="AO67" s="747"/>
      <c r="AP67" s="747"/>
      <c r="AQ67" s="1178"/>
      <c r="AR67" s="747"/>
      <c r="AS67" s="747"/>
      <c r="AT67" s="747"/>
      <c r="AU67" s="747"/>
      <c r="AV67" s="1178"/>
      <c r="AW67" s="747"/>
      <c r="AX67" s="747"/>
      <c r="AY67" s="747"/>
      <c r="AZ67" s="747"/>
      <c r="BA67" s="1178"/>
      <c r="BB67" s="747"/>
      <c r="BC67" s="747"/>
      <c r="BD67" s="747"/>
      <c r="BE67" s="747"/>
      <c r="BF67" s="1178"/>
      <c r="BG67" s="747"/>
      <c r="BH67" s="747"/>
      <c r="BI67" s="747"/>
      <c r="BJ67" s="747"/>
      <c r="BK67" s="1178"/>
      <c r="BL67" s="747"/>
      <c r="BM67" s="747"/>
      <c r="BN67" s="747"/>
      <c r="BO67" s="747"/>
      <c r="BP67" s="1178"/>
      <c r="BQ67" s="747"/>
      <c r="BR67" s="747"/>
      <c r="BS67" s="747"/>
      <c r="BT67" s="747"/>
      <c r="BU67" s="1178"/>
      <c r="BV67" s="747"/>
      <c r="BW67" s="747"/>
      <c r="BX67" s="747"/>
      <c r="BY67" s="747"/>
      <c r="BZ67" s="1178"/>
      <c r="CA67" s="747"/>
    </row>
    <row r="68" spans="1:79" s="115" customFormat="1" ht="14.1" customHeight="1" x14ac:dyDescent="0.2">
      <c r="A68"/>
      <c r="B68"/>
      <c r="C68" s="114"/>
      <c r="D68" s="161"/>
      <c r="E68" s="161"/>
      <c r="F68" s="161"/>
      <c r="G68" s="161"/>
      <c r="H68" s="161"/>
      <c r="I68" s="161"/>
      <c r="J68" s="161"/>
      <c r="K68" s="161"/>
      <c r="L68" s="161"/>
      <c r="M68" s="161"/>
      <c r="N68" s="161"/>
      <c r="O68" s="161"/>
      <c r="P68" s="161"/>
      <c r="Q68" s="161"/>
      <c r="R68" s="161"/>
      <c r="S68" s="122"/>
      <c r="T68" s="122"/>
      <c r="U68" s="122"/>
      <c r="V68" s="122"/>
      <c r="W68" s="1179"/>
      <c r="X68" s="122"/>
      <c r="Y68" s="122"/>
      <c r="Z68" s="122"/>
      <c r="AA68" s="122"/>
      <c r="AB68" s="1179"/>
      <c r="AC68" s="122"/>
      <c r="AD68" s="122"/>
      <c r="AE68" s="122"/>
      <c r="AF68" s="122"/>
      <c r="AG68" s="1179"/>
      <c r="AH68" s="122"/>
      <c r="AI68" s="122"/>
      <c r="AJ68" s="122"/>
      <c r="AK68" s="122"/>
      <c r="AL68" s="1179"/>
      <c r="AM68" s="122"/>
      <c r="AN68" s="122"/>
      <c r="AO68" s="122"/>
      <c r="AP68" s="122"/>
      <c r="AQ68" s="1179"/>
      <c r="AR68" s="122"/>
      <c r="AS68" s="122"/>
      <c r="AT68" s="122"/>
      <c r="AU68" s="122"/>
      <c r="AV68" s="1179"/>
      <c r="AW68" s="122"/>
      <c r="AX68" s="122"/>
      <c r="AY68" s="122"/>
      <c r="AZ68" s="122"/>
      <c r="BA68" s="1179"/>
      <c r="BB68" s="122"/>
      <c r="BC68" s="122"/>
      <c r="BD68" s="122"/>
      <c r="BE68" s="122"/>
      <c r="BF68" s="1179"/>
      <c r="BG68" s="122"/>
      <c r="BH68" s="122"/>
      <c r="BI68" s="122"/>
      <c r="BJ68" s="122"/>
      <c r="BK68" s="1179"/>
      <c r="BL68" s="122"/>
      <c r="BM68" s="122"/>
      <c r="BN68" s="122"/>
      <c r="BO68" s="122"/>
      <c r="BP68" s="1179"/>
      <c r="BQ68" s="122"/>
      <c r="BR68" s="122"/>
      <c r="BS68" s="122"/>
      <c r="BT68" s="122"/>
      <c r="BU68" s="1179"/>
      <c r="BV68" s="122"/>
      <c r="BW68" s="122"/>
      <c r="BX68" s="122"/>
      <c r="BY68" s="122"/>
      <c r="BZ68" s="1179"/>
      <c r="CA68" s="122"/>
    </row>
    <row r="69" spans="1:79" s="114" customFormat="1" ht="2.1" customHeight="1" x14ac:dyDescent="0.2">
      <c r="A69"/>
      <c r="B69"/>
    </row>
    <row r="70" spans="1:79" s="114" customFormat="1" ht="14.1" customHeight="1" x14ac:dyDescent="0.2">
      <c r="A70"/>
      <c r="B70"/>
    </row>
    <row r="71" spans="1:79" s="114" customFormat="1" ht="14.1" customHeight="1" x14ac:dyDescent="0.2">
      <c r="A71"/>
      <c r="B71"/>
    </row>
    <row r="72" spans="1:79" s="114" customFormat="1" ht="14.1" customHeight="1" x14ac:dyDescent="0.2">
      <c r="A72"/>
      <c r="B72"/>
      <c r="C72" s="118"/>
      <c r="R72" s="118"/>
    </row>
    <row r="73" spans="1:79" s="114" customFormat="1" ht="14.1" customHeight="1" x14ac:dyDescent="0.2">
      <c r="A73"/>
      <c r="B73"/>
    </row>
    <row r="74" spans="1:79" s="161" customFormat="1" ht="14.1" customHeight="1" x14ac:dyDescent="0.2">
      <c r="A74"/>
      <c r="B74"/>
      <c r="C74" s="114"/>
      <c r="K74" s="115"/>
      <c r="L74" s="115"/>
      <c r="M74" s="115"/>
      <c r="N74" s="115"/>
      <c r="O74" s="115"/>
      <c r="P74" s="115"/>
    </row>
    <row r="75" spans="1:79" s="114" customFormat="1" ht="14.1" customHeight="1" x14ac:dyDescent="0.2">
      <c r="A75"/>
      <c r="B75"/>
      <c r="C75" s="172"/>
      <c r="K75" s="116"/>
      <c r="L75" s="116"/>
      <c r="M75" s="116"/>
      <c r="N75" s="116"/>
      <c r="O75" s="116"/>
      <c r="P75" s="116"/>
      <c r="R75" s="172"/>
    </row>
    <row r="76" spans="1:79" s="161" customFormat="1" ht="14.1" customHeight="1" x14ac:dyDescent="0.2">
      <c r="A76"/>
      <c r="B76"/>
      <c r="C76" s="114"/>
      <c r="K76" s="115"/>
      <c r="L76" s="115"/>
      <c r="M76" s="115"/>
      <c r="N76" s="115"/>
      <c r="O76" s="115"/>
      <c r="P76" s="115"/>
    </row>
    <row r="77" spans="1:79" s="114" customFormat="1" ht="14.1" customHeight="1" x14ac:dyDescent="0.2">
      <c r="A77"/>
      <c r="B77"/>
      <c r="C77" s="172"/>
      <c r="K77" s="116"/>
      <c r="L77" s="116"/>
      <c r="M77" s="116"/>
      <c r="N77" s="116"/>
      <c r="O77" s="116"/>
      <c r="P77" s="116"/>
      <c r="R77" s="172"/>
    </row>
    <row r="78" spans="1:79" s="161" customFormat="1" ht="14.1" customHeight="1" x14ac:dyDescent="0.2">
      <c r="A78"/>
      <c r="B78"/>
      <c r="C78" s="114"/>
      <c r="K78" s="115"/>
      <c r="L78" s="115"/>
      <c r="M78" s="115"/>
      <c r="N78" s="115"/>
      <c r="O78" s="115"/>
      <c r="P78" s="115"/>
    </row>
    <row r="79" spans="1:79" s="114" customFormat="1" ht="14.1" customHeight="1" x14ac:dyDescent="0.2">
      <c r="A79"/>
      <c r="B79"/>
      <c r="C79" s="172"/>
      <c r="K79" s="116"/>
      <c r="L79" s="116"/>
      <c r="M79" s="116"/>
      <c r="N79" s="116"/>
      <c r="O79" s="116"/>
      <c r="P79" s="116"/>
      <c r="R79" s="172"/>
    </row>
    <row r="80" spans="1:79" s="161" customFormat="1" ht="14.1" customHeight="1" x14ac:dyDescent="0.2">
      <c r="A80"/>
      <c r="B80"/>
      <c r="C80" s="114"/>
      <c r="K80" s="115"/>
      <c r="L80" s="115"/>
      <c r="M80" s="115"/>
      <c r="N80" s="115"/>
      <c r="O80" s="115"/>
      <c r="P80" s="115"/>
    </row>
    <row r="81" spans="1:18" s="114" customFormat="1" ht="14.1" customHeight="1" x14ac:dyDescent="0.2">
      <c r="A81"/>
      <c r="B81"/>
      <c r="C81" s="172"/>
      <c r="K81" s="116"/>
      <c r="L81" s="116"/>
      <c r="M81" s="116"/>
      <c r="N81" s="116"/>
      <c r="O81" s="116"/>
      <c r="P81" s="116"/>
      <c r="R81" s="172"/>
    </row>
    <row r="82" spans="1:18" s="161" customFormat="1" ht="14.1" customHeight="1" x14ac:dyDescent="0.2">
      <c r="A82"/>
      <c r="B82"/>
      <c r="C82" s="114"/>
      <c r="K82" s="115"/>
      <c r="L82" s="115"/>
      <c r="M82" s="115"/>
      <c r="N82" s="115"/>
      <c r="O82" s="115"/>
      <c r="P82" s="115"/>
    </row>
    <row r="83" spans="1:18" s="114" customFormat="1" ht="14.1" customHeight="1" x14ac:dyDescent="0.2">
      <c r="A83"/>
      <c r="B83"/>
      <c r="C83" s="172"/>
      <c r="K83" s="116"/>
      <c r="L83" s="116"/>
      <c r="M83" s="116"/>
      <c r="N83" s="116"/>
      <c r="O83" s="116"/>
      <c r="P83" s="116"/>
      <c r="R83" s="172"/>
    </row>
    <row r="84" spans="1:18" s="161" customFormat="1" ht="14.1" customHeight="1" x14ac:dyDescent="0.2">
      <c r="A84"/>
      <c r="B84"/>
      <c r="C84" s="114"/>
      <c r="K84" s="115"/>
      <c r="L84" s="115"/>
      <c r="M84" s="115"/>
      <c r="N84" s="115"/>
      <c r="O84" s="115"/>
      <c r="P84" s="115"/>
    </row>
    <row r="85" spans="1:18" s="114" customFormat="1" ht="14.1" customHeight="1" x14ac:dyDescent="0.2">
      <c r="A85"/>
      <c r="B85"/>
      <c r="C85" s="172"/>
      <c r="K85" s="116"/>
      <c r="L85" s="116"/>
      <c r="M85" s="116"/>
      <c r="N85" s="116"/>
      <c r="O85" s="116"/>
      <c r="P85" s="116"/>
      <c r="R85" s="172"/>
    </row>
    <row r="86" spans="1:18" s="161" customFormat="1" ht="14.1" customHeight="1" x14ac:dyDescent="0.2">
      <c r="A86"/>
      <c r="B86"/>
      <c r="C86" s="114"/>
      <c r="K86" s="115"/>
      <c r="L86" s="115"/>
      <c r="M86" s="115"/>
      <c r="N86" s="115"/>
      <c r="O86" s="115"/>
      <c r="P86" s="115"/>
    </row>
    <row r="87" spans="1:18" s="161" customFormat="1" ht="14.1" customHeight="1" x14ac:dyDescent="0.2">
      <c r="A87"/>
      <c r="B87"/>
      <c r="C87" s="114"/>
      <c r="K87" s="115"/>
      <c r="L87" s="115"/>
      <c r="M87" s="115"/>
      <c r="N87" s="115"/>
      <c r="O87" s="115"/>
      <c r="P87" s="115"/>
    </row>
    <row r="88" spans="1:18" s="116" customFormat="1" ht="14.1" customHeight="1" x14ac:dyDescent="0.2">
      <c r="A88"/>
      <c r="B88"/>
      <c r="C88" s="172"/>
      <c r="D88" s="114"/>
      <c r="E88" s="114"/>
      <c r="F88" s="114"/>
      <c r="G88" s="114"/>
      <c r="H88" s="114"/>
      <c r="I88" s="114"/>
      <c r="J88" s="114"/>
      <c r="Q88" s="114"/>
      <c r="R88" s="172"/>
    </row>
    <row r="89" spans="1:18" s="115" customFormat="1" ht="14.1" customHeight="1" x14ac:dyDescent="0.2">
      <c r="A89"/>
      <c r="B89"/>
      <c r="C89" s="114"/>
      <c r="D89" s="161"/>
      <c r="E89" s="161"/>
      <c r="F89" s="161"/>
      <c r="G89" s="161"/>
      <c r="H89" s="161"/>
      <c r="I89" s="161"/>
      <c r="J89" s="161"/>
      <c r="Q89" s="161"/>
      <c r="R89" s="161"/>
    </row>
    <row r="90" spans="1:18" s="115" customFormat="1" ht="14.1" customHeight="1" x14ac:dyDescent="0.2">
      <c r="A90"/>
      <c r="B90"/>
      <c r="C90" s="114"/>
      <c r="D90" s="161"/>
      <c r="E90" s="161"/>
      <c r="F90" s="161"/>
      <c r="G90" s="161"/>
      <c r="H90" s="161"/>
      <c r="I90" s="161"/>
      <c r="J90" s="161"/>
      <c r="Q90" s="161"/>
      <c r="R90" s="161"/>
    </row>
    <row r="91" spans="1:18" s="115" customFormat="1" ht="14.1" customHeight="1" x14ac:dyDescent="0.2">
      <c r="A91"/>
      <c r="B91"/>
      <c r="C91" s="114"/>
      <c r="D91" s="161"/>
      <c r="E91" s="161"/>
      <c r="F91" s="161"/>
      <c r="G91" s="161"/>
      <c r="H91" s="161"/>
      <c r="I91" s="161"/>
      <c r="J91" s="161"/>
      <c r="Q91" s="161"/>
      <c r="R91" s="161"/>
    </row>
    <row r="92" spans="1:18" s="115" customFormat="1" ht="14.1" customHeight="1" x14ac:dyDescent="0.2">
      <c r="A92"/>
      <c r="B92"/>
      <c r="C92" s="114"/>
      <c r="D92" s="161"/>
      <c r="E92" s="161"/>
      <c r="F92" s="161"/>
      <c r="G92" s="161"/>
      <c r="H92" s="161"/>
      <c r="I92" s="161"/>
      <c r="J92" s="161"/>
      <c r="Q92" s="161"/>
      <c r="R92" s="161"/>
    </row>
    <row r="93" spans="1:18" s="114" customFormat="1" ht="2.1" customHeight="1" x14ac:dyDescent="0.2">
      <c r="A93"/>
      <c r="B93"/>
    </row>
    <row r="94" spans="1:18" s="114" customFormat="1" ht="14.1" customHeight="1" x14ac:dyDescent="0.2">
      <c r="A94"/>
      <c r="B94"/>
    </row>
    <row r="95" spans="1:18" s="114" customFormat="1" ht="14.1" customHeight="1" x14ac:dyDescent="0.2">
      <c r="A95"/>
      <c r="B95"/>
      <c r="C95" s="118"/>
      <c r="R95" s="118"/>
    </row>
    <row r="96" spans="1:18" s="114" customFormat="1" ht="14.1" customHeight="1" x14ac:dyDescent="0.2">
      <c r="A96"/>
      <c r="B96"/>
      <c r="C96" s="118"/>
      <c r="R96" s="118"/>
    </row>
    <row r="97" spans="1:78" ht="8.1" customHeight="1" x14ac:dyDescent="0.2">
      <c r="C97" s="99"/>
      <c r="R97" s="99"/>
    </row>
    <row r="98" spans="1:78" ht="18.75" x14ac:dyDescent="0.25">
      <c r="C98" s="136" t="str">
        <f>C3</f>
        <v>SAIA, Inc.</v>
      </c>
      <c r="D98" s="148"/>
      <c r="E98" s="148"/>
      <c r="F98" s="148"/>
      <c r="G98" s="148"/>
      <c r="H98" s="148"/>
      <c r="I98" s="148"/>
      <c r="J98" s="148"/>
      <c r="K98" s="148"/>
      <c r="L98" s="148"/>
      <c r="M98" s="148"/>
      <c r="N98" s="1150" t="str">
        <f>N54</f>
        <v>Model Case:</v>
      </c>
      <c r="O98" s="64" t="str">
        <f>O54</f>
        <v>Base</v>
      </c>
      <c r="R98" s="1376" t="str">
        <f>C98</f>
        <v>SAIA, Inc.</v>
      </c>
      <c r="S98" s="1374"/>
      <c r="T98" s="1374"/>
      <c r="U98" s="1374"/>
      <c r="V98" s="1374"/>
      <c r="W98" s="1374"/>
      <c r="X98" s="1374"/>
      <c r="Y98" s="1374"/>
      <c r="Z98" s="1374"/>
      <c r="AA98" s="1374"/>
      <c r="AB98" s="1374"/>
      <c r="AC98" s="1374"/>
      <c r="AD98" s="1374"/>
      <c r="AE98" s="1374"/>
      <c r="AF98" s="1374"/>
      <c r="AG98" s="1374"/>
      <c r="AH98" s="1374"/>
      <c r="AI98" s="1374"/>
      <c r="AJ98" s="1374"/>
      <c r="AK98" s="1374"/>
      <c r="AL98" s="1374"/>
      <c r="AM98" s="1374"/>
      <c r="AN98" s="1374"/>
      <c r="AO98" s="1374"/>
      <c r="AP98" s="1374"/>
      <c r="AQ98" s="1374"/>
      <c r="AR98" s="1374"/>
      <c r="AS98" s="1374"/>
      <c r="AT98" s="1374"/>
      <c r="AU98" s="1374"/>
      <c r="AV98" s="1374"/>
      <c r="AW98" s="1374"/>
      <c r="AX98" s="1374"/>
      <c r="AY98" s="1374"/>
      <c r="AZ98" s="1374"/>
      <c r="BA98" s="47"/>
      <c r="BB98" s="47"/>
      <c r="BC98" s="47"/>
      <c r="BD98" s="47"/>
      <c r="BE98" s="47"/>
      <c r="BF98" s="47"/>
      <c r="BG98" s="47"/>
      <c r="BH98" s="47"/>
      <c r="BI98" s="47"/>
      <c r="BJ98" s="47"/>
      <c r="BK98" s="47"/>
      <c r="BL98" s="47"/>
      <c r="BM98" s="47"/>
      <c r="BN98" s="47"/>
      <c r="BO98" s="47"/>
      <c r="BP98" s="47"/>
      <c r="BQ98" s="47"/>
      <c r="BR98" s="47"/>
      <c r="BS98" s="47"/>
      <c r="BT98" s="47"/>
      <c r="BU98" s="47"/>
      <c r="BV98" s="47"/>
      <c r="BW98" s="1144"/>
      <c r="BX98" s="67" t="str">
        <f t="shared" ref="BX98:BY100" si="4">BX54</f>
        <v>Model Case:</v>
      </c>
      <c r="BY98" s="48" t="str">
        <f t="shared" si="4"/>
        <v>Base</v>
      </c>
      <c r="BZ98" s="47"/>
    </row>
    <row r="99" spans="1:78" ht="14.1" customHeight="1" x14ac:dyDescent="0.2">
      <c r="C99" s="133" t="str">
        <f>C4&amp;" % Changes"</f>
        <v>Sensitivity  % Changes</v>
      </c>
      <c r="D99" s="148"/>
      <c r="E99" s="148"/>
      <c r="F99" s="148"/>
      <c r="G99" s="148"/>
      <c r="H99" s="148"/>
      <c r="I99" s="148"/>
      <c r="J99" s="148"/>
      <c r="K99" s="148"/>
      <c r="L99" s="148"/>
      <c r="M99" s="1149"/>
      <c r="N99" s="1150" t="str">
        <f>N4</f>
        <v>DCF Share Value as of 12/31/2024:</v>
      </c>
      <c r="O99" s="65">
        <f>O4</f>
        <v>520.1066763818468</v>
      </c>
      <c r="R99" s="1387" t="str">
        <f>C99</f>
        <v>Sensitivity  % Changes</v>
      </c>
      <c r="S99" s="1375"/>
      <c r="T99" s="1375"/>
      <c r="U99" s="1375"/>
      <c r="V99" s="1375"/>
      <c r="W99" s="1375"/>
      <c r="X99" s="1375"/>
      <c r="Y99" s="1375"/>
      <c r="Z99" s="1375"/>
      <c r="AA99" s="1375"/>
      <c r="AB99" s="1375"/>
      <c r="AC99" s="1375"/>
      <c r="AD99" s="1375"/>
      <c r="AE99" s="1375"/>
      <c r="AF99" s="1375"/>
      <c r="AG99" s="1375"/>
      <c r="AH99" s="1375"/>
      <c r="AI99" s="1375"/>
      <c r="AJ99" s="1375"/>
      <c r="AK99" s="1375"/>
      <c r="AL99" s="1375"/>
      <c r="AM99" s="1375"/>
      <c r="AN99" s="1375"/>
      <c r="AO99" s="1375"/>
      <c r="AP99" s="1375"/>
      <c r="AQ99" s="1375"/>
      <c r="AR99" s="1375"/>
      <c r="AS99" s="1375"/>
      <c r="AT99" s="1375"/>
      <c r="AU99" s="1375"/>
      <c r="AV99" s="1375"/>
      <c r="AW99" s="1375"/>
      <c r="AX99" s="1375"/>
      <c r="AY99" s="1375"/>
      <c r="AZ99" s="1375"/>
      <c r="BA99" s="1375"/>
      <c r="BB99" s="48"/>
      <c r="BC99" s="48"/>
      <c r="BD99" s="48"/>
      <c r="BE99" s="48"/>
      <c r="BF99" s="48"/>
      <c r="BG99" s="48"/>
      <c r="BH99" s="48"/>
      <c r="BI99" s="48"/>
      <c r="BJ99" s="48"/>
      <c r="BK99" s="48"/>
      <c r="BL99" s="48"/>
      <c r="BM99" s="48"/>
      <c r="BN99" s="48"/>
      <c r="BO99" s="48"/>
      <c r="BP99" s="48"/>
      <c r="BQ99" s="48"/>
      <c r="BR99" s="48"/>
      <c r="BS99" s="48"/>
      <c r="BT99" s="48"/>
      <c r="BU99" s="48"/>
      <c r="BV99" s="48"/>
      <c r="BW99" s="48"/>
      <c r="BX99" s="67" t="str">
        <f t="shared" si="4"/>
        <v>DCF Share Value as of 12/31/2024:</v>
      </c>
      <c r="BY99" s="65">
        <f t="shared" si="4"/>
        <v>520.1066763818468</v>
      </c>
      <c r="BZ99" s="48"/>
    </row>
    <row r="100" spans="1:78" ht="14.1" customHeight="1" x14ac:dyDescent="0.2">
      <c r="C100" s="147" t="str">
        <f>C5</f>
        <v>($ in millions, fiscal year ending December,31)</v>
      </c>
      <c r="D100" s="148"/>
      <c r="E100" s="148"/>
      <c r="F100" s="148"/>
      <c r="G100" s="148"/>
      <c r="H100" s="148"/>
      <c r="I100" s="148"/>
      <c r="J100" s="148"/>
      <c r="K100" s="148"/>
      <c r="L100" s="148"/>
      <c r="M100" s="1149"/>
      <c r="N100" s="1150" t="str">
        <f>N5</f>
        <v>Market Share Price as of 12/31/2024:</v>
      </c>
      <c r="O100" s="65">
        <f>O5</f>
        <v>455.73</v>
      </c>
      <c r="R100" s="154" t="str">
        <f>C103&amp;" (Quarter X to Quarter X+1)"</f>
        <v xml:space="preserve"> (Quarter X to Quarter X+1)</v>
      </c>
      <c r="S100" s="152"/>
      <c r="T100" s="152"/>
      <c r="U100" s="152"/>
      <c r="V100" s="152"/>
      <c r="W100" s="152"/>
      <c r="X100" s="152"/>
      <c r="Y100" s="152"/>
      <c r="Z100" s="152"/>
      <c r="AA100" s="152"/>
      <c r="AB100" s="152"/>
      <c r="AC100" s="152"/>
      <c r="AD100" s="152"/>
      <c r="AE100" s="152"/>
      <c r="AF100" s="152"/>
      <c r="AG100" s="152"/>
      <c r="AH100" s="152"/>
      <c r="AI100" s="152"/>
      <c r="AJ100" s="152"/>
      <c r="AK100" s="152"/>
      <c r="AL100" s="152"/>
      <c r="AM100" s="152"/>
      <c r="AN100" s="152"/>
      <c r="AO100" s="152"/>
      <c r="AP100" s="152"/>
      <c r="AQ100" s="152"/>
      <c r="AR100" s="152"/>
      <c r="AS100" s="152"/>
      <c r="AT100" s="152"/>
      <c r="AU100" s="152"/>
      <c r="AV100" s="152"/>
      <c r="AW100" s="152"/>
      <c r="AX100" s="152"/>
      <c r="AY100" s="152"/>
      <c r="AZ100" s="152"/>
      <c r="BA100" s="152"/>
      <c r="BB100" s="153"/>
      <c r="BC100" s="153"/>
      <c r="BD100" s="153"/>
      <c r="BE100" s="153"/>
      <c r="BF100" s="153"/>
      <c r="BG100" s="153"/>
      <c r="BH100" s="153"/>
      <c r="BI100" s="153"/>
      <c r="BJ100" s="153"/>
      <c r="BK100" s="153"/>
      <c r="BL100" s="153"/>
      <c r="BM100" s="153"/>
      <c r="BN100" s="153"/>
      <c r="BO100" s="153"/>
      <c r="BP100" s="153"/>
      <c r="BQ100" s="153"/>
      <c r="BR100" s="153"/>
      <c r="BS100" s="153"/>
      <c r="BT100" s="153"/>
      <c r="BU100" s="153"/>
      <c r="BV100" s="153"/>
      <c r="BW100" s="153"/>
      <c r="BX100" s="1151" t="str">
        <f t="shared" si="4"/>
        <v>Market Share Price as of 12/31/2024:</v>
      </c>
      <c r="BY100" s="322">
        <f t="shared" si="4"/>
        <v>455.73</v>
      </c>
      <c r="BZ100" s="153"/>
    </row>
    <row r="101" spans="1:78" ht="14.1" customHeight="1" x14ac:dyDescent="0.2">
      <c r="C101" s="170"/>
      <c r="D101" s="97">
        <f t="shared" ref="D101:O101" si="5">D7</f>
        <v>43100</v>
      </c>
      <c r="E101" s="98">
        <f t="shared" si="5"/>
        <v>43465</v>
      </c>
      <c r="F101" s="98">
        <f t="shared" si="5"/>
        <v>43830</v>
      </c>
      <c r="G101" s="98">
        <f t="shared" si="5"/>
        <v>44196</v>
      </c>
      <c r="H101" s="98">
        <f t="shared" si="5"/>
        <v>44561</v>
      </c>
      <c r="I101" s="98">
        <f t="shared" si="5"/>
        <v>44926</v>
      </c>
      <c r="J101" s="98">
        <f t="shared" si="5"/>
        <v>45291</v>
      </c>
      <c r="K101" s="137">
        <f t="shared" si="5"/>
        <v>45657</v>
      </c>
      <c r="L101" s="138">
        <f t="shared" si="5"/>
        <v>46022</v>
      </c>
      <c r="M101" s="138">
        <f t="shared" si="5"/>
        <v>46387</v>
      </c>
      <c r="N101" s="138">
        <f t="shared" si="5"/>
        <v>46752</v>
      </c>
      <c r="O101" s="139">
        <f t="shared" si="5"/>
        <v>47118</v>
      </c>
      <c r="R101" s="155"/>
      <c r="S101" s="1367">
        <f>S5</f>
        <v>43100</v>
      </c>
      <c r="T101" s="1368"/>
      <c r="U101" s="1368"/>
      <c r="V101" s="1368"/>
      <c r="W101" s="1368"/>
      <c r="X101" s="1368">
        <f>X5</f>
        <v>43465</v>
      </c>
      <c r="Y101" s="1368"/>
      <c r="Z101" s="1368"/>
      <c r="AA101" s="1368"/>
      <c r="AB101" s="1368"/>
      <c r="AC101" s="1368">
        <f>AC5</f>
        <v>43830</v>
      </c>
      <c r="AD101" s="1368"/>
      <c r="AE101" s="1368"/>
      <c r="AF101" s="1368"/>
      <c r="AG101" s="1368"/>
      <c r="AH101" s="1368">
        <f>AH5</f>
        <v>44196</v>
      </c>
      <c r="AI101" s="1368"/>
      <c r="AJ101" s="1368"/>
      <c r="AK101" s="1368"/>
      <c r="AL101" s="1368"/>
      <c r="AM101" s="1368">
        <f>AM5</f>
        <v>44561</v>
      </c>
      <c r="AN101" s="1368"/>
      <c r="AO101" s="1368"/>
      <c r="AP101" s="1368"/>
      <c r="AQ101" s="1368"/>
      <c r="AR101" s="1368">
        <f>AR5</f>
        <v>44926</v>
      </c>
      <c r="AS101" s="1368"/>
      <c r="AT101" s="1368"/>
      <c r="AU101" s="1368"/>
      <c r="AV101" s="1368"/>
      <c r="AW101" s="1368">
        <f>AW5</f>
        <v>45291</v>
      </c>
      <c r="AX101" s="1368"/>
      <c r="AY101" s="1368"/>
      <c r="AZ101" s="1368"/>
      <c r="BA101" s="1368"/>
      <c r="BB101" s="1369">
        <f>BB5</f>
        <v>45657</v>
      </c>
      <c r="BC101" s="1369"/>
      <c r="BD101" s="1369"/>
      <c r="BE101" s="1369"/>
      <c r="BF101" s="1369"/>
      <c r="BG101" s="1365">
        <f>BG5</f>
        <v>46022</v>
      </c>
      <c r="BH101" s="1365"/>
      <c r="BI101" s="1365"/>
      <c r="BJ101" s="1365"/>
      <c r="BK101" s="1365"/>
      <c r="BL101" s="1365">
        <f>BL5</f>
        <v>46387</v>
      </c>
      <c r="BM101" s="1365"/>
      <c r="BN101" s="1365"/>
      <c r="BO101" s="1365"/>
      <c r="BP101" s="1365"/>
      <c r="BQ101" s="1365">
        <f>BQ5</f>
        <v>46752</v>
      </c>
      <c r="BR101" s="1365"/>
      <c r="BS101" s="1365"/>
      <c r="BT101" s="1365"/>
      <c r="BU101" s="1365"/>
      <c r="BV101" s="1365">
        <f>BV5</f>
        <v>47118</v>
      </c>
      <c r="BW101" s="1365"/>
      <c r="BX101" s="1365"/>
      <c r="BY101" s="1365"/>
      <c r="BZ101" s="1366"/>
    </row>
    <row r="102" spans="1:78" ht="14.1" customHeight="1" x14ac:dyDescent="0.2">
      <c r="R102" s="236"/>
      <c r="S102" s="96" t="str">
        <f t="shared" ref="S102:BZ102" si="6">S58</f>
        <v>2017 Q1</v>
      </c>
      <c r="T102" s="140" t="str">
        <f t="shared" si="6"/>
        <v>2017 Q2</v>
      </c>
      <c r="U102" s="140" t="str">
        <f t="shared" si="6"/>
        <v>2017 Q3</v>
      </c>
      <c r="V102" s="140" t="str">
        <f t="shared" si="6"/>
        <v>2017 Q4</v>
      </c>
      <c r="W102" s="140" t="str">
        <f t="shared" si="6"/>
        <v>2017 FY</v>
      </c>
      <c r="X102" s="140" t="str">
        <f t="shared" si="6"/>
        <v>2018 Q1</v>
      </c>
      <c r="Y102" s="140" t="str">
        <f t="shared" si="6"/>
        <v>2018 Q2</v>
      </c>
      <c r="Z102" s="140" t="str">
        <f t="shared" si="6"/>
        <v>2018 Q3</v>
      </c>
      <c r="AA102" s="140" t="str">
        <f t="shared" si="6"/>
        <v>2018 Q4</v>
      </c>
      <c r="AB102" s="140" t="str">
        <f t="shared" si="6"/>
        <v>2018 FY</v>
      </c>
      <c r="AC102" s="140" t="str">
        <f t="shared" si="6"/>
        <v>2019 Q1</v>
      </c>
      <c r="AD102" s="140" t="str">
        <f t="shared" si="6"/>
        <v>2019 Q2</v>
      </c>
      <c r="AE102" s="140" t="str">
        <f t="shared" si="6"/>
        <v>2019 Q3</v>
      </c>
      <c r="AF102" s="140" t="str">
        <f t="shared" si="6"/>
        <v>2019 Q4</v>
      </c>
      <c r="AG102" s="140" t="str">
        <f t="shared" si="6"/>
        <v>2019 FY</v>
      </c>
      <c r="AH102" s="140" t="str">
        <f t="shared" si="6"/>
        <v>2020 Q1</v>
      </c>
      <c r="AI102" s="140" t="str">
        <f t="shared" si="6"/>
        <v>2020 Q2</v>
      </c>
      <c r="AJ102" s="140" t="str">
        <f t="shared" si="6"/>
        <v>2020 Q3</v>
      </c>
      <c r="AK102" s="140" t="str">
        <f t="shared" si="6"/>
        <v>2020 Q4</v>
      </c>
      <c r="AL102" s="140" t="str">
        <f t="shared" si="6"/>
        <v>2020 FY</v>
      </c>
      <c r="AM102" s="140" t="str">
        <f t="shared" si="6"/>
        <v>2021 Q1</v>
      </c>
      <c r="AN102" s="140" t="str">
        <f t="shared" si="6"/>
        <v>2021 Q2</v>
      </c>
      <c r="AO102" s="140" t="str">
        <f t="shared" si="6"/>
        <v>2021 Q3</v>
      </c>
      <c r="AP102" s="140" t="str">
        <f t="shared" si="6"/>
        <v>2021 Q4</v>
      </c>
      <c r="AQ102" s="140" t="str">
        <f t="shared" si="6"/>
        <v>2021 FY</v>
      </c>
      <c r="AR102" s="140" t="str">
        <f t="shared" si="6"/>
        <v>2022 Q1</v>
      </c>
      <c r="AS102" s="140" t="str">
        <f t="shared" si="6"/>
        <v>2022 Q2</v>
      </c>
      <c r="AT102" s="140" t="str">
        <f t="shared" si="6"/>
        <v>2022 Q3</v>
      </c>
      <c r="AU102" s="140" t="str">
        <f t="shared" si="6"/>
        <v>2022 Q4</v>
      </c>
      <c r="AV102" s="140" t="str">
        <f t="shared" si="6"/>
        <v>2022 FY</v>
      </c>
      <c r="AW102" s="140" t="str">
        <f t="shared" si="6"/>
        <v>2023 Q1</v>
      </c>
      <c r="AX102" s="140" t="str">
        <f t="shared" si="6"/>
        <v>2023 Q2</v>
      </c>
      <c r="AY102" s="140" t="str">
        <f t="shared" si="6"/>
        <v>2023 Q3</v>
      </c>
      <c r="AZ102" s="140" t="str">
        <f t="shared" si="6"/>
        <v>2023 Q4</v>
      </c>
      <c r="BA102" s="140" t="str">
        <f t="shared" si="6"/>
        <v>2023 FY</v>
      </c>
      <c r="BB102" s="140" t="str">
        <f t="shared" si="6"/>
        <v>2024 Q1</v>
      </c>
      <c r="BC102" s="140" t="str">
        <f t="shared" si="6"/>
        <v>2024 Q2</v>
      </c>
      <c r="BD102" s="140" t="str">
        <f t="shared" si="6"/>
        <v>2024 Q3</v>
      </c>
      <c r="BE102" s="141" t="str">
        <f t="shared" si="6"/>
        <v>2024 Q4</v>
      </c>
      <c r="BF102" s="141" t="str">
        <f t="shared" si="6"/>
        <v>2024 FY</v>
      </c>
      <c r="BG102" s="141" t="str">
        <f t="shared" si="6"/>
        <v>2025 Q1</v>
      </c>
      <c r="BH102" s="141" t="str">
        <f t="shared" si="6"/>
        <v>2025 Q2</v>
      </c>
      <c r="BI102" s="141" t="str">
        <f t="shared" si="6"/>
        <v>2025 Q3</v>
      </c>
      <c r="BJ102" s="141" t="str">
        <f t="shared" si="6"/>
        <v>2025 Q4</v>
      </c>
      <c r="BK102" s="141" t="str">
        <f t="shared" si="6"/>
        <v>2025 FY</v>
      </c>
      <c r="BL102" s="141" t="str">
        <f t="shared" si="6"/>
        <v>2026 Q1</v>
      </c>
      <c r="BM102" s="141" t="str">
        <f t="shared" si="6"/>
        <v>2026 Q2</v>
      </c>
      <c r="BN102" s="141" t="str">
        <f t="shared" si="6"/>
        <v>2026 Q3</v>
      </c>
      <c r="BO102" s="141" t="str">
        <f t="shared" si="6"/>
        <v>2026 Q4</v>
      </c>
      <c r="BP102" s="141" t="str">
        <f t="shared" si="6"/>
        <v>2026 FY</v>
      </c>
      <c r="BQ102" s="141" t="str">
        <f t="shared" si="6"/>
        <v>2027 Q1</v>
      </c>
      <c r="BR102" s="141" t="str">
        <f t="shared" si="6"/>
        <v>2027 Q2</v>
      </c>
      <c r="BS102" s="141" t="str">
        <f t="shared" si="6"/>
        <v>2027 Q3</v>
      </c>
      <c r="BT102" s="141" t="str">
        <f t="shared" si="6"/>
        <v>2027 Q4</v>
      </c>
      <c r="BU102" s="141" t="str">
        <f t="shared" si="6"/>
        <v>2027 FY</v>
      </c>
      <c r="BV102" s="141" t="str">
        <f t="shared" si="6"/>
        <v>2028 Q1</v>
      </c>
      <c r="BW102" s="141" t="str">
        <f t="shared" si="6"/>
        <v>2028 Q2</v>
      </c>
      <c r="BX102" s="141" t="str">
        <f t="shared" si="6"/>
        <v>2028 Q3</v>
      </c>
      <c r="BY102" s="141" t="str">
        <f t="shared" si="6"/>
        <v>2028 Q4</v>
      </c>
      <c r="BZ102" s="142" t="str">
        <f t="shared" si="6"/>
        <v>2028 FY</v>
      </c>
    </row>
    <row r="103" spans="1:78" s="114" customFormat="1" ht="14.1" customHeight="1" x14ac:dyDescent="0.2">
      <c r="A103"/>
      <c r="B103"/>
      <c r="C103" s="118"/>
      <c r="R103" s="118"/>
    </row>
    <row r="104" spans="1:78" s="115" customFormat="1" ht="14.1" customHeight="1" x14ac:dyDescent="0.2">
      <c r="A104"/>
      <c r="B104"/>
      <c r="C104" s="114"/>
      <c r="R104" s="161"/>
    </row>
    <row r="105" spans="1:78" s="115" customFormat="1" ht="14.1" customHeight="1" x14ac:dyDescent="0.2">
      <c r="A105"/>
      <c r="B105"/>
      <c r="C105" s="114"/>
      <c r="R105" s="161"/>
    </row>
    <row r="106" spans="1:78" s="115" customFormat="1" ht="14.1" customHeight="1" x14ac:dyDescent="0.2">
      <c r="A106"/>
      <c r="B106"/>
      <c r="C106" s="114"/>
      <c r="R106" s="161"/>
    </row>
    <row r="107" spans="1:78" s="115" customFormat="1" ht="14.1" customHeight="1" x14ac:dyDescent="0.2">
      <c r="A107"/>
      <c r="B107"/>
      <c r="C107" s="114"/>
      <c r="R107" s="161"/>
    </row>
    <row r="108" spans="1:78" s="115" customFormat="1" ht="14.1" customHeight="1" x14ac:dyDescent="0.2">
      <c r="A108"/>
      <c r="B108"/>
      <c r="C108" s="114"/>
      <c r="R108" s="161"/>
    </row>
    <row r="109" spans="1:78" s="115" customFormat="1" ht="14.1" customHeight="1" x14ac:dyDescent="0.2">
      <c r="A109"/>
      <c r="B109"/>
      <c r="C109" s="114"/>
      <c r="R109" s="161"/>
    </row>
    <row r="110" spans="1:78" s="115" customFormat="1" ht="14.1" customHeight="1" x14ac:dyDescent="0.2">
      <c r="A110"/>
      <c r="B110"/>
      <c r="C110" s="114"/>
      <c r="R110" s="161"/>
    </row>
    <row r="111" spans="1:78" s="115" customFormat="1" ht="14.1" customHeight="1" x14ac:dyDescent="0.2">
      <c r="A111"/>
      <c r="B111"/>
      <c r="C111" s="114"/>
      <c r="R111" s="161"/>
    </row>
    <row r="112" spans="1:78" s="115" customFormat="1" ht="14.1" customHeight="1" x14ac:dyDescent="0.2">
      <c r="A112"/>
      <c r="B112"/>
      <c r="C112" s="114"/>
      <c r="R112" s="161"/>
    </row>
    <row r="113" spans="1:18" s="115" customFormat="1" ht="14.1" customHeight="1" x14ac:dyDescent="0.2">
      <c r="A113"/>
      <c r="B113"/>
      <c r="C113" s="114"/>
      <c r="R113" s="161"/>
    </row>
    <row r="114" spans="1:18" s="115" customFormat="1" ht="14.1" customHeight="1" x14ac:dyDescent="0.2">
      <c r="A114"/>
      <c r="B114"/>
      <c r="C114" s="114"/>
      <c r="R114" s="161"/>
    </row>
    <row r="115" spans="1:18" s="115" customFormat="1" ht="14.1" customHeight="1" x14ac:dyDescent="0.2">
      <c r="A115"/>
      <c r="B115"/>
      <c r="C115" s="114"/>
      <c r="R115" s="161"/>
    </row>
    <row r="116" spans="1:18" s="115" customFormat="1" ht="14.1" customHeight="1" x14ac:dyDescent="0.2">
      <c r="A116"/>
      <c r="B116"/>
      <c r="C116" s="114"/>
      <c r="R116" s="161"/>
    </row>
    <row r="117" spans="1:18" s="115" customFormat="1" ht="14.1" customHeight="1" x14ac:dyDescent="0.2">
      <c r="A117"/>
      <c r="B117"/>
      <c r="C117" s="114"/>
      <c r="R117" s="161"/>
    </row>
    <row r="118" spans="1:18" s="114" customFormat="1" ht="14.1" customHeight="1" x14ac:dyDescent="0.2">
      <c r="A118"/>
      <c r="B118"/>
    </row>
    <row r="119" spans="1:18" s="114" customFormat="1" ht="14.1" customHeight="1" x14ac:dyDescent="0.2">
      <c r="A119"/>
      <c r="B119"/>
    </row>
    <row r="120" spans="1:18" s="114" customFormat="1" ht="14.1" customHeight="1" x14ac:dyDescent="0.2">
      <c r="A120"/>
      <c r="B120"/>
    </row>
    <row r="121" spans="1:18" s="114" customFormat="1" ht="14.1" customHeight="1" x14ac:dyDescent="0.2">
      <c r="A121"/>
      <c r="B121"/>
      <c r="C121" s="118"/>
    </row>
    <row r="122" spans="1:18" s="114" customFormat="1" ht="14.1" customHeight="1" x14ac:dyDescent="0.2">
      <c r="A122"/>
      <c r="B122"/>
      <c r="C122" s="172"/>
      <c r="R122" s="172"/>
    </row>
    <row r="123" spans="1:18" s="114" customFormat="1" ht="14.1" customHeight="1" x14ac:dyDescent="0.2">
      <c r="A123"/>
      <c r="B123"/>
      <c r="C123" s="605"/>
      <c r="R123" s="605"/>
    </row>
    <row r="124" spans="1:18" s="114" customFormat="1" ht="14.1" customHeight="1" x14ac:dyDescent="0.2">
      <c r="A124"/>
      <c r="B124"/>
      <c r="C124" s="172"/>
    </row>
    <row r="125" spans="1:18" s="114" customFormat="1" ht="14.1" customHeight="1" x14ac:dyDescent="0.2">
      <c r="A125"/>
      <c r="B125"/>
      <c r="C125" s="172"/>
    </row>
    <row r="126" spans="1:18" s="114" customFormat="1" ht="14.1" customHeight="1" x14ac:dyDescent="0.2">
      <c r="A126"/>
      <c r="B126"/>
    </row>
    <row r="127" spans="1:18" s="114" customFormat="1" ht="14.1" customHeight="1" x14ac:dyDescent="0.2">
      <c r="A127"/>
      <c r="B127"/>
    </row>
    <row r="128" spans="1:18" s="114" customFormat="1" ht="14.1" customHeight="1" x14ac:dyDescent="0.2">
      <c r="A128"/>
      <c r="B128"/>
    </row>
    <row r="129" spans="1:2" s="114" customFormat="1" ht="14.1" customHeight="1" x14ac:dyDescent="0.2">
      <c r="A129"/>
      <c r="B129"/>
    </row>
    <row r="130" spans="1:2" s="114" customFormat="1" ht="14.1" customHeight="1" x14ac:dyDescent="0.2">
      <c r="A130"/>
      <c r="B130"/>
    </row>
    <row r="131" spans="1:2" s="114" customFormat="1" ht="14.1" customHeight="1" x14ac:dyDescent="0.2">
      <c r="A131"/>
      <c r="B131"/>
    </row>
    <row r="132" spans="1:2" s="114" customFormat="1" ht="14.1" customHeight="1" x14ac:dyDescent="0.2">
      <c r="A132"/>
      <c r="B132"/>
    </row>
    <row r="133" spans="1:2" s="114" customFormat="1" ht="14.1" customHeight="1" x14ac:dyDescent="0.2">
      <c r="A133"/>
      <c r="B133"/>
    </row>
    <row r="134" spans="1:2" s="114" customFormat="1" ht="14.1" customHeight="1" x14ac:dyDescent="0.2">
      <c r="A134"/>
      <c r="B134"/>
    </row>
    <row r="135" spans="1:2" s="114" customFormat="1" ht="14.1" customHeight="1" x14ac:dyDescent="0.2">
      <c r="A135"/>
      <c r="B135"/>
    </row>
    <row r="136" spans="1:2" s="114" customFormat="1" ht="14.1" customHeight="1" x14ac:dyDescent="0.2">
      <c r="A136"/>
      <c r="B136"/>
    </row>
  </sheetData>
  <mergeCells count="44">
    <mergeCell ref="BB101:BF101"/>
    <mergeCell ref="BG101:BK101"/>
    <mergeCell ref="BL101:BP101"/>
    <mergeCell ref="BQ101:BU101"/>
    <mergeCell ref="BV101:BZ101"/>
    <mergeCell ref="R99:BA99"/>
    <mergeCell ref="S101:W101"/>
    <mergeCell ref="X101:AB101"/>
    <mergeCell ref="AC101:AG101"/>
    <mergeCell ref="AH101:AL101"/>
    <mergeCell ref="AM101:AQ101"/>
    <mergeCell ref="AR101:AV101"/>
    <mergeCell ref="AW101:BA101"/>
    <mergeCell ref="BB57:BF57"/>
    <mergeCell ref="BG57:BK57"/>
    <mergeCell ref="BL57:BP57"/>
    <mergeCell ref="BQ57:BU57"/>
    <mergeCell ref="BV57:BZ57"/>
    <mergeCell ref="R98:AZ98"/>
    <mergeCell ref="R54:AZ54"/>
    <mergeCell ref="R55:BA55"/>
    <mergeCell ref="S57:W57"/>
    <mergeCell ref="X57:AB57"/>
    <mergeCell ref="AC57:AG57"/>
    <mergeCell ref="AH57:AL57"/>
    <mergeCell ref="AM57:AQ57"/>
    <mergeCell ref="AR57:AV57"/>
    <mergeCell ref="AW57:BA57"/>
    <mergeCell ref="CA5:CE5"/>
    <mergeCell ref="P3:Q7"/>
    <mergeCell ref="R3:AZ3"/>
    <mergeCell ref="R4:BA4"/>
    <mergeCell ref="S5:W5"/>
    <mergeCell ref="X5:AB5"/>
    <mergeCell ref="AC5:AG5"/>
    <mergeCell ref="AH5:AL5"/>
    <mergeCell ref="AM5:AQ5"/>
    <mergeCell ref="AR5:AV5"/>
    <mergeCell ref="AW5:BA5"/>
    <mergeCell ref="BB5:BF5"/>
    <mergeCell ref="BG5:BK5"/>
    <mergeCell ref="BL5:BP5"/>
    <mergeCell ref="BQ5:BU5"/>
    <mergeCell ref="BV5:BZ5"/>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B3F9B-7D89-43D8-AA53-3B7B6B61E1CA}">
  <dimension ref="C1:X978"/>
  <sheetViews>
    <sheetView showGridLines="0" topLeftCell="L1" workbookViewId="0">
      <selection activeCell="S57" sqref="S57"/>
    </sheetView>
  </sheetViews>
  <sheetFormatPr defaultRowHeight="15" x14ac:dyDescent="0.2"/>
  <cols>
    <col min="1" max="1" width="0.8046875" customWidth="1"/>
    <col min="2" max="2" width="1.4765625" customWidth="1"/>
    <col min="3" max="3" width="17.08203125" bestFit="1" customWidth="1"/>
    <col min="4" max="4" width="7.26171875" customWidth="1"/>
    <col min="5" max="5" width="26.36328125" bestFit="1" customWidth="1"/>
    <col min="6" max="6" width="6.1875" customWidth="1"/>
    <col min="13" max="13" width="9.14453125" bestFit="1" customWidth="1"/>
    <col min="21" max="21" width="15.46875" bestFit="1" customWidth="1"/>
    <col min="22" max="22" width="21.38671875" bestFit="1" customWidth="1"/>
  </cols>
  <sheetData>
    <row r="1" spans="3:24" x14ac:dyDescent="0.2">
      <c r="C1" s="224" t="s">
        <v>219</v>
      </c>
      <c r="E1" s="224" t="s">
        <v>222</v>
      </c>
      <c r="H1" s="224" t="s">
        <v>218</v>
      </c>
      <c r="M1" s="224" t="s">
        <v>223</v>
      </c>
    </row>
    <row r="2" spans="3:24" x14ac:dyDescent="0.2">
      <c r="C2" t="s">
        <v>224</v>
      </c>
      <c r="D2" t="s">
        <v>233</v>
      </c>
      <c r="E2" t="s">
        <v>224</v>
      </c>
      <c r="F2" t="s">
        <v>233</v>
      </c>
      <c r="H2" t="s">
        <v>224</v>
      </c>
      <c r="I2" t="s">
        <v>225</v>
      </c>
      <c r="M2" t="s">
        <v>224</v>
      </c>
      <c r="N2" t="s">
        <v>236</v>
      </c>
    </row>
    <row r="3" spans="3:24" x14ac:dyDescent="0.2">
      <c r="C3" t="s">
        <v>226</v>
      </c>
      <c r="D3" t="s">
        <v>227</v>
      </c>
      <c r="E3" t="s">
        <v>226</v>
      </c>
      <c r="F3" t="s">
        <v>227</v>
      </c>
      <c r="H3" t="s">
        <v>226</v>
      </c>
      <c r="I3" t="s">
        <v>227</v>
      </c>
      <c r="M3" t="s">
        <v>226</v>
      </c>
      <c r="N3" t="s">
        <v>227</v>
      </c>
    </row>
    <row r="4" spans="3:24" x14ac:dyDescent="0.2">
      <c r="C4" s="225">
        <v>32874</v>
      </c>
      <c r="D4" t="s">
        <v>234</v>
      </c>
      <c r="E4" s="225">
        <v>32874</v>
      </c>
      <c r="F4" t="s">
        <v>234</v>
      </c>
      <c r="H4" s="225">
        <v>36526</v>
      </c>
      <c r="I4" t="s">
        <v>228</v>
      </c>
      <c r="M4" s="225">
        <v>7275</v>
      </c>
      <c r="N4" t="s">
        <v>237</v>
      </c>
    </row>
    <row r="5" spans="3:24" x14ac:dyDescent="0.2">
      <c r="C5" t="s">
        <v>221</v>
      </c>
      <c r="E5" t="s">
        <v>220</v>
      </c>
      <c r="H5" t="s">
        <v>229</v>
      </c>
      <c r="M5" t="s">
        <v>238</v>
      </c>
    </row>
    <row r="6" spans="3:24" x14ac:dyDescent="0.2">
      <c r="C6" t="s">
        <v>235</v>
      </c>
      <c r="E6" t="s">
        <v>235</v>
      </c>
      <c r="H6" t="s">
        <v>230</v>
      </c>
      <c r="M6" t="s">
        <v>239</v>
      </c>
      <c r="U6" s="6" t="s">
        <v>304</v>
      </c>
    </row>
    <row r="7" spans="3:24" x14ac:dyDescent="0.2">
      <c r="C7" t="s">
        <v>231</v>
      </c>
      <c r="D7" t="s">
        <v>232</v>
      </c>
      <c r="E7" t="s">
        <v>231</v>
      </c>
      <c r="F7" t="s">
        <v>232</v>
      </c>
      <c r="H7" t="s">
        <v>231</v>
      </c>
      <c r="I7" t="s">
        <v>232</v>
      </c>
      <c r="M7" t="s">
        <v>231</v>
      </c>
      <c r="N7" t="s">
        <v>232</v>
      </c>
      <c r="R7" t="s">
        <v>312</v>
      </c>
      <c r="U7" s="309" t="s">
        <v>302</v>
      </c>
      <c r="V7" s="309" t="s">
        <v>303</v>
      </c>
      <c r="W7" t="str">
        <f>U7</f>
        <v>observation_date</v>
      </c>
      <c r="X7" t="str">
        <f>V7</f>
        <v>PCU4869104869101_PCH</v>
      </c>
    </row>
    <row r="8" spans="3:24" x14ac:dyDescent="0.2">
      <c r="C8" s="225">
        <v>32874</v>
      </c>
      <c r="D8">
        <v>1</v>
      </c>
      <c r="E8" s="225">
        <v>32874</v>
      </c>
      <c r="F8">
        <v>1</v>
      </c>
      <c r="H8" s="225">
        <v>36526</v>
      </c>
      <c r="I8">
        <v>80</v>
      </c>
      <c r="M8" s="225">
        <v>36495</v>
      </c>
      <c r="N8">
        <v>91.478399999999993</v>
      </c>
      <c r="R8" t="s">
        <v>305</v>
      </c>
      <c r="S8" s="308">
        <v>-1.1876500000000002E-2</v>
      </c>
      <c r="U8" s="224" t="s">
        <v>267</v>
      </c>
      <c r="V8" s="310">
        <v>3.5122999999999999E-3</v>
      </c>
      <c r="W8" t="s">
        <v>267</v>
      </c>
      <c r="X8" s="308">
        <v>1.0035000000000001E-3</v>
      </c>
    </row>
    <row r="9" spans="3:24" x14ac:dyDescent="0.2">
      <c r="C9" s="225">
        <v>32905</v>
      </c>
      <c r="D9">
        <v>0.999</v>
      </c>
      <c r="E9" s="225">
        <v>32905</v>
      </c>
      <c r="F9">
        <v>1.0089999999999999</v>
      </c>
      <c r="H9" s="225">
        <v>36557</v>
      </c>
      <c r="I9">
        <v>78.2</v>
      </c>
      <c r="M9" s="225">
        <v>36526</v>
      </c>
      <c r="N9">
        <v>91.409199999999998</v>
      </c>
      <c r="R9" t="s">
        <v>306</v>
      </c>
      <c r="S9" s="308">
        <v>8.0130000000000002E-4</v>
      </c>
      <c r="U9" s="224" t="s">
        <v>268</v>
      </c>
      <c r="V9" s="310">
        <v>2E-3</v>
      </c>
      <c r="W9" t="s">
        <v>271</v>
      </c>
      <c r="X9" s="308">
        <v>1.40351E-2</v>
      </c>
    </row>
    <row r="10" spans="3:24" x14ac:dyDescent="0.2">
      <c r="C10" s="225">
        <v>32933</v>
      </c>
      <c r="D10">
        <v>1</v>
      </c>
      <c r="E10" s="225">
        <v>32933</v>
      </c>
      <c r="F10">
        <v>1.0209999999999999</v>
      </c>
      <c r="H10" s="225">
        <v>36586</v>
      </c>
      <c r="I10">
        <v>74.7</v>
      </c>
      <c r="M10" s="225">
        <v>36557</v>
      </c>
      <c r="N10">
        <v>91.724500000000006</v>
      </c>
      <c r="R10" t="s">
        <v>307</v>
      </c>
      <c r="S10" s="308">
        <v>-1.0408299999999999E-2</v>
      </c>
      <c r="U10" s="224" t="s">
        <v>269</v>
      </c>
      <c r="V10" s="310">
        <v>-3.9919999999999999E-3</v>
      </c>
      <c r="W10" t="s">
        <v>275</v>
      </c>
      <c r="X10" s="308">
        <v>2.4221499999999997E-2</v>
      </c>
    </row>
    <row r="11" spans="3:24" x14ac:dyDescent="0.2">
      <c r="C11" s="225">
        <v>32964</v>
      </c>
      <c r="D11">
        <v>0.97899999999999998</v>
      </c>
      <c r="E11" s="225">
        <v>32964</v>
      </c>
      <c r="F11">
        <v>0.98199999999999998</v>
      </c>
      <c r="H11" s="225">
        <v>36617</v>
      </c>
      <c r="I11">
        <v>72.599999999999994</v>
      </c>
      <c r="M11" s="225">
        <v>36586</v>
      </c>
      <c r="N11">
        <v>92.082999999999998</v>
      </c>
      <c r="R11" t="s">
        <v>308</v>
      </c>
      <c r="S11" s="308">
        <v>-8.0909999999999999E-4</v>
      </c>
      <c r="U11" s="224" t="s">
        <v>270</v>
      </c>
      <c r="V11" s="310">
        <v>-5.0100000000000003E-4</v>
      </c>
      <c r="W11" t="s">
        <v>279</v>
      </c>
      <c r="X11" s="308">
        <v>4.05405E-2</v>
      </c>
    </row>
    <row r="12" spans="3:24" x14ac:dyDescent="0.2">
      <c r="C12" s="225">
        <v>32994</v>
      </c>
      <c r="D12">
        <v>0.97299999999999998</v>
      </c>
      <c r="E12" s="225">
        <v>32994</v>
      </c>
      <c r="F12">
        <v>0.96499999999999997</v>
      </c>
      <c r="H12" s="225">
        <v>36647</v>
      </c>
      <c r="I12">
        <v>73.2</v>
      </c>
      <c r="M12" s="225">
        <v>36617</v>
      </c>
      <c r="N12">
        <v>92.665899999999993</v>
      </c>
      <c r="R12" t="s">
        <v>309</v>
      </c>
      <c r="S12" s="308">
        <v>-2.1862300000000001E-2</v>
      </c>
      <c r="U12" s="224" t="s">
        <v>271</v>
      </c>
      <c r="V12" s="310">
        <v>6.0150000000000004E-3</v>
      </c>
      <c r="W12" t="s">
        <v>283</v>
      </c>
      <c r="X12" s="308">
        <v>2.2727300000000002E-2</v>
      </c>
    </row>
    <row r="13" spans="3:24" x14ac:dyDescent="0.2">
      <c r="C13" s="225">
        <v>33025</v>
      </c>
      <c r="D13" s="3">
        <v>0.96599999999999997</v>
      </c>
      <c r="E13" s="226">
        <v>33025</v>
      </c>
      <c r="F13" s="3">
        <v>0.97699999999999998</v>
      </c>
      <c r="H13" s="225">
        <v>36678</v>
      </c>
      <c r="I13">
        <v>75.099999999999994</v>
      </c>
      <c r="M13" s="225">
        <v>36647</v>
      </c>
      <c r="N13">
        <v>92.934700000000007</v>
      </c>
      <c r="R13" t="s">
        <v>310</v>
      </c>
      <c r="S13" s="308">
        <v>-3.3112999999999997E-3</v>
      </c>
      <c r="U13" s="224" t="s">
        <v>272</v>
      </c>
      <c r="V13" s="310">
        <v>0</v>
      </c>
      <c r="W13" t="s">
        <v>287</v>
      </c>
      <c r="X13" s="308">
        <v>6.0226999999999998E-3</v>
      </c>
    </row>
    <row r="14" spans="3:24" x14ac:dyDescent="0.2">
      <c r="C14" s="225">
        <v>33055</v>
      </c>
      <c r="D14">
        <v>0.93300000000000005</v>
      </c>
      <c r="E14" s="225">
        <v>33055</v>
      </c>
      <c r="F14">
        <v>0.93799999999999994</v>
      </c>
      <c r="H14" s="225">
        <v>36708</v>
      </c>
      <c r="I14">
        <v>72.900000000000006</v>
      </c>
      <c r="M14" s="225">
        <v>36678</v>
      </c>
      <c r="N14">
        <v>93.001800000000003</v>
      </c>
      <c r="U14" s="224" t="s">
        <v>273</v>
      </c>
      <c r="V14" s="310">
        <v>7.4738000000000001E-3</v>
      </c>
      <c r="W14" t="s">
        <v>291</v>
      </c>
      <c r="X14" s="308">
        <v>7.8285900000000005E-2</v>
      </c>
    </row>
    <row r="15" spans="3:24" x14ac:dyDescent="0.2">
      <c r="C15" s="225">
        <v>33086</v>
      </c>
      <c r="D15">
        <v>0.98099999999999998</v>
      </c>
      <c r="E15" s="225">
        <v>33086</v>
      </c>
      <c r="F15">
        <v>0.93300000000000005</v>
      </c>
      <c r="H15" s="225">
        <v>36739</v>
      </c>
      <c r="I15">
        <v>74.7</v>
      </c>
      <c r="M15" s="225">
        <v>36708</v>
      </c>
      <c r="N15">
        <v>92.837299999999999</v>
      </c>
      <c r="R15" t="s">
        <v>267</v>
      </c>
      <c r="S15" s="308">
        <v>7.4751000000000001E-3</v>
      </c>
      <c r="U15" s="224" t="s">
        <v>274</v>
      </c>
      <c r="V15" s="310">
        <v>4.9459999999999999E-4</v>
      </c>
      <c r="W15" t="s">
        <v>295</v>
      </c>
      <c r="X15" s="308">
        <v>0.1122771</v>
      </c>
    </row>
    <row r="16" spans="3:24" x14ac:dyDescent="0.2">
      <c r="C16" s="225">
        <v>33117</v>
      </c>
      <c r="D16">
        <v>0.996</v>
      </c>
      <c r="E16" s="225">
        <v>33117</v>
      </c>
      <c r="F16">
        <v>1.01</v>
      </c>
      <c r="H16" s="225">
        <v>36770</v>
      </c>
      <c r="I16">
        <v>74.099999999999994</v>
      </c>
      <c r="M16" s="225">
        <v>36739</v>
      </c>
      <c r="N16">
        <v>92.590999999999994</v>
      </c>
      <c r="R16" t="s">
        <v>268</v>
      </c>
      <c r="S16" s="308">
        <v>-8.2439999999999998E-4</v>
      </c>
    </row>
    <row r="17" spans="3:22" x14ac:dyDescent="0.2">
      <c r="C17" s="225">
        <v>33147</v>
      </c>
      <c r="D17">
        <v>1.0049999999999999</v>
      </c>
      <c r="E17" s="225">
        <v>33147</v>
      </c>
      <c r="F17">
        <v>1.0289999999999999</v>
      </c>
      <c r="H17" s="225">
        <v>36800</v>
      </c>
      <c r="I17">
        <v>74.2</v>
      </c>
      <c r="M17" s="225">
        <v>36770</v>
      </c>
      <c r="N17">
        <v>92.982699999999994</v>
      </c>
      <c r="R17" t="s">
        <v>269</v>
      </c>
      <c r="S17" s="308">
        <v>-1.6501699999999998E-2</v>
      </c>
      <c r="U17" s="224" t="s">
        <v>275</v>
      </c>
      <c r="V17" s="310">
        <v>1.4829000000000001E-3</v>
      </c>
    </row>
    <row r="18" spans="3:22" x14ac:dyDescent="0.2">
      <c r="C18" s="225">
        <v>33178</v>
      </c>
      <c r="D18">
        <v>1.004</v>
      </c>
      <c r="E18" s="225">
        <v>33178</v>
      </c>
      <c r="F18">
        <v>1.0469999999999999</v>
      </c>
      <c r="H18" s="225">
        <v>36831</v>
      </c>
      <c r="I18">
        <v>74.8</v>
      </c>
      <c r="M18" s="225">
        <v>36800</v>
      </c>
      <c r="N18">
        <v>92.64</v>
      </c>
      <c r="R18" t="s">
        <v>270</v>
      </c>
      <c r="S18" s="308">
        <v>2.4328900000000001E-2</v>
      </c>
      <c r="U18" s="224" t="s">
        <v>276</v>
      </c>
      <c r="V18" s="310">
        <v>0</v>
      </c>
    </row>
    <row r="19" spans="3:22" x14ac:dyDescent="0.2">
      <c r="C19" s="225">
        <v>33208</v>
      </c>
      <c r="D19">
        <v>0.92700000000000005</v>
      </c>
      <c r="E19" s="225">
        <v>33208</v>
      </c>
      <c r="F19">
        <v>0.97399999999999998</v>
      </c>
      <c r="H19" s="225">
        <v>36861</v>
      </c>
      <c r="I19">
        <v>74.2</v>
      </c>
      <c r="M19" s="225">
        <v>36831</v>
      </c>
      <c r="N19">
        <v>92.660399999999996</v>
      </c>
      <c r="U19" s="224" t="s">
        <v>277</v>
      </c>
      <c r="V19" s="310">
        <v>2.22113E-2</v>
      </c>
    </row>
    <row r="20" spans="3:22" x14ac:dyDescent="0.2">
      <c r="C20" s="225">
        <v>33239</v>
      </c>
      <c r="D20">
        <v>0.89700000000000002</v>
      </c>
      <c r="E20" s="225">
        <v>33239</v>
      </c>
      <c r="F20">
        <v>0.95899999999999996</v>
      </c>
      <c r="H20" s="225">
        <v>36892</v>
      </c>
      <c r="I20">
        <v>74.599999999999994</v>
      </c>
      <c r="M20" s="225">
        <v>36861</v>
      </c>
      <c r="N20">
        <v>92.345699999999994</v>
      </c>
      <c r="R20" t="s">
        <v>271</v>
      </c>
      <c r="S20" s="308">
        <v>0</v>
      </c>
      <c r="U20" s="224" t="s">
        <v>278</v>
      </c>
      <c r="V20" s="310">
        <v>4.8289999999999997E-4</v>
      </c>
    </row>
    <row r="21" spans="3:22" x14ac:dyDescent="0.2">
      <c r="C21" s="225">
        <v>33270</v>
      </c>
      <c r="D21">
        <v>0.91300000000000003</v>
      </c>
      <c r="E21" s="225">
        <v>33270</v>
      </c>
      <c r="F21">
        <v>0.94599999999999995</v>
      </c>
      <c r="H21" s="225">
        <v>36923</v>
      </c>
      <c r="I21">
        <v>74.5</v>
      </c>
      <c r="M21" s="225">
        <v>36892</v>
      </c>
      <c r="N21">
        <v>91.890799999999999</v>
      </c>
      <c r="R21" t="s">
        <v>272</v>
      </c>
      <c r="S21" s="308">
        <v>1.0647E-2</v>
      </c>
    </row>
    <row r="22" spans="3:22" x14ac:dyDescent="0.2">
      <c r="C22" s="225">
        <v>33298</v>
      </c>
      <c r="D22">
        <v>0.93200000000000005</v>
      </c>
      <c r="E22" s="225">
        <v>33298</v>
      </c>
      <c r="F22">
        <v>0.97</v>
      </c>
      <c r="H22" s="225">
        <v>36951</v>
      </c>
      <c r="I22">
        <v>74.8</v>
      </c>
      <c r="M22" s="225">
        <v>36923</v>
      </c>
      <c r="N22">
        <v>91.2851</v>
      </c>
      <c r="R22" t="s">
        <v>273</v>
      </c>
      <c r="S22" s="308">
        <v>-6.483E-3</v>
      </c>
      <c r="U22" s="224" t="s">
        <v>279</v>
      </c>
      <c r="V22" s="310">
        <v>1.4479E-3</v>
      </c>
    </row>
    <row r="23" spans="3:22" x14ac:dyDescent="0.2">
      <c r="C23" s="225">
        <v>33329</v>
      </c>
      <c r="D23">
        <v>0.93300000000000005</v>
      </c>
      <c r="E23" s="225">
        <v>33329</v>
      </c>
      <c r="F23">
        <v>0.94699999999999995</v>
      </c>
      <c r="H23" s="225">
        <v>36982</v>
      </c>
      <c r="I23">
        <v>73.400000000000006</v>
      </c>
      <c r="M23" s="225">
        <v>36951</v>
      </c>
      <c r="N23">
        <v>91.058499999999995</v>
      </c>
      <c r="R23" t="s">
        <v>274</v>
      </c>
      <c r="S23" s="308">
        <v>1.38662E-2</v>
      </c>
      <c r="U23" s="224" t="s">
        <v>280</v>
      </c>
      <c r="V23" s="310">
        <v>0</v>
      </c>
    </row>
    <row r="24" spans="3:22" x14ac:dyDescent="0.2">
      <c r="C24" s="225">
        <v>33359</v>
      </c>
      <c r="D24">
        <v>0.90800000000000003</v>
      </c>
      <c r="E24" s="225">
        <v>33359</v>
      </c>
      <c r="F24">
        <v>0.92</v>
      </c>
      <c r="H24" s="225">
        <v>37012</v>
      </c>
      <c r="I24">
        <v>75.5</v>
      </c>
      <c r="M24" s="225">
        <v>36982</v>
      </c>
      <c r="N24">
        <v>90.738399999999999</v>
      </c>
      <c r="S24" s="317">
        <v>1.8017999999999999E-2</v>
      </c>
      <c r="U24" s="224" t="s">
        <v>281</v>
      </c>
      <c r="V24" s="310">
        <v>3.9036099999999997E-2</v>
      </c>
    </row>
    <row r="25" spans="3:22" x14ac:dyDescent="0.2">
      <c r="C25" s="225">
        <v>33390</v>
      </c>
      <c r="D25">
        <v>0.92700000000000005</v>
      </c>
      <c r="E25" s="225">
        <v>33390</v>
      </c>
      <c r="F25">
        <v>0.94899999999999995</v>
      </c>
      <c r="H25" s="225">
        <v>37043</v>
      </c>
      <c r="I25">
        <v>74.5</v>
      </c>
      <c r="M25" s="225">
        <v>37012</v>
      </c>
      <c r="N25">
        <v>90.2607</v>
      </c>
      <c r="R25" t="s">
        <v>275</v>
      </c>
      <c r="S25" s="308">
        <v>2.4135200000000002E-2</v>
      </c>
      <c r="U25" s="224" t="s">
        <v>282</v>
      </c>
      <c r="V25" s="310">
        <v>0</v>
      </c>
    </row>
    <row r="26" spans="3:22" x14ac:dyDescent="0.2">
      <c r="C26" s="225">
        <v>33420</v>
      </c>
      <c r="D26">
        <v>0.89600000000000002</v>
      </c>
      <c r="E26" s="225">
        <v>33420</v>
      </c>
      <c r="F26">
        <v>0.91600000000000004</v>
      </c>
      <c r="H26" s="225">
        <v>37073</v>
      </c>
      <c r="I26">
        <v>74.400000000000006</v>
      </c>
      <c r="M26" s="225">
        <v>37043</v>
      </c>
      <c r="N26">
        <v>89.781099999999995</v>
      </c>
      <c r="R26" t="s">
        <v>276</v>
      </c>
      <c r="S26" s="308">
        <v>1.6496500000000001E-2</v>
      </c>
    </row>
    <row r="27" spans="3:22" x14ac:dyDescent="0.2">
      <c r="C27" s="225">
        <v>33451</v>
      </c>
      <c r="D27">
        <v>0.89300000000000002</v>
      </c>
      <c r="E27" s="225">
        <v>33451</v>
      </c>
      <c r="F27">
        <v>0.90600000000000003</v>
      </c>
      <c r="H27" s="225">
        <v>37104</v>
      </c>
      <c r="I27">
        <v>75.2</v>
      </c>
      <c r="M27" s="225">
        <v>37073</v>
      </c>
      <c r="N27">
        <v>89.235200000000006</v>
      </c>
      <c r="R27" t="s">
        <v>277</v>
      </c>
      <c r="S27" s="308">
        <v>1.5456000000000001E-3</v>
      </c>
      <c r="U27" s="224" t="s">
        <v>283</v>
      </c>
      <c r="V27" s="310">
        <v>4.6382000000000003E-3</v>
      </c>
    </row>
    <row r="28" spans="3:22" x14ac:dyDescent="0.2">
      <c r="C28" s="225">
        <v>33482</v>
      </c>
      <c r="D28">
        <v>0.92500000000000004</v>
      </c>
      <c r="E28" s="225">
        <v>33482</v>
      </c>
      <c r="F28">
        <v>0.94199999999999995</v>
      </c>
      <c r="H28" s="225">
        <v>37135</v>
      </c>
      <c r="I28">
        <v>74.400000000000006</v>
      </c>
      <c r="M28" s="225">
        <v>37104</v>
      </c>
      <c r="N28">
        <v>89.156999999999996</v>
      </c>
      <c r="R28" t="s">
        <v>278</v>
      </c>
      <c r="S28" s="308">
        <v>1.6975299999999999E-2</v>
      </c>
      <c r="U28" s="224" t="s">
        <v>284</v>
      </c>
      <c r="V28" s="310">
        <v>0</v>
      </c>
    </row>
    <row r="29" spans="3:22" x14ac:dyDescent="0.2">
      <c r="C29" s="225">
        <v>33512</v>
      </c>
      <c r="D29">
        <v>0.93600000000000005</v>
      </c>
      <c r="E29" s="225">
        <v>33512</v>
      </c>
      <c r="F29">
        <v>0.94899999999999995</v>
      </c>
      <c r="H29" s="225">
        <v>37165</v>
      </c>
      <c r="I29">
        <v>74.599999999999994</v>
      </c>
      <c r="M29" s="225">
        <v>37135</v>
      </c>
      <c r="N29">
        <v>88.674899999999994</v>
      </c>
      <c r="S29">
        <v>6.03379E-2</v>
      </c>
      <c r="U29" s="224" t="s">
        <v>285</v>
      </c>
      <c r="V29" s="310">
        <v>1.8005500000000001E-2</v>
      </c>
    </row>
    <row r="30" spans="3:22" x14ac:dyDescent="0.2">
      <c r="C30" s="225">
        <v>33543</v>
      </c>
      <c r="D30">
        <v>0.92</v>
      </c>
      <c r="E30" s="225">
        <v>33543</v>
      </c>
      <c r="F30">
        <v>0.93400000000000005</v>
      </c>
      <c r="H30" s="225">
        <v>37196</v>
      </c>
      <c r="I30">
        <v>74.599999999999994</v>
      </c>
      <c r="M30" s="225">
        <v>37165</v>
      </c>
      <c r="N30">
        <v>88.405100000000004</v>
      </c>
      <c r="R30" t="s">
        <v>279</v>
      </c>
      <c r="S30" s="308">
        <v>-1.5175E-3</v>
      </c>
      <c r="U30" s="224" t="s">
        <v>286</v>
      </c>
      <c r="V30" s="310">
        <v>0</v>
      </c>
    </row>
    <row r="31" spans="3:22" x14ac:dyDescent="0.2">
      <c r="C31" s="225">
        <v>33573</v>
      </c>
      <c r="D31">
        <v>0.89800000000000002</v>
      </c>
      <c r="E31" s="225">
        <v>33573</v>
      </c>
      <c r="F31">
        <v>0.89700000000000002</v>
      </c>
      <c r="H31" s="225">
        <v>37226</v>
      </c>
      <c r="I31">
        <v>74.3</v>
      </c>
      <c r="M31" s="225">
        <v>37196</v>
      </c>
      <c r="N31">
        <v>87.885999999999996</v>
      </c>
      <c r="R31" t="s">
        <v>280</v>
      </c>
      <c r="S31" s="308">
        <v>1.21581E-2</v>
      </c>
    </row>
    <row r="32" spans="3:22" x14ac:dyDescent="0.2">
      <c r="C32" s="225">
        <v>33604</v>
      </c>
      <c r="D32">
        <v>0.877</v>
      </c>
      <c r="E32" s="225">
        <v>33604</v>
      </c>
      <c r="F32">
        <v>0.90900000000000003</v>
      </c>
      <c r="H32" s="225">
        <v>37257</v>
      </c>
      <c r="I32">
        <v>75.2</v>
      </c>
      <c r="M32" s="225">
        <v>37226</v>
      </c>
      <c r="N32">
        <v>87.851799999999997</v>
      </c>
      <c r="R32" t="s">
        <v>281</v>
      </c>
      <c r="S32" s="308">
        <v>-1.4264300000000001E-2</v>
      </c>
      <c r="U32" s="224" t="s">
        <v>287</v>
      </c>
      <c r="V32" s="310">
        <v>4.5351000000000002E-3</v>
      </c>
    </row>
    <row r="33" spans="3:22" x14ac:dyDescent="0.2">
      <c r="C33" s="225">
        <v>33635</v>
      </c>
      <c r="D33">
        <v>0.92800000000000005</v>
      </c>
      <c r="E33" s="225">
        <v>33635</v>
      </c>
      <c r="F33">
        <v>0.94</v>
      </c>
      <c r="H33" s="225">
        <v>37288</v>
      </c>
      <c r="I33">
        <v>76.2</v>
      </c>
      <c r="M33" s="225">
        <v>37257</v>
      </c>
      <c r="N33">
        <v>88.463399999999993</v>
      </c>
      <c r="R33" t="s">
        <v>282</v>
      </c>
      <c r="S33" s="308">
        <v>2.66565E-2</v>
      </c>
      <c r="U33" s="224" t="s">
        <v>288</v>
      </c>
      <c r="V33" s="310">
        <v>9.0289999999999999E-4</v>
      </c>
    </row>
    <row r="34" spans="3:22" x14ac:dyDescent="0.2">
      <c r="C34" s="225">
        <v>33664</v>
      </c>
      <c r="D34">
        <v>0.92300000000000004</v>
      </c>
      <c r="E34" s="225">
        <v>33664</v>
      </c>
      <c r="F34">
        <v>0.93700000000000006</v>
      </c>
      <c r="H34" s="225">
        <v>37316</v>
      </c>
      <c r="I34">
        <v>75.599999999999994</v>
      </c>
      <c r="M34" s="225">
        <v>37288</v>
      </c>
      <c r="N34">
        <v>88.457800000000006</v>
      </c>
      <c r="S34">
        <v>2.2761800000000002E-2</v>
      </c>
      <c r="U34" s="224" t="s">
        <v>289</v>
      </c>
      <c r="V34" s="310">
        <v>6.0440000000000005E-4</v>
      </c>
    </row>
    <row r="35" spans="3:22" x14ac:dyDescent="0.2">
      <c r="C35" s="225">
        <v>33695</v>
      </c>
      <c r="D35">
        <v>0.91800000000000004</v>
      </c>
      <c r="E35" s="225">
        <v>33695</v>
      </c>
      <c r="F35">
        <v>0.93700000000000006</v>
      </c>
      <c r="H35" s="225">
        <v>37347</v>
      </c>
      <c r="I35">
        <v>75.900000000000006</v>
      </c>
      <c r="M35" s="225">
        <v>37316</v>
      </c>
      <c r="N35">
        <v>89.126499999999993</v>
      </c>
      <c r="R35" t="s">
        <v>283</v>
      </c>
      <c r="S35" s="308">
        <v>-4.0059299999999999E-2</v>
      </c>
      <c r="U35" s="224" t="s">
        <v>290</v>
      </c>
      <c r="V35" s="310">
        <v>-2.7000000000000002E-5</v>
      </c>
    </row>
    <row r="36" spans="3:22" x14ac:dyDescent="0.2">
      <c r="C36" s="225">
        <v>33725</v>
      </c>
      <c r="D36">
        <v>0.873</v>
      </c>
      <c r="E36" s="225">
        <v>33725</v>
      </c>
      <c r="F36">
        <v>0.91200000000000003</v>
      </c>
      <c r="H36" s="225">
        <v>37377</v>
      </c>
      <c r="I36">
        <v>77.2</v>
      </c>
      <c r="M36" s="225">
        <v>37347</v>
      </c>
      <c r="N36">
        <v>89.550700000000006</v>
      </c>
      <c r="R36" t="s">
        <v>284</v>
      </c>
      <c r="S36" s="308">
        <v>-1.00464E-2</v>
      </c>
    </row>
    <row r="37" spans="3:22" x14ac:dyDescent="0.2">
      <c r="C37" s="225">
        <v>33756</v>
      </c>
      <c r="D37">
        <v>0.90100000000000002</v>
      </c>
      <c r="E37" s="225">
        <v>33756</v>
      </c>
      <c r="F37">
        <v>0.93</v>
      </c>
      <c r="H37" s="225">
        <v>37408</v>
      </c>
      <c r="I37">
        <v>77</v>
      </c>
      <c r="M37" s="225">
        <v>37377</v>
      </c>
      <c r="N37">
        <v>89.934799999999996</v>
      </c>
      <c r="R37" t="s">
        <v>285</v>
      </c>
      <c r="S37" s="308">
        <v>-1.7954700000000001E-2</v>
      </c>
      <c r="U37" s="224" t="s">
        <v>291</v>
      </c>
      <c r="V37" s="310">
        <v>4.1923999999999998E-3</v>
      </c>
    </row>
    <row r="38" spans="3:22" x14ac:dyDescent="0.2">
      <c r="C38" s="225">
        <v>33786</v>
      </c>
      <c r="D38">
        <v>0.85599999999999998</v>
      </c>
      <c r="E38" s="225">
        <v>33786</v>
      </c>
      <c r="F38">
        <v>0.89600000000000002</v>
      </c>
      <c r="H38" s="225">
        <v>37438</v>
      </c>
      <c r="I38">
        <v>78.400000000000006</v>
      </c>
      <c r="M38" s="225">
        <v>37408</v>
      </c>
      <c r="N38">
        <v>90.673599999999993</v>
      </c>
      <c r="R38" t="s">
        <v>286</v>
      </c>
      <c r="S38" s="308">
        <v>1.27186E-2</v>
      </c>
      <c r="U38" s="224" t="s">
        <v>292</v>
      </c>
      <c r="V38" s="310">
        <v>-1.2030999999999999E-3</v>
      </c>
    </row>
    <row r="39" spans="3:22" x14ac:dyDescent="0.2">
      <c r="C39" s="225">
        <v>33817</v>
      </c>
      <c r="D39">
        <v>0.89700000000000002</v>
      </c>
      <c r="E39" s="225">
        <v>33817</v>
      </c>
      <c r="F39">
        <v>0.93600000000000005</v>
      </c>
      <c r="H39" s="225">
        <v>37469</v>
      </c>
      <c r="I39">
        <v>78.3</v>
      </c>
      <c r="M39" s="225">
        <v>37438</v>
      </c>
      <c r="N39">
        <v>90.643600000000006</v>
      </c>
      <c r="S39">
        <v>-5.4896099999999996E-2</v>
      </c>
      <c r="U39" s="224" t="s">
        <v>293</v>
      </c>
      <c r="V39" s="310">
        <v>7.3257199999999995E-2</v>
      </c>
    </row>
    <row r="40" spans="3:22" x14ac:dyDescent="0.2">
      <c r="C40" s="225">
        <v>33848</v>
      </c>
      <c r="D40">
        <v>0.90500000000000003</v>
      </c>
      <c r="E40" s="225">
        <v>33848</v>
      </c>
      <c r="F40">
        <v>0.95299999999999996</v>
      </c>
      <c r="H40" s="225">
        <v>37500</v>
      </c>
      <c r="I40">
        <v>79.099999999999994</v>
      </c>
      <c r="M40" s="225">
        <v>37469</v>
      </c>
      <c r="N40">
        <v>90.5505</v>
      </c>
      <c r="R40" t="s">
        <v>287</v>
      </c>
      <c r="S40" s="308">
        <v>3.2182099999999998E-2</v>
      </c>
      <c r="U40" s="224" t="s">
        <v>294</v>
      </c>
      <c r="V40" s="310">
        <v>1.6961000000000001E-3</v>
      </c>
    </row>
    <row r="41" spans="3:22" x14ac:dyDescent="0.2">
      <c r="C41" s="225">
        <v>33878</v>
      </c>
      <c r="D41">
        <v>0.92800000000000005</v>
      </c>
      <c r="E41" s="225">
        <v>33878</v>
      </c>
      <c r="F41">
        <v>0.98</v>
      </c>
      <c r="H41" s="225">
        <v>37530</v>
      </c>
      <c r="I41">
        <v>79.099999999999994</v>
      </c>
      <c r="M41" s="225">
        <v>37500</v>
      </c>
      <c r="N41">
        <v>90.637299999999996</v>
      </c>
      <c r="R41" t="s">
        <v>288</v>
      </c>
      <c r="S41" s="308">
        <v>6.3117900000000005E-2</v>
      </c>
    </row>
    <row r="42" spans="3:22" x14ac:dyDescent="0.2">
      <c r="C42" s="225">
        <v>33909</v>
      </c>
      <c r="D42">
        <v>0.93200000000000005</v>
      </c>
      <c r="E42" s="225">
        <v>33909</v>
      </c>
      <c r="F42">
        <v>0.98099999999999998</v>
      </c>
      <c r="H42" s="225">
        <v>37561</v>
      </c>
      <c r="I42">
        <v>79.3</v>
      </c>
      <c r="M42" s="225">
        <v>37530</v>
      </c>
      <c r="N42">
        <v>90.398799999999994</v>
      </c>
      <c r="R42" t="s">
        <v>289</v>
      </c>
      <c r="S42" s="308">
        <v>1.3319000000000001E-2</v>
      </c>
      <c r="U42" s="224" t="s">
        <v>295</v>
      </c>
      <c r="V42" s="310">
        <v>5.3555E-3</v>
      </c>
    </row>
    <row r="43" spans="3:22" x14ac:dyDescent="0.2">
      <c r="C43" s="225">
        <v>33939</v>
      </c>
      <c r="D43">
        <v>0.91700000000000004</v>
      </c>
      <c r="E43" s="225">
        <v>33939</v>
      </c>
      <c r="F43">
        <v>0.96799999999999997</v>
      </c>
      <c r="H43" s="225">
        <v>37591</v>
      </c>
      <c r="I43">
        <v>80.099999999999994</v>
      </c>
      <c r="M43" s="225">
        <v>37561</v>
      </c>
      <c r="N43">
        <v>90.8947</v>
      </c>
      <c r="R43" t="s">
        <v>290</v>
      </c>
      <c r="S43" s="308">
        <v>6.3912699999999989E-2</v>
      </c>
      <c r="U43" s="224" t="s">
        <v>296</v>
      </c>
      <c r="V43" s="310">
        <v>3.1563000000000003E-3</v>
      </c>
    </row>
    <row r="44" spans="3:22" x14ac:dyDescent="0.2">
      <c r="C44" s="225">
        <v>33970</v>
      </c>
      <c r="D44">
        <v>0.90900000000000003</v>
      </c>
      <c r="E44" s="225">
        <v>33970</v>
      </c>
      <c r="F44">
        <v>0.98399999999999999</v>
      </c>
      <c r="H44" s="225">
        <v>37622</v>
      </c>
      <c r="I44">
        <v>79.3</v>
      </c>
      <c r="M44" s="225">
        <v>37591</v>
      </c>
      <c r="N44">
        <v>90.390600000000006</v>
      </c>
      <c r="S44">
        <v>0.18301410000000001</v>
      </c>
      <c r="U44" s="224" t="s">
        <v>297</v>
      </c>
      <c r="V44" s="310">
        <v>0.10260989999999999</v>
      </c>
    </row>
    <row r="45" spans="3:22" x14ac:dyDescent="0.2">
      <c r="C45" s="225">
        <v>34001</v>
      </c>
      <c r="D45">
        <v>0.95</v>
      </c>
      <c r="E45" s="225">
        <v>34001</v>
      </c>
      <c r="F45">
        <v>1.016</v>
      </c>
      <c r="H45" s="225">
        <v>37653</v>
      </c>
      <c r="I45">
        <v>78.7</v>
      </c>
      <c r="M45" s="225">
        <v>37622</v>
      </c>
      <c r="N45">
        <v>91.136899999999997</v>
      </c>
      <c r="R45" t="s">
        <v>291</v>
      </c>
      <c r="S45" s="308">
        <v>6.7285499999999998E-2</v>
      </c>
      <c r="U45" s="224" t="s">
        <v>298</v>
      </c>
      <c r="V45" s="310">
        <v>2.3689999999999998E-4</v>
      </c>
    </row>
    <row r="46" spans="3:22" x14ac:dyDescent="0.2">
      <c r="C46" s="225">
        <v>34029</v>
      </c>
      <c r="D46">
        <v>0.95299999999999996</v>
      </c>
      <c r="E46" s="225">
        <v>34029</v>
      </c>
      <c r="F46">
        <v>1.0249999999999999</v>
      </c>
      <c r="H46" s="225">
        <v>37681</v>
      </c>
      <c r="I46">
        <v>79.5</v>
      </c>
      <c r="M46" s="225">
        <v>37653</v>
      </c>
      <c r="N46">
        <v>91.250500000000002</v>
      </c>
      <c r="R46" t="s">
        <v>292</v>
      </c>
      <c r="S46" s="308">
        <v>5.1915699999999995E-2</v>
      </c>
    </row>
    <row r="47" spans="3:22" x14ac:dyDescent="0.2">
      <c r="C47" s="225">
        <v>34060</v>
      </c>
      <c r="D47">
        <v>0.94199999999999995</v>
      </c>
      <c r="E47" s="225">
        <v>34060</v>
      </c>
      <c r="F47">
        <v>1.002</v>
      </c>
      <c r="H47" s="225">
        <v>37712</v>
      </c>
      <c r="I47">
        <v>79.7</v>
      </c>
      <c r="M47" s="225">
        <v>37681</v>
      </c>
      <c r="N47">
        <v>91.000600000000006</v>
      </c>
      <c r="R47" t="s">
        <v>293</v>
      </c>
      <c r="S47" s="308">
        <v>-3.1812900000000005E-2</v>
      </c>
      <c r="U47" s="224" t="s">
        <v>299</v>
      </c>
      <c r="V47" s="310">
        <v>1.6726E-3</v>
      </c>
    </row>
    <row r="48" spans="3:22" x14ac:dyDescent="0.2">
      <c r="C48" s="225">
        <v>34090</v>
      </c>
      <c r="D48">
        <v>0.93300000000000005</v>
      </c>
      <c r="E48" s="225">
        <v>34090</v>
      </c>
      <c r="F48">
        <v>0.99</v>
      </c>
      <c r="H48" s="225">
        <v>37742</v>
      </c>
      <c r="I48">
        <v>78.7</v>
      </c>
      <c r="M48" s="225">
        <v>37712</v>
      </c>
      <c r="N48">
        <v>90.431100000000001</v>
      </c>
      <c r="R48" t="s">
        <v>294</v>
      </c>
      <c r="S48" s="308">
        <v>3.1739999999999996E-4</v>
      </c>
      <c r="U48" s="224" t="s">
        <v>300</v>
      </c>
      <c r="V48" s="310">
        <v>0</v>
      </c>
    </row>
    <row r="49" spans="3:22" x14ac:dyDescent="0.2">
      <c r="C49" s="225">
        <v>34121</v>
      </c>
      <c r="D49">
        <v>0.91700000000000004</v>
      </c>
      <c r="E49" s="225">
        <v>34121</v>
      </c>
      <c r="F49">
        <v>0.98799999999999999</v>
      </c>
      <c r="H49" s="225">
        <v>37773</v>
      </c>
      <c r="I49">
        <v>78.900000000000006</v>
      </c>
      <c r="M49" s="225">
        <v>37742</v>
      </c>
      <c r="N49">
        <v>90.4</v>
      </c>
      <c r="S49">
        <v>8.732319999999999E-2</v>
      </c>
      <c r="U49" s="224" t="s">
        <v>301</v>
      </c>
      <c r="V49" s="310">
        <v>1.7989100000000001E-2</v>
      </c>
    </row>
    <row r="50" spans="3:22" x14ac:dyDescent="0.2">
      <c r="C50" s="225">
        <v>34151</v>
      </c>
      <c r="D50">
        <v>0.91300000000000003</v>
      </c>
      <c r="E50" s="225">
        <v>34151</v>
      </c>
      <c r="F50">
        <v>0.96899999999999997</v>
      </c>
      <c r="H50" s="225">
        <v>37803</v>
      </c>
      <c r="I50">
        <v>79.900000000000006</v>
      </c>
      <c r="M50" s="225">
        <v>37773</v>
      </c>
      <c r="N50">
        <v>90.519599999999997</v>
      </c>
      <c r="R50" t="s">
        <v>295</v>
      </c>
      <c r="S50" s="308">
        <v>-1.5681999999999998E-3</v>
      </c>
    </row>
    <row r="51" spans="3:22" x14ac:dyDescent="0.2">
      <c r="C51" s="225">
        <v>34182</v>
      </c>
      <c r="D51">
        <v>0.93</v>
      </c>
      <c r="E51" s="225">
        <v>34182</v>
      </c>
      <c r="F51">
        <v>0.97099999999999997</v>
      </c>
      <c r="H51" s="225">
        <v>37834</v>
      </c>
      <c r="I51">
        <v>79</v>
      </c>
      <c r="M51" s="225">
        <v>37803</v>
      </c>
      <c r="N51">
        <v>90.986900000000006</v>
      </c>
      <c r="R51" t="s">
        <v>296</v>
      </c>
      <c r="S51" s="308">
        <v>-1.8060099999999999E-2</v>
      </c>
    </row>
    <row r="52" spans="3:22" x14ac:dyDescent="0.2">
      <c r="C52" s="225">
        <v>34213</v>
      </c>
      <c r="D52">
        <v>0.95099999999999996</v>
      </c>
      <c r="E52" s="225">
        <v>34213</v>
      </c>
      <c r="F52">
        <v>1.008</v>
      </c>
      <c r="H52" s="225">
        <v>37865</v>
      </c>
      <c r="I52">
        <v>80.2</v>
      </c>
      <c r="M52" s="225">
        <v>37834</v>
      </c>
      <c r="N52">
        <v>90.793300000000002</v>
      </c>
      <c r="R52" t="s">
        <v>297</v>
      </c>
      <c r="S52" s="308">
        <v>-2.2550000000000001E-2</v>
      </c>
    </row>
    <row r="53" spans="3:22" x14ac:dyDescent="0.2">
      <c r="C53" s="225">
        <v>34243</v>
      </c>
      <c r="D53">
        <v>0.95899999999999996</v>
      </c>
      <c r="E53" s="225">
        <v>34243</v>
      </c>
      <c r="F53">
        <v>1.028</v>
      </c>
      <c r="H53" s="225">
        <v>37895</v>
      </c>
      <c r="I53">
        <v>81.5</v>
      </c>
      <c r="M53" s="225">
        <v>37865</v>
      </c>
      <c r="N53">
        <v>91.381900000000002</v>
      </c>
      <c r="R53" t="s">
        <v>298</v>
      </c>
      <c r="S53" s="308">
        <v>1.12581E-2</v>
      </c>
    </row>
    <row r="54" spans="3:22" x14ac:dyDescent="0.2">
      <c r="C54" s="225">
        <v>34274</v>
      </c>
      <c r="D54">
        <v>0.94499999999999995</v>
      </c>
      <c r="E54" s="225">
        <v>34274</v>
      </c>
      <c r="F54">
        <v>1.03</v>
      </c>
      <c r="H54" s="225">
        <v>37926</v>
      </c>
      <c r="I54">
        <v>81.099999999999994</v>
      </c>
      <c r="M54" s="225">
        <v>37895</v>
      </c>
      <c r="N54">
        <v>91.504900000000006</v>
      </c>
      <c r="S54">
        <v>-3.0919500000000003E-2</v>
      </c>
    </row>
    <row r="55" spans="3:22" x14ac:dyDescent="0.2">
      <c r="C55" s="225">
        <v>34304</v>
      </c>
      <c r="D55">
        <v>0.95</v>
      </c>
      <c r="E55" s="225">
        <v>34304</v>
      </c>
      <c r="F55">
        <v>1.004</v>
      </c>
      <c r="H55" s="225">
        <v>37956</v>
      </c>
      <c r="I55">
        <v>83.2</v>
      </c>
      <c r="M55" s="225">
        <v>37926</v>
      </c>
      <c r="N55">
        <v>92.126499999999993</v>
      </c>
      <c r="R55" t="s">
        <v>299</v>
      </c>
      <c r="S55" s="308">
        <v>7.9340000000000001E-3</v>
      </c>
    </row>
    <row r="56" spans="3:22" x14ac:dyDescent="0.2">
      <c r="C56" s="225">
        <v>34335</v>
      </c>
      <c r="D56">
        <v>0.91</v>
      </c>
      <c r="E56" s="225">
        <v>34335</v>
      </c>
      <c r="F56">
        <v>0.97899999999999998</v>
      </c>
      <c r="H56" s="225">
        <v>37987</v>
      </c>
      <c r="I56">
        <v>82.1</v>
      </c>
      <c r="M56" s="225">
        <v>37956</v>
      </c>
      <c r="N56">
        <v>92.173199999999994</v>
      </c>
      <c r="R56" t="s">
        <v>300</v>
      </c>
      <c r="S56" s="308">
        <v>1.1113900000000001E-2</v>
      </c>
    </row>
    <row r="57" spans="3:22" x14ac:dyDescent="0.2">
      <c r="C57" s="225">
        <v>34366</v>
      </c>
      <c r="D57">
        <v>0.95699999999999996</v>
      </c>
      <c r="E57" s="225">
        <v>34366</v>
      </c>
      <c r="F57">
        <v>1.0189999999999999</v>
      </c>
      <c r="H57" s="225">
        <v>38018</v>
      </c>
      <c r="I57">
        <v>81.7</v>
      </c>
      <c r="M57" s="225">
        <v>37987</v>
      </c>
      <c r="N57">
        <v>92.326800000000006</v>
      </c>
      <c r="R57" t="s">
        <v>301</v>
      </c>
      <c r="S57" s="308">
        <v>-2.6697700000000001E-2</v>
      </c>
    </row>
    <row r="58" spans="3:22" x14ac:dyDescent="0.2">
      <c r="C58" s="225">
        <v>34394</v>
      </c>
      <c r="D58">
        <v>1.0089999999999999</v>
      </c>
      <c r="E58" s="225">
        <v>34394</v>
      </c>
      <c r="F58">
        <v>1.073</v>
      </c>
      <c r="H58" s="225">
        <v>38047</v>
      </c>
      <c r="I58">
        <v>85.2</v>
      </c>
      <c r="M58" s="225">
        <v>38018</v>
      </c>
      <c r="N58">
        <v>92.899500000000003</v>
      </c>
    </row>
    <row r="59" spans="3:22" x14ac:dyDescent="0.2">
      <c r="C59" s="225">
        <v>34425</v>
      </c>
      <c r="D59">
        <v>0.997</v>
      </c>
      <c r="E59" s="225">
        <v>34425</v>
      </c>
      <c r="F59">
        <v>1.1100000000000001</v>
      </c>
      <c r="H59" s="225">
        <v>38078</v>
      </c>
      <c r="I59">
        <v>85.1</v>
      </c>
      <c r="M59" s="225">
        <v>38047</v>
      </c>
      <c r="N59">
        <v>92.536799999999999</v>
      </c>
    </row>
    <row r="60" spans="3:22" x14ac:dyDescent="0.2">
      <c r="C60" s="225">
        <v>34455</v>
      </c>
      <c r="D60">
        <v>0.98499999999999999</v>
      </c>
      <c r="E60" s="225">
        <v>34455</v>
      </c>
      <c r="F60">
        <v>1.0900000000000001</v>
      </c>
      <c r="H60" s="225">
        <v>38108</v>
      </c>
      <c r="I60">
        <v>84.4</v>
      </c>
      <c r="M60" s="225">
        <v>38078</v>
      </c>
      <c r="N60">
        <v>92.895700000000005</v>
      </c>
    </row>
    <row r="61" spans="3:22" x14ac:dyDescent="0.2">
      <c r="C61" s="225">
        <v>34486</v>
      </c>
      <c r="D61">
        <v>1.038</v>
      </c>
      <c r="E61" s="225">
        <v>34486</v>
      </c>
      <c r="F61">
        <v>1.1379999999999999</v>
      </c>
      <c r="H61" s="225">
        <v>38139</v>
      </c>
      <c r="I61">
        <v>85.6</v>
      </c>
      <c r="M61" s="225">
        <v>38108</v>
      </c>
      <c r="N61">
        <v>93.584500000000006</v>
      </c>
    </row>
    <row r="62" spans="3:22" x14ac:dyDescent="0.2">
      <c r="C62" s="225">
        <v>34516</v>
      </c>
      <c r="D62">
        <v>1.0109999999999999</v>
      </c>
      <c r="E62" s="225">
        <v>34516</v>
      </c>
      <c r="F62">
        <v>1.085</v>
      </c>
      <c r="H62" s="225">
        <v>38169</v>
      </c>
      <c r="I62">
        <v>85.4</v>
      </c>
      <c r="M62" s="225">
        <v>38139</v>
      </c>
      <c r="N62">
        <v>92.865099999999998</v>
      </c>
    </row>
    <row r="63" spans="3:22" x14ac:dyDescent="0.2">
      <c r="C63" s="225">
        <v>34547</v>
      </c>
      <c r="D63">
        <v>1.0089999999999999</v>
      </c>
      <c r="E63" s="225">
        <v>34547</v>
      </c>
      <c r="F63">
        <v>1.115</v>
      </c>
      <c r="H63" s="225">
        <v>38200</v>
      </c>
      <c r="I63">
        <v>84.6</v>
      </c>
      <c r="M63" s="225">
        <v>38169</v>
      </c>
      <c r="N63">
        <v>93.550200000000004</v>
      </c>
    </row>
    <row r="64" spans="3:22" x14ac:dyDescent="0.2">
      <c r="C64" s="225">
        <v>34578</v>
      </c>
      <c r="D64">
        <v>1.05</v>
      </c>
      <c r="E64" s="225">
        <v>34578</v>
      </c>
      <c r="F64">
        <v>1.179</v>
      </c>
      <c r="H64" s="225">
        <v>38231</v>
      </c>
      <c r="I64">
        <v>84.9</v>
      </c>
      <c r="M64" s="225">
        <v>38200</v>
      </c>
      <c r="N64">
        <v>93.630099999999999</v>
      </c>
    </row>
    <row r="65" spans="3:14" x14ac:dyDescent="0.2">
      <c r="C65" s="225">
        <v>34608</v>
      </c>
      <c r="D65">
        <v>1.0449999999999999</v>
      </c>
      <c r="E65" s="225">
        <v>34608</v>
      </c>
      <c r="F65">
        <v>1.1719999999999999</v>
      </c>
      <c r="H65" s="225">
        <v>38261</v>
      </c>
      <c r="I65">
        <v>84.4</v>
      </c>
      <c r="M65" s="225">
        <v>38231</v>
      </c>
      <c r="N65">
        <v>93.735299999999995</v>
      </c>
    </row>
    <row r="66" spans="3:14" x14ac:dyDescent="0.2">
      <c r="C66" s="225">
        <v>34639</v>
      </c>
      <c r="D66">
        <v>1.085</v>
      </c>
      <c r="E66" s="225">
        <v>34639</v>
      </c>
      <c r="F66">
        <v>1.179</v>
      </c>
      <c r="H66" s="225">
        <v>38292</v>
      </c>
      <c r="I66">
        <v>85.5</v>
      </c>
      <c r="M66" s="225">
        <v>38261</v>
      </c>
      <c r="N66">
        <v>94.569500000000005</v>
      </c>
    </row>
    <row r="67" spans="3:14" x14ac:dyDescent="0.2">
      <c r="C67" s="225">
        <v>34669</v>
      </c>
      <c r="D67">
        <v>1.032</v>
      </c>
      <c r="E67" s="225">
        <v>34669</v>
      </c>
      <c r="F67">
        <v>1.1479999999999999</v>
      </c>
      <c r="H67" s="225">
        <v>38322</v>
      </c>
      <c r="I67">
        <v>84.9</v>
      </c>
      <c r="M67" s="225">
        <v>38292</v>
      </c>
      <c r="N67">
        <v>94.801500000000004</v>
      </c>
    </row>
    <row r="68" spans="3:14" x14ac:dyDescent="0.2">
      <c r="C68" s="225">
        <v>34700</v>
      </c>
      <c r="D68">
        <v>1.054</v>
      </c>
      <c r="E68" s="225">
        <v>34700</v>
      </c>
      <c r="F68">
        <v>1.18</v>
      </c>
      <c r="H68" s="225">
        <v>38353</v>
      </c>
      <c r="I68">
        <v>88.2</v>
      </c>
      <c r="M68" s="225">
        <v>38322</v>
      </c>
      <c r="N68">
        <v>95.541499999999999</v>
      </c>
    </row>
    <row r="69" spans="3:14" x14ac:dyDescent="0.2">
      <c r="C69" s="225">
        <v>34731</v>
      </c>
      <c r="D69">
        <v>1.0189999999999999</v>
      </c>
      <c r="E69" s="225">
        <v>34731</v>
      </c>
      <c r="F69">
        <v>1.1399999999999999</v>
      </c>
      <c r="H69" s="225">
        <v>38384</v>
      </c>
      <c r="I69">
        <v>86.3</v>
      </c>
      <c r="M69" s="225">
        <v>38353</v>
      </c>
      <c r="N69">
        <v>95.878500000000003</v>
      </c>
    </row>
    <row r="70" spans="3:14" x14ac:dyDescent="0.2">
      <c r="C70" s="225">
        <v>34759</v>
      </c>
      <c r="D70">
        <v>1.0509999999999999</v>
      </c>
      <c r="E70" s="225">
        <v>34759</v>
      </c>
      <c r="F70">
        <v>1.127</v>
      </c>
      <c r="H70" s="225">
        <v>38412</v>
      </c>
      <c r="I70">
        <v>85.7</v>
      </c>
      <c r="M70" s="225">
        <v>38384</v>
      </c>
      <c r="N70">
        <v>96.570899999999995</v>
      </c>
    </row>
    <row r="71" spans="3:14" x14ac:dyDescent="0.2">
      <c r="C71" s="225">
        <v>34790</v>
      </c>
      <c r="D71">
        <v>1.071</v>
      </c>
      <c r="E71" s="225">
        <v>34790</v>
      </c>
      <c r="F71">
        <v>1.1399999999999999</v>
      </c>
      <c r="H71" s="225">
        <v>38443</v>
      </c>
      <c r="I71">
        <v>86.6</v>
      </c>
      <c r="M71" s="225">
        <v>38412</v>
      </c>
      <c r="N71">
        <v>96.4345</v>
      </c>
    </row>
    <row r="72" spans="3:14" x14ac:dyDescent="0.2">
      <c r="C72" s="225">
        <v>34820</v>
      </c>
      <c r="D72">
        <v>1.0640000000000001</v>
      </c>
      <c r="E72" s="225">
        <v>34820</v>
      </c>
      <c r="F72">
        <v>1.1120000000000001</v>
      </c>
      <c r="H72" s="225">
        <v>38473</v>
      </c>
      <c r="I72">
        <v>85.7</v>
      </c>
      <c r="M72" s="225">
        <v>38443</v>
      </c>
      <c r="N72">
        <v>96.634699999999995</v>
      </c>
    </row>
    <row r="73" spans="3:14" x14ac:dyDescent="0.2">
      <c r="C73" s="225">
        <v>34851</v>
      </c>
      <c r="D73">
        <v>1.04</v>
      </c>
      <c r="E73" s="225">
        <v>34851</v>
      </c>
      <c r="F73">
        <v>1.0900000000000001</v>
      </c>
      <c r="H73" s="225">
        <v>38504</v>
      </c>
      <c r="I73">
        <v>85.8</v>
      </c>
      <c r="M73" s="225">
        <v>38473</v>
      </c>
      <c r="N73">
        <v>96.725099999999998</v>
      </c>
    </row>
    <row r="74" spans="3:14" x14ac:dyDescent="0.2">
      <c r="C74" s="225">
        <v>34881</v>
      </c>
      <c r="D74">
        <v>1.008</v>
      </c>
      <c r="E74" s="225">
        <v>34881</v>
      </c>
      <c r="F74">
        <v>1.08</v>
      </c>
      <c r="H74" s="225">
        <v>38534</v>
      </c>
      <c r="I74">
        <v>85.4</v>
      </c>
      <c r="M74" s="225">
        <v>38504</v>
      </c>
      <c r="N74">
        <v>97.148300000000006</v>
      </c>
    </row>
    <row r="75" spans="3:14" x14ac:dyDescent="0.2">
      <c r="C75" s="225">
        <v>34912</v>
      </c>
      <c r="D75">
        <v>1.016</v>
      </c>
      <c r="E75" s="225">
        <v>34912</v>
      </c>
      <c r="F75">
        <v>1.113</v>
      </c>
      <c r="H75" s="225">
        <v>38565</v>
      </c>
      <c r="I75">
        <v>86.9</v>
      </c>
      <c r="M75" s="225">
        <v>38534</v>
      </c>
      <c r="N75">
        <v>96.839699999999993</v>
      </c>
    </row>
    <row r="76" spans="3:14" x14ac:dyDescent="0.2">
      <c r="C76" s="225">
        <v>34943</v>
      </c>
      <c r="D76">
        <v>1.012</v>
      </c>
      <c r="E76" s="225">
        <v>34943</v>
      </c>
      <c r="F76">
        <v>1.0880000000000001</v>
      </c>
      <c r="H76" s="225">
        <v>38596</v>
      </c>
      <c r="I76">
        <v>86.5</v>
      </c>
      <c r="M76" s="225">
        <v>38565</v>
      </c>
      <c r="N76">
        <v>97.1584</v>
      </c>
    </row>
    <row r="77" spans="3:14" x14ac:dyDescent="0.2">
      <c r="C77" s="225">
        <v>34973</v>
      </c>
      <c r="D77">
        <v>1.0369999999999999</v>
      </c>
      <c r="E77" s="225">
        <v>34973</v>
      </c>
      <c r="F77">
        <v>1.1120000000000001</v>
      </c>
      <c r="H77" s="225">
        <v>38626</v>
      </c>
      <c r="I77">
        <v>86.1</v>
      </c>
      <c r="M77" s="225">
        <v>38596</v>
      </c>
      <c r="N77">
        <v>95.276399999999995</v>
      </c>
    </row>
    <row r="78" spans="3:14" x14ac:dyDescent="0.2">
      <c r="C78" s="225">
        <v>35004</v>
      </c>
      <c r="D78">
        <v>1.012</v>
      </c>
      <c r="E78" s="225">
        <v>35004</v>
      </c>
      <c r="F78">
        <v>1.1060000000000001</v>
      </c>
      <c r="H78" s="225">
        <v>38657</v>
      </c>
      <c r="I78">
        <v>88.6</v>
      </c>
      <c r="M78" s="225">
        <v>38626</v>
      </c>
      <c r="N78">
        <v>96.441100000000006</v>
      </c>
    </row>
    <row r="79" spans="3:14" x14ac:dyDescent="0.2">
      <c r="C79" s="225">
        <v>35034</v>
      </c>
      <c r="D79">
        <v>1.0129999999999999</v>
      </c>
      <c r="E79" s="225">
        <v>35034</v>
      </c>
      <c r="F79">
        <v>1.1160000000000001</v>
      </c>
      <c r="H79" s="225">
        <v>38687</v>
      </c>
      <c r="I79">
        <v>86.4</v>
      </c>
      <c r="M79" s="225">
        <v>38657</v>
      </c>
      <c r="N79">
        <v>97.501599999999996</v>
      </c>
    </row>
    <row r="80" spans="3:14" x14ac:dyDescent="0.2">
      <c r="C80" s="225">
        <v>35065</v>
      </c>
      <c r="D80">
        <v>1.014</v>
      </c>
      <c r="E80" s="225">
        <v>35065</v>
      </c>
      <c r="F80">
        <v>1.143</v>
      </c>
      <c r="H80" s="225">
        <v>38718</v>
      </c>
      <c r="I80">
        <v>86.5</v>
      </c>
      <c r="M80" s="225">
        <v>38687</v>
      </c>
      <c r="N80">
        <v>97.972300000000004</v>
      </c>
    </row>
    <row r="81" spans="3:14" x14ac:dyDescent="0.2">
      <c r="C81" s="225">
        <v>35096</v>
      </c>
      <c r="D81">
        <v>1.0329999999999999</v>
      </c>
      <c r="E81" s="225">
        <v>35096</v>
      </c>
      <c r="F81">
        <v>1.1539999999999999</v>
      </c>
      <c r="H81" s="225">
        <v>38749</v>
      </c>
      <c r="I81">
        <v>85.6</v>
      </c>
      <c r="M81" s="225">
        <v>38718</v>
      </c>
      <c r="N81">
        <v>98.126999999999995</v>
      </c>
    </row>
    <row r="82" spans="3:14" x14ac:dyDescent="0.2">
      <c r="C82" s="225">
        <v>35125</v>
      </c>
      <c r="D82">
        <v>1.0269999999999999</v>
      </c>
      <c r="E82" s="225">
        <v>35125</v>
      </c>
      <c r="F82">
        <v>1.1180000000000001</v>
      </c>
      <c r="H82" s="225">
        <v>38777</v>
      </c>
      <c r="I82">
        <v>85</v>
      </c>
      <c r="M82" s="225">
        <v>38749</v>
      </c>
      <c r="N82">
        <v>98.168700000000001</v>
      </c>
    </row>
    <row r="83" spans="3:14" x14ac:dyDescent="0.2">
      <c r="C83" s="225">
        <v>35156</v>
      </c>
      <c r="D83">
        <v>1.0629999999999999</v>
      </c>
      <c r="E83" s="225">
        <v>35156</v>
      </c>
      <c r="F83">
        <v>1.155</v>
      </c>
      <c r="H83" s="225">
        <v>38808</v>
      </c>
      <c r="I83">
        <v>84.9</v>
      </c>
      <c r="M83" s="225">
        <v>38777</v>
      </c>
      <c r="N83">
        <v>98.391300000000001</v>
      </c>
    </row>
    <row r="84" spans="3:14" x14ac:dyDescent="0.2">
      <c r="C84" s="225">
        <v>35186</v>
      </c>
      <c r="D84">
        <v>1.028</v>
      </c>
      <c r="E84" s="225">
        <v>35186</v>
      </c>
      <c r="F84">
        <v>1.1200000000000001</v>
      </c>
      <c r="H84" s="225">
        <v>38838</v>
      </c>
      <c r="I84">
        <v>87.2</v>
      </c>
      <c r="M84" s="225">
        <v>38808</v>
      </c>
      <c r="N84">
        <v>98.682599999999994</v>
      </c>
    </row>
    <row r="85" spans="3:14" x14ac:dyDescent="0.2">
      <c r="C85" s="225">
        <v>35217</v>
      </c>
      <c r="D85">
        <v>1.0169999999999999</v>
      </c>
      <c r="E85" s="225">
        <v>35217</v>
      </c>
      <c r="F85">
        <v>1.131</v>
      </c>
      <c r="H85" s="225">
        <v>38869</v>
      </c>
      <c r="I85">
        <v>86.3</v>
      </c>
      <c r="M85" s="225">
        <v>38838</v>
      </c>
      <c r="N85">
        <v>98.707400000000007</v>
      </c>
    </row>
    <row r="86" spans="3:14" x14ac:dyDescent="0.2">
      <c r="C86" s="225">
        <v>35247</v>
      </c>
      <c r="D86">
        <v>1.044</v>
      </c>
      <c r="E86" s="225">
        <v>35247</v>
      </c>
      <c r="F86">
        <v>1.143</v>
      </c>
      <c r="H86" s="225">
        <v>38899</v>
      </c>
      <c r="I86">
        <v>85.3</v>
      </c>
      <c r="M86" s="225">
        <v>38869</v>
      </c>
      <c r="N86">
        <v>99.0398</v>
      </c>
    </row>
    <row r="87" spans="3:14" x14ac:dyDescent="0.2">
      <c r="C87" s="225">
        <v>35278</v>
      </c>
      <c r="D87">
        <v>1.0449999999999999</v>
      </c>
      <c r="E87" s="225">
        <v>35278</v>
      </c>
      <c r="F87">
        <v>1.123</v>
      </c>
      <c r="H87" s="225">
        <v>38930</v>
      </c>
      <c r="I87">
        <v>82.8</v>
      </c>
      <c r="M87" s="225">
        <v>38899</v>
      </c>
      <c r="N87">
        <v>98.975099999999998</v>
      </c>
    </row>
    <row r="88" spans="3:14" x14ac:dyDescent="0.2">
      <c r="C88" s="225">
        <v>35309</v>
      </c>
      <c r="D88">
        <v>1.0920000000000001</v>
      </c>
      <c r="E88" s="225">
        <v>35309</v>
      </c>
      <c r="F88">
        <v>1.1830000000000001</v>
      </c>
      <c r="H88" s="225">
        <v>38961</v>
      </c>
      <c r="I88">
        <v>85.4</v>
      </c>
      <c r="M88" s="225">
        <v>38930</v>
      </c>
      <c r="N88">
        <v>99.404700000000005</v>
      </c>
    </row>
    <row r="89" spans="3:14" x14ac:dyDescent="0.2">
      <c r="C89" s="225">
        <v>35339</v>
      </c>
      <c r="D89">
        <v>1.0720000000000001</v>
      </c>
      <c r="E89" s="225">
        <v>35339</v>
      </c>
      <c r="F89">
        <v>1.1539999999999999</v>
      </c>
      <c r="H89" s="225">
        <v>38991</v>
      </c>
      <c r="I89">
        <v>84.7</v>
      </c>
      <c r="M89" s="225">
        <v>38961</v>
      </c>
      <c r="N89">
        <v>99.224599999999995</v>
      </c>
    </row>
    <row r="90" spans="3:14" x14ac:dyDescent="0.2">
      <c r="C90" s="225">
        <v>35370</v>
      </c>
      <c r="D90">
        <v>1.048</v>
      </c>
      <c r="E90" s="225">
        <v>35370</v>
      </c>
      <c r="F90">
        <v>1.1839999999999999</v>
      </c>
      <c r="H90" s="225">
        <v>39022</v>
      </c>
      <c r="I90">
        <v>82.3</v>
      </c>
      <c r="M90" s="225">
        <v>38991</v>
      </c>
      <c r="N90">
        <v>99.122900000000001</v>
      </c>
    </row>
    <row r="91" spans="3:14" x14ac:dyDescent="0.2">
      <c r="C91" s="225">
        <v>35400</v>
      </c>
      <c r="D91">
        <v>1.04</v>
      </c>
      <c r="E91" s="225">
        <v>35400</v>
      </c>
      <c r="F91">
        <v>1.1779999999999999</v>
      </c>
      <c r="H91" s="225">
        <v>39052</v>
      </c>
      <c r="I91">
        <v>84.2</v>
      </c>
      <c r="M91" s="225">
        <v>39022</v>
      </c>
      <c r="N91">
        <v>99.096299999999999</v>
      </c>
    </row>
    <row r="92" spans="3:14" x14ac:dyDescent="0.2">
      <c r="C92" s="225">
        <v>35431</v>
      </c>
      <c r="D92">
        <v>1.016</v>
      </c>
      <c r="E92" s="225">
        <v>35431</v>
      </c>
      <c r="F92">
        <v>1.163</v>
      </c>
      <c r="H92" s="225">
        <v>39083</v>
      </c>
      <c r="I92">
        <v>83.9</v>
      </c>
      <c r="M92" s="225">
        <v>39052</v>
      </c>
      <c r="N92">
        <v>100.1125</v>
      </c>
    </row>
    <row r="93" spans="3:14" x14ac:dyDescent="0.2">
      <c r="C93" s="225">
        <v>35462</v>
      </c>
      <c r="D93">
        <v>1.032</v>
      </c>
      <c r="E93" s="225">
        <v>35462</v>
      </c>
      <c r="F93">
        <v>1.171</v>
      </c>
      <c r="H93" s="225">
        <v>39114</v>
      </c>
      <c r="I93">
        <v>84.2</v>
      </c>
      <c r="M93" s="225">
        <v>39083</v>
      </c>
      <c r="N93">
        <v>99.754599999999996</v>
      </c>
    </row>
    <row r="94" spans="3:14" x14ac:dyDescent="0.2">
      <c r="C94" s="225">
        <v>35490</v>
      </c>
      <c r="D94">
        <v>1.0489999999999999</v>
      </c>
      <c r="E94" s="225">
        <v>35490</v>
      </c>
      <c r="F94">
        <v>1.161</v>
      </c>
      <c r="H94" s="225">
        <v>39142</v>
      </c>
      <c r="I94">
        <v>85.4</v>
      </c>
      <c r="M94" s="225">
        <v>39114</v>
      </c>
      <c r="N94">
        <v>100.7166</v>
      </c>
    </row>
    <row r="95" spans="3:14" x14ac:dyDescent="0.2">
      <c r="C95" s="225">
        <v>35521</v>
      </c>
      <c r="D95">
        <v>1.077</v>
      </c>
      <c r="E95" s="225">
        <v>35521</v>
      </c>
      <c r="F95">
        <v>1.1819999999999999</v>
      </c>
      <c r="H95" s="225">
        <v>39173</v>
      </c>
      <c r="I95">
        <v>83.7</v>
      </c>
      <c r="M95" s="225">
        <v>39142</v>
      </c>
      <c r="N95">
        <v>100.8952</v>
      </c>
    </row>
    <row r="96" spans="3:14" x14ac:dyDescent="0.2">
      <c r="C96" s="225">
        <v>35551</v>
      </c>
      <c r="D96">
        <v>1.0129999999999999</v>
      </c>
      <c r="E96" s="225">
        <v>35551</v>
      </c>
      <c r="F96">
        <v>1.1619999999999999</v>
      </c>
      <c r="H96" s="225">
        <v>39203</v>
      </c>
      <c r="I96">
        <v>83.8</v>
      </c>
      <c r="M96" s="225">
        <v>39173</v>
      </c>
      <c r="N96">
        <v>101.5723</v>
      </c>
    </row>
    <row r="97" spans="3:14" x14ac:dyDescent="0.2">
      <c r="C97" s="225">
        <v>35582</v>
      </c>
      <c r="D97">
        <v>1.0149999999999999</v>
      </c>
      <c r="E97" s="225">
        <v>35582</v>
      </c>
      <c r="F97">
        <v>1.1619999999999999</v>
      </c>
      <c r="H97" s="225">
        <v>39234</v>
      </c>
      <c r="I97">
        <v>82.8</v>
      </c>
      <c r="M97" s="225">
        <v>39203</v>
      </c>
      <c r="N97">
        <v>101.62690000000001</v>
      </c>
    </row>
    <row r="98" spans="3:14" x14ac:dyDescent="0.2">
      <c r="C98" s="225">
        <v>35612</v>
      </c>
      <c r="D98">
        <v>1.0549999999999999</v>
      </c>
      <c r="E98" s="225">
        <v>35612</v>
      </c>
      <c r="F98">
        <v>1.169</v>
      </c>
      <c r="H98" s="225">
        <v>39264</v>
      </c>
      <c r="I98">
        <v>82.9</v>
      </c>
      <c r="M98" s="225">
        <v>39234</v>
      </c>
      <c r="N98">
        <v>101.65470000000001</v>
      </c>
    </row>
    <row r="99" spans="3:14" x14ac:dyDescent="0.2">
      <c r="C99" s="225">
        <v>35643</v>
      </c>
      <c r="D99">
        <v>1.083</v>
      </c>
      <c r="E99" s="225">
        <v>35643</v>
      </c>
      <c r="F99">
        <v>1.1180000000000001</v>
      </c>
      <c r="H99" s="225">
        <v>39295</v>
      </c>
      <c r="I99">
        <v>83.6</v>
      </c>
      <c r="M99" s="225">
        <v>39264</v>
      </c>
      <c r="N99">
        <v>101.4953</v>
      </c>
    </row>
    <row r="100" spans="3:14" x14ac:dyDescent="0.2">
      <c r="C100" s="225">
        <v>35674</v>
      </c>
      <c r="D100">
        <v>1.214</v>
      </c>
      <c r="E100" s="225">
        <v>35674</v>
      </c>
      <c r="F100">
        <v>1.222</v>
      </c>
      <c r="H100" s="225">
        <v>39326</v>
      </c>
      <c r="I100">
        <v>82.5</v>
      </c>
      <c r="M100" s="225">
        <v>39295</v>
      </c>
      <c r="N100">
        <v>101.6943</v>
      </c>
    </row>
    <row r="101" spans="3:14" x14ac:dyDescent="0.2">
      <c r="C101" s="225">
        <v>35704</v>
      </c>
      <c r="D101">
        <v>1.1359999999999999</v>
      </c>
      <c r="E101" s="225">
        <v>35704</v>
      </c>
      <c r="F101">
        <v>1.2350000000000001</v>
      </c>
      <c r="H101" s="225">
        <v>39356</v>
      </c>
      <c r="I101">
        <v>84.7</v>
      </c>
      <c r="M101" s="225">
        <v>39326</v>
      </c>
      <c r="N101">
        <v>101.94280000000001</v>
      </c>
    </row>
    <row r="102" spans="3:14" x14ac:dyDescent="0.2">
      <c r="C102" s="225">
        <v>35735</v>
      </c>
      <c r="D102">
        <v>1.1120000000000001</v>
      </c>
      <c r="E102" s="225">
        <v>35735</v>
      </c>
      <c r="F102">
        <v>1.23</v>
      </c>
      <c r="H102" s="225">
        <v>39387</v>
      </c>
      <c r="I102">
        <v>84.5</v>
      </c>
      <c r="M102" s="225">
        <v>39356</v>
      </c>
      <c r="N102">
        <v>101.6446</v>
      </c>
    </row>
    <row r="103" spans="3:14" x14ac:dyDescent="0.2">
      <c r="C103" s="225">
        <v>35765</v>
      </c>
      <c r="D103">
        <v>1.101</v>
      </c>
      <c r="E103" s="225">
        <v>35765</v>
      </c>
      <c r="F103">
        <v>1.232</v>
      </c>
      <c r="H103" s="225">
        <v>39417</v>
      </c>
      <c r="I103">
        <v>84.5</v>
      </c>
      <c r="M103" s="225">
        <v>39387</v>
      </c>
      <c r="N103">
        <v>102.2167</v>
      </c>
    </row>
    <row r="104" spans="3:14" x14ac:dyDescent="0.2">
      <c r="C104" s="225">
        <v>35796</v>
      </c>
      <c r="D104">
        <v>1.097</v>
      </c>
      <c r="E104" s="225">
        <v>35796</v>
      </c>
      <c r="F104">
        <v>1.2</v>
      </c>
      <c r="H104" s="225">
        <v>39448</v>
      </c>
      <c r="I104">
        <v>87.6</v>
      </c>
      <c r="M104" s="225">
        <v>39417</v>
      </c>
      <c r="N104">
        <v>102.2764</v>
      </c>
    </row>
    <row r="105" spans="3:14" x14ac:dyDescent="0.2">
      <c r="C105" s="225">
        <v>35827</v>
      </c>
      <c r="D105">
        <v>1.2450000000000001</v>
      </c>
      <c r="E105" s="225">
        <v>35827</v>
      </c>
      <c r="F105">
        <v>1.2849999999999999</v>
      </c>
      <c r="H105" s="225">
        <v>39479</v>
      </c>
      <c r="I105">
        <v>85.3</v>
      </c>
      <c r="M105" s="225">
        <v>39448</v>
      </c>
      <c r="N105">
        <v>102.1493</v>
      </c>
    </row>
    <row r="106" spans="3:14" x14ac:dyDescent="0.2">
      <c r="C106" s="225">
        <v>35855</v>
      </c>
      <c r="D106">
        <v>1.153</v>
      </c>
      <c r="E106" s="225">
        <v>35855</v>
      </c>
      <c r="F106">
        <v>1.2150000000000001</v>
      </c>
      <c r="H106" s="225">
        <v>39508</v>
      </c>
      <c r="I106">
        <v>85.7</v>
      </c>
      <c r="M106" s="225">
        <v>39479</v>
      </c>
      <c r="N106">
        <v>101.7756</v>
      </c>
    </row>
    <row r="107" spans="3:14" x14ac:dyDescent="0.2">
      <c r="C107" s="225">
        <v>35886</v>
      </c>
      <c r="D107">
        <v>1.1419999999999999</v>
      </c>
      <c r="E107" s="225">
        <v>35886</v>
      </c>
      <c r="F107">
        <v>1.2350000000000001</v>
      </c>
      <c r="H107" s="225">
        <v>39539</v>
      </c>
      <c r="I107">
        <v>86.6</v>
      </c>
      <c r="M107" s="225">
        <v>39508</v>
      </c>
      <c r="N107">
        <v>101.4508</v>
      </c>
    </row>
    <row r="108" spans="3:14" x14ac:dyDescent="0.2">
      <c r="C108" s="225">
        <v>35916</v>
      </c>
      <c r="D108">
        <v>1.0429999999999999</v>
      </c>
      <c r="E108" s="225">
        <v>35916</v>
      </c>
      <c r="F108">
        <v>1.1930000000000001</v>
      </c>
      <c r="H108" s="225">
        <v>39569</v>
      </c>
      <c r="I108">
        <v>86.3</v>
      </c>
      <c r="M108" s="225">
        <v>39539</v>
      </c>
      <c r="N108">
        <v>100.75539999999999</v>
      </c>
    </row>
    <row r="109" spans="3:14" x14ac:dyDescent="0.2">
      <c r="C109" s="225">
        <v>35947</v>
      </c>
      <c r="D109">
        <v>1.018</v>
      </c>
      <c r="E109" s="225">
        <v>35947</v>
      </c>
      <c r="F109">
        <v>1.181</v>
      </c>
      <c r="H109" s="225">
        <v>39600</v>
      </c>
      <c r="I109">
        <v>86.9</v>
      </c>
      <c r="M109" s="225">
        <v>39569</v>
      </c>
      <c r="N109">
        <v>100.1336</v>
      </c>
    </row>
    <row r="110" spans="3:14" x14ac:dyDescent="0.2">
      <c r="C110" s="225">
        <v>35977</v>
      </c>
      <c r="D110">
        <v>1.026</v>
      </c>
      <c r="E110" s="225">
        <v>35977</v>
      </c>
      <c r="F110">
        <v>1.1919999999999999</v>
      </c>
      <c r="H110" s="225">
        <v>39630</v>
      </c>
      <c r="I110">
        <v>86.3</v>
      </c>
      <c r="M110" s="225">
        <v>39600</v>
      </c>
      <c r="N110">
        <v>99.872799999999998</v>
      </c>
    </row>
    <row r="111" spans="3:14" x14ac:dyDescent="0.2">
      <c r="C111" s="225">
        <v>36008</v>
      </c>
      <c r="D111">
        <v>1.0269999999999999</v>
      </c>
      <c r="E111" s="225">
        <v>36008</v>
      </c>
      <c r="F111">
        <v>1.179</v>
      </c>
      <c r="H111" s="225">
        <v>39661</v>
      </c>
      <c r="I111">
        <v>84.3</v>
      </c>
      <c r="M111" s="225">
        <v>39630</v>
      </c>
      <c r="N111">
        <v>99.419399999999996</v>
      </c>
    </row>
    <row r="112" spans="3:14" x14ac:dyDescent="0.2">
      <c r="C112" s="225">
        <v>36039</v>
      </c>
      <c r="D112">
        <v>1.016</v>
      </c>
      <c r="E112" s="225">
        <v>36039</v>
      </c>
      <c r="F112">
        <v>1.1599999999999999</v>
      </c>
      <c r="H112" s="225">
        <v>39692</v>
      </c>
      <c r="I112">
        <v>84.4</v>
      </c>
      <c r="M112" s="225">
        <v>39661</v>
      </c>
      <c r="N112">
        <v>97.849100000000007</v>
      </c>
    </row>
    <row r="113" spans="3:14" x14ac:dyDescent="0.2">
      <c r="C113" s="225">
        <v>36069</v>
      </c>
      <c r="D113">
        <v>1.077</v>
      </c>
      <c r="E113" s="225">
        <v>36069</v>
      </c>
      <c r="F113">
        <v>1.2509999999999999</v>
      </c>
      <c r="H113" s="225">
        <v>39722</v>
      </c>
      <c r="I113">
        <v>82.9</v>
      </c>
      <c r="M113" s="225">
        <v>39692</v>
      </c>
      <c r="N113">
        <v>93.557599999999994</v>
      </c>
    </row>
    <row r="114" spans="3:14" x14ac:dyDescent="0.2">
      <c r="C114" s="225">
        <v>36100</v>
      </c>
      <c r="D114">
        <v>1.1299999999999999</v>
      </c>
      <c r="E114" s="225">
        <v>36100</v>
      </c>
      <c r="F114">
        <v>1.3009999999999999</v>
      </c>
      <c r="H114" s="225">
        <v>39753</v>
      </c>
      <c r="I114">
        <v>81.5</v>
      </c>
      <c r="M114" s="225">
        <v>39722</v>
      </c>
      <c r="N114">
        <v>94.498500000000007</v>
      </c>
    </row>
    <row r="115" spans="3:14" x14ac:dyDescent="0.2">
      <c r="C115" s="225">
        <v>36130</v>
      </c>
      <c r="D115">
        <v>1.07</v>
      </c>
      <c r="E115" s="225">
        <v>36130</v>
      </c>
      <c r="F115">
        <v>1.278</v>
      </c>
      <c r="H115" s="225">
        <v>39783</v>
      </c>
      <c r="I115">
        <v>79.400000000000006</v>
      </c>
      <c r="M115" s="225">
        <v>39753</v>
      </c>
      <c r="N115">
        <v>93.261700000000005</v>
      </c>
    </row>
    <row r="116" spans="3:14" x14ac:dyDescent="0.2">
      <c r="C116" s="225">
        <v>36161</v>
      </c>
      <c r="D116">
        <v>1.0549999999999999</v>
      </c>
      <c r="E116" s="225">
        <v>36161</v>
      </c>
      <c r="F116">
        <v>1.1890000000000001</v>
      </c>
      <c r="H116" s="225">
        <v>39814</v>
      </c>
      <c r="I116">
        <v>77.5</v>
      </c>
      <c r="M116" s="225">
        <v>39783</v>
      </c>
      <c r="N116">
        <v>90.626599999999996</v>
      </c>
    </row>
    <row r="117" spans="3:14" x14ac:dyDescent="0.2">
      <c r="C117" s="225">
        <v>36192</v>
      </c>
      <c r="D117">
        <v>1.07</v>
      </c>
      <c r="E117" s="225">
        <v>36192</v>
      </c>
      <c r="F117">
        <v>1.256</v>
      </c>
      <c r="H117" s="225">
        <v>39845</v>
      </c>
      <c r="I117">
        <v>79.599999999999994</v>
      </c>
      <c r="M117" s="225">
        <v>39814</v>
      </c>
      <c r="N117">
        <v>88.371200000000002</v>
      </c>
    </row>
    <row r="118" spans="3:14" x14ac:dyDescent="0.2">
      <c r="C118" s="225">
        <v>36220</v>
      </c>
      <c r="D118">
        <v>1.054</v>
      </c>
      <c r="E118" s="225">
        <v>36220</v>
      </c>
      <c r="F118">
        <v>1.2689999999999999</v>
      </c>
      <c r="H118" s="225">
        <v>39873</v>
      </c>
      <c r="I118">
        <v>75.599999999999994</v>
      </c>
      <c r="M118" s="225">
        <v>39845</v>
      </c>
      <c r="N118">
        <v>87.843000000000004</v>
      </c>
    </row>
    <row r="119" spans="3:14" x14ac:dyDescent="0.2">
      <c r="C119" s="225">
        <v>36251</v>
      </c>
      <c r="D119">
        <v>1.083</v>
      </c>
      <c r="E119" s="225">
        <v>36251</v>
      </c>
      <c r="F119">
        <v>1.2609999999999999</v>
      </c>
      <c r="H119" s="225">
        <v>39904</v>
      </c>
      <c r="I119">
        <v>74.8</v>
      </c>
      <c r="M119" s="225">
        <v>39873</v>
      </c>
      <c r="N119">
        <v>86.468900000000005</v>
      </c>
    </row>
    <row r="120" spans="3:14" x14ac:dyDescent="0.2">
      <c r="C120" s="225">
        <v>36281</v>
      </c>
      <c r="D120">
        <v>1.038</v>
      </c>
      <c r="E120" s="225">
        <v>36281</v>
      </c>
      <c r="F120">
        <v>1.3009999999999999</v>
      </c>
      <c r="H120" s="225">
        <v>39934</v>
      </c>
      <c r="I120">
        <v>76.400000000000006</v>
      </c>
      <c r="M120" s="225">
        <v>39904</v>
      </c>
      <c r="N120">
        <v>85.790300000000002</v>
      </c>
    </row>
    <row r="121" spans="3:14" x14ac:dyDescent="0.2">
      <c r="C121" s="225">
        <v>36312</v>
      </c>
      <c r="D121">
        <v>1.0529999999999999</v>
      </c>
      <c r="E121" s="225">
        <v>36312</v>
      </c>
      <c r="F121">
        <v>1.2709999999999999</v>
      </c>
      <c r="H121" s="225">
        <v>39965</v>
      </c>
      <c r="I121">
        <v>75.3</v>
      </c>
      <c r="M121" s="225">
        <v>39934</v>
      </c>
      <c r="N121">
        <v>84.943600000000004</v>
      </c>
    </row>
    <row r="122" spans="3:14" x14ac:dyDescent="0.2">
      <c r="C122" s="225">
        <v>36342</v>
      </c>
      <c r="D122">
        <v>1.0409999999999999</v>
      </c>
      <c r="E122" s="225">
        <v>36342</v>
      </c>
      <c r="F122">
        <v>1.2410000000000001</v>
      </c>
      <c r="H122" s="225">
        <v>39995</v>
      </c>
      <c r="I122">
        <v>76.900000000000006</v>
      </c>
      <c r="M122" s="225">
        <v>39965</v>
      </c>
      <c r="N122">
        <v>84.674599999999998</v>
      </c>
    </row>
    <row r="123" spans="3:14" x14ac:dyDescent="0.2">
      <c r="C123" s="225">
        <v>36373</v>
      </c>
      <c r="D123">
        <v>1.012</v>
      </c>
      <c r="E123" s="225">
        <v>36373</v>
      </c>
      <c r="F123">
        <v>1.26</v>
      </c>
      <c r="H123" s="225">
        <v>40026</v>
      </c>
      <c r="I123">
        <v>77.900000000000006</v>
      </c>
      <c r="M123" s="225">
        <v>39995</v>
      </c>
      <c r="N123">
        <v>85.685299999999998</v>
      </c>
    </row>
    <row r="124" spans="3:14" x14ac:dyDescent="0.2">
      <c r="C124" s="225">
        <v>36404</v>
      </c>
      <c r="D124">
        <v>1.036</v>
      </c>
      <c r="E124" s="225">
        <v>36404</v>
      </c>
      <c r="F124">
        <v>1.248</v>
      </c>
      <c r="H124" s="225">
        <v>40057</v>
      </c>
      <c r="I124">
        <v>78.400000000000006</v>
      </c>
      <c r="M124" s="225">
        <v>40026</v>
      </c>
      <c r="N124">
        <v>86.639300000000006</v>
      </c>
    </row>
    <row r="125" spans="3:14" x14ac:dyDescent="0.2">
      <c r="C125" s="225">
        <v>36434</v>
      </c>
      <c r="D125">
        <v>1.0449999999999999</v>
      </c>
      <c r="E125" s="225">
        <v>36434</v>
      </c>
      <c r="F125">
        <v>1.2909999999999999</v>
      </c>
      <c r="H125" s="225">
        <v>40087</v>
      </c>
      <c r="I125">
        <v>77.900000000000006</v>
      </c>
      <c r="M125" s="225">
        <v>40057</v>
      </c>
      <c r="N125">
        <v>87.382099999999994</v>
      </c>
    </row>
    <row r="126" spans="3:14" x14ac:dyDescent="0.2">
      <c r="C126" s="225">
        <v>36465</v>
      </c>
      <c r="D126">
        <v>1.101</v>
      </c>
      <c r="E126" s="225">
        <v>36465</v>
      </c>
      <c r="F126">
        <v>1.4590000000000001</v>
      </c>
      <c r="H126" s="225">
        <v>40118</v>
      </c>
      <c r="I126">
        <v>79.3</v>
      </c>
      <c r="M126" s="225">
        <v>40087</v>
      </c>
      <c r="N126">
        <v>87.5809</v>
      </c>
    </row>
    <row r="127" spans="3:14" x14ac:dyDescent="0.2">
      <c r="C127" s="225">
        <v>36495</v>
      </c>
      <c r="D127">
        <v>1.075</v>
      </c>
      <c r="E127" s="225">
        <v>36495</v>
      </c>
      <c r="F127">
        <v>1.444</v>
      </c>
      <c r="H127" s="225">
        <v>40148</v>
      </c>
      <c r="I127">
        <v>80.099999999999994</v>
      </c>
      <c r="M127" s="225">
        <v>40118</v>
      </c>
      <c r="N127">
        <v>87.938800000000001</v>
      </c>
    </row>
    <row r="128" spans="3:14" x14ac:dyDescent="0.2">
      <c r="C128" s="225">
        <v>36526</v>
      </c>
      <c r="D128">
        <v>1.1339999999999999</v>
      </c>
      <c r="E128" s="225">
        <v>36526</v>
      </c>
      <c r="F128">
        <v>1.4810000000000001</v>
      </c>
      <c r="H128" s="225">
        <v>40179</v>
      </c>
      <c r="I128">
        <v>80.5</v>
      </c>
      <c r="M128" s="225">
        <v>40148</v>
      </c>
      <c r="N128">
        <v>88.240399999999994</v>
      </c>
    </row>
    <row r="129" spans="3:14" x14ac:dyDescent="0.2">
      <c r="C129" s="225">
        <v>36557</v>
      </c>
      <c r="D129">
        <v>1.1120000000000001</v>
      </c>
      <c r="E129" s="225">
        <v>36557</v>
      </c>
      <c r="F129">
        <v>1.4079999999999999</v>
      </c>
      <c r="H129" s="225">
        <v>40210</v>
      </c>
      <c r="I129">
        <v>81.599999999999994</v>
      </c>
      <c r="M129" s="225">
        <v>40179</v>
      </c>
      <c r="N129">
        <v>89.189700000000002</v>
      </c>
    </row>
    <row r="130" spans="3:14" x14ac:dyDescent="0.2">
      <c r="C130" s="225">
        <v>36586</v>
      </c>
      <c r="D130">
        <v>1.1419999999999999</v>
      </c>
      <c r="E130" s="225">
        <v>36586</v>
      </c>
      <c r="F130">
        <v>1.405</v>
      </c>
      <c r="H130" s="225">
        <v>40238</v>
      </c>
      <c r="I130">
        <v>81.8</v>
      </c>
      <c r="M130" s="225">
        <v>40210</v>
      </c>
      <c r="N130">
        <v>89.504599999999996</v>
      </c>
    </row>
    <row r="131" spans="3:14" x14ac:dyDescent="0.2">
      <c r="C131" s="225">
        <v>36617</v>
      </c>
      <c r="D131">
        <v>1.1020000000000001</v>
      </c>
      <c r="E131" s="225">
        <v>36617</v>
      </c>
      <c r="F131">
        <v>1.4430000000000001</v>
      </c>
      <c r="H131" s="225">
        <v>40269</v>
      </c>
      <c r="I131">
        <v>82.1</v>
      </c>
      <c r="M131" s="225">
        <v>40238</v>
      </c>
      <c r="N131">
        <v>90.135599999999997</v>
      </c>
    </row>
    <row r="132" spans="3:14" x14ac:dyDescent="0.2">
      <c r="C132" s="225">
        <v>36647</v>
      </c>
      <c r="D132">
        <v>1.103</v>
      </c>
      <c r="E132" s="225">
        <v>36647</v>
      </c>
      <c r="F132">
        <v>1.45</v>
      </c>
      <c r="H132" s="225">
        <v>40299</v>
      </c>
      <c r="I132">
        <v>81.599999999999994</v>
      </c>
      <c r="M132" s="225">
        <v>40269</v>
      </c>
      <c r="N132">
        <v>90.460700000000003</v>
      </c>
    </row>
    <row r="133" spans="3:14" x14ac:dyDescent="0.2">
      <c r="C133" s="225">
        <v>36678</v>
      </c>
      <c r="D133">
        <v>1.141</v>
      </c>
      <c r="E133" s="225">
        <v>36678</v>
      </c>
      <c r="F133">
        <v>1.472</v>
      </c>
      <c r="H133" s="225">
        <v>40330</v>
      </c>
      <c r="I133">
        <v>81.599999999999994</v>
      </c>
      <c r="M133" s="225">
        <v>40299</v>
      </c>
      <c r="N133">
        <v>91.701400000000007</v>
      </c>
    </row>
    <row r="134" spans="3:14" x14ac:dyDescent="0.2">
      <c r="C134" s="225">
        <v>36708</v>
      </c>
      <c r="D134">
        <v>1.052</v>
      </c>
      <c r="E134" s="225">
        <v>36708</v>
      </c>
      <c r="F134">
        <v>1.423</v>
      </c>
      <c r="H134" s="225">
        <v>40360</v>
      </c>
      <c r="I134">
        <v>82</v>
      </c>
      <c r="M134" s="225">
        <v>40330</v>
      </c>
      <c r="N134">
        <v>91.903300000000002</v>
      </c>
    </row>
    <row r="135" spans="3:14" x14ac:dyDescent="0.2">
      <c r="C135" s="225">
        <v>36739</v>
      </c>
      <c r="D135">
        <v>1.157</v>
      </c>
      <c r="E135" s="225">
        <v>36739</v>
      </c>
      <c r="F135">
        <v>1.4590000000000001</v>
      </c>
      <c r="H135" s="225">
        <v>40391</v>
      </c>
      <c r="I135">
        <v>81.400000000000006</v>
      </c>
      <c r="M135" s="225">
        <v>40360</v>
      </c>
      <c r="N135">
        <v>92.254900000000006</v>
      </c>
    </row>
    <row r="136" spans="3:14" x14ac:dyDescent="0.2">
      <c r="C136" s="225">
        <v>36770</v>
      </c>
      <c r="D136">
        <v>1.1830000000000001</v>
      </c>
      <c r="E136" s="225">
        <v>36770</v>
      </c>
      <c r="F136">
        <v>1.5169999999999999</v>
      </c>
      <c r="H136" s="225">
        <v>40422</v>
      </c>
      <c r="I136">
        <v>82.1</v>
      </c>
      <c r="M136" s="225">
        <v>40391</v>
      </c>
      <c r="N136">
        <v>92.593599999999995</v>
      </c>
    </row>
    <row r="137" spans="3:14" x14ac:dyDescent="0.2">
      <c r="C137" s="225">
        <v>36800</v>
      </c>
      <c r="D137">
        <v>1.1599999999999999</v>
      </c>
      <c r="E137" s="225">
        <v>36800</v>
      </c>
      <c r="F137">
        <v>1.4870000000000001</v>
      </c>
      <c r="H137" s="225">
        <v>40452</v>
      </c>
      <c r="I137">
        <v>83.1</v>
      </c>
      <c r="M137" s="225">
        <v>40422</v>
      </c>
      <c r="N137">
        <v>92.853300000000004</v>
      </c>
    </row>
    <row r="138" spans="3:14" x14ac:dyDescent="0.2">
      <c r="C138" s="225">
        <v>36831</v>
      </c>
      <c r="D138">
        <v>1.101</v>
      </c>
      <c r="E138" s="225">
        <v>36831</v>
      </c>
      <c r="F138">
        <v>1.4259999999999999</v>
      </c>
      <c r="H138" s="225">
        <v>40483</v>
      </c>
      <c r="I138">
        <v>82.9</v>
      </c>
      <c r="M138" s="225">
        <v>40452</v>
      </c>
      <c r="N138">
        <v>92.603300000000004</v>
      </c>
    </row>
    <row r="139" spans="3:14" x14ac:dyDescent="0.2">
      <c r="C139" s="225">
        <v>36861</v>
      </c>
      <c r="D139">
        <v>0.94799999999999995</v>
      </c>
      <c r="E139" s="225">
        <v>36861</v>
      </c>
      <c r="F139">
        <v>1.3080000000000001</v>
      </c>
      <c r="H139" s="225">
        <v>40513</v>
      </c>
      <c r="I139">
        <v>84</v>
      </c>
      <c r="M139" s="225">
        <v>40483</v>
      </c>
      <c r="N139">
        <v>92.668599999999998</v>
      </c>
    </row>
    <row r="140" spans="3:14" x14ac:dyDescent="0.2">
      <c r="C140" s="225">
        <v>36892</v>
      </c>
      <c r="D140">
        <v>1.069</v>
      </c>
      <c r="E140" s="225">
        <v>36892</v>
      </c>
      <c r="F140">
        <v>1.3620000000000001</v>
      </c>
      <c r="H140" s="225">
        <v>40544</v>
      </c>
      <c r="I140">
        <v>85.3</v>
      </c>
      <c r="M140" s="225">
        <v>40513</v>
      </c>
      <c r="N140">
        <v>93.5916</v>
      </c>
    </row>
    <row r="141" spans="3:14" x14ac:dyDescent="0.2">
      <c r="C141" s="225">
        <v>36923</v>
      </c>
      <c r="D141">
        <v>1.02</v>
      </c>
      <c r="E141" s="225">
        <v>36923</v>
      </c>
      <c r="F141">
        <v>1.2749999999999999</v>
      </c>
      <c r="H141" s="225">
        <v>40575</v>
      </c>
      <c r="I141">
        <v>84.9</v>
      </c>
      <c r="M141" s="225">
        <v>40544</v>
      </c>
      <c r="N141">
        <v>93.388900000000007</v>
      </c>
    </row>
    <row r="142" spans="3:14" x14ac:dyDescent="0.2">
      <c r="C142" s="225">
        <v>36951</v>
      </c>
      <c r="D142">
        <v>1.0489999999999999</v>
      </c>
      <c r="E142" s="225">
        <v>36951</v>
      </c>
      <c r="F142">
        <v>1.274</v>
      </c>
      <c r="H142" s="225">
        <v>40603</v>
      </c>
      <c r="I142">
        <v>86.9</v>
      </c>
      <c r="M142" s="225">
        <v>40575</v>
      </c>
      <c r="N142">
        <v>93.004499999999993</v>
      </c>
    </row>
    <row r="143" spans="3:14" x14ac:dyDescent="0.2">
      <c r="C143" s="225">
        <v>36982</v>
      </c>
      <c r="D143">
        <v>0.99399999999999999</v>
      </c>
      <c r="E143" s="225">
        <v>36982</v>
      </c>
      <c r="F143">
        <v>1.2310000000000001</v>
      </c>
      <c r="H143" s="225">
        <v>40634</v>
      </c>
      <c r="I143">
        <v>86.1</v>
      </c>
      <c r="M143" s="225">
        <v>40603</v>
      </c>
      <c r="N143">
        <v>93.968400000000003</v>
      </c>
    </row>
    <row r="144" spans="3:14" x14ac:dyDescent="0.2">
      <c r="C144" s="225">
        <v>37012</v>
      </c>
      <c r="D144">
        <v>1.075</v>
      </c>
      <c r="E144" s="225">
        <v>37012</v>
      </c>
      <c r="F144">
        <v>1.278</v>
      </c>
      <c r="H144" s="225">
        <v>40664</v>
      </c>
      <c r="I144">
        <v>84.8</v>
      </c>
      <c r="M144" s="225">
        <v>40634</v>
      </c>
      <c r="N144">
        <v>93.6571</v>
      </c>
    </row>
    <row r="145" spans="3:14" x14ac:dyDescent="0.2">
      <c r="C145" s="225">
        <v>37043</v>
      </c>
      <c r="D145">
        <v>1.022</v>
      </c>
      <c r="E145" s="225">
        <v>37043</v>
      </c>
      <c r="F145">
        <v>1.234</v>
      </c>
      <c r="H145" s="225">
        <v>40695</v>
      </c>
      <c r="I145">
        <v>86.4</v>
      </c>
      <c r="M145" s="225">
        <v>40664</v>
      </c>
      <c r="N145">
        <v>93.772300000000001</v>
      </c>
    </row>
    <row r="146" spans="3:14" x14ac:dyDescent="0.2">
      <c r="C146" s="225">
        <v>37073</v>
      </c>
      <c r="D146">
        <v>1.0449999999999999</v>
      </c>
      <c r="E146" s="225">
        <v>37073</v>
      </c>
      <c r="F146">
        <v>1.2270000000000001</v>
      </c>
      <c r="H146" s="225">
        <v>40725</v>
      </c>
      <c r="I146">
        <v>85.6</v>
      </c>
      <c r="M146" s="225">
        <v>40695</v>
      </c>
      <c r="N146">
        <v>94.049300000000002</v>
      </c>
    </row>
    <row r="147" spans="3:14" x14ac:dyDescent="0.2">
      <c r="C147" s="225">
        <v>37104</v>
      </c>
      <c r="D147">
        <v>0.99099999999999999</v>
      </c>
      <c r="E147" s="225">
        <v>37104</v>
      </c>
      <c r="F147">
        <v>1.1950000000000001</v>
      </c>
      <c r="H147" s="225">
        <v>40756</v>
      </c>
      <c r="I147">
        <v>86.6</v>
      </c>
      <c r="M147" s="225">
        <v>40725</v>
      </c>
      <c r="N147">
        <v>94.495800000000003</v>
      </c>
    </row>
    <row r="148" spans="3:14" x14ac:dyDescent="0.2">
      <c r="C148" s="225">
        <v>37135</v>
      </c>
      <c r="D148">
        <v>0.999</v>
      </c>
      <c r="E148" s="225">
        <v>37135</v>
      </c>
      <c r="F148">
        <v>1.2150000000000001</v>
      </c>
      <c r="H148" s="225">
        <v>40787</v>
      </c>
      <c r="I148">
        <v>87.3</v>
      </c>
      <c r="M148" s="225">
        <v>40756</v>
      </c>
      <c r="N148">
        <v>95.097399999999993</v>
      </c>
    </row>
    <row r="149" spans="3:14" x14ac:dyDescent="0.2">
      <c r="C149" s="225">
        <v>37165</v>
      </c>
      <c r="D149">
        <v>1.0569999999999999</v>
      </c>
      <c r="E149" s="225">
        <v>37165</v>
      </c>
      <c r="F149">
        <v>1.25</v>
      </c>
      <c r="H149" s="225">
        <v>40817</v>
      </c>
      <c r="I149">
        <v>87.5</v>
      </c>
      <c r="M149" s="225">
        <v>40787</v>
      </c>
      <c r="N149">
        <v>95.0244</v>
      </c>
    </row>
    <row r="150" spans="3:14" x14ac:dyDescent="0.2">
      <c r="C150" s="225">
        <v>37196</v>
      </c>
      <c r="D150">
        <v>0.97899999999999998</v>
      </c>
      <c r="E150" s="225">
        <v>37196</v>
      </c>
      <c r="F150">
        <v>1.1830000000000001</v>
      </c>
      <c r="H150" s="225">
        <v>40848</v>
      </c>
      <c r="I150">
        <v>88.2</v>
      </c>
      <c r="M150" s="225">
        <v>40817</v>
      </c>
      <c r="N150">
        <v>95.689099999999996</v>
      </c>
    </row>
    <row r="151" spans="3:14" x14ac:dyDescent="0.2">
      <c r="C151" s="225">
        <v>37226</v>
      </c>
      <c r="D151">
        <v>0.96599999999999997</v>
      </c>
      <c r="E151" s="225">
        <v>37226</v>
      </c>
      <c r="F151">
        <v>1.167</v>
      </c>
      <c r="H151" s="225">
        <v>40878</v>
      </c>
      <c r="I151">
        <v>91.7</v>
      </c>
      <c r="M151" s="225">
        <v>40848</v>
      </c>
      <c r="N151">
        <v>95.677800000000005</v>
      </c>
    </row>
    <row r="152" spans="3:14" x14ac:dyDescent="0.2">
      <c r="C152" s="225">
        <v>37257</v>
      </c>
      <c r="D152">
        <v>0.93700000000000006</v>
      </c>
      <c r="E152" s="225">
        <v>37257</v>
      </c>
      <c r="F152">
        <v>1.121</v>
      </c>
      <c r="H152" s="225">
        <v>40909</v>
      </c>
      <c r="I152">
        <v>87.7</v>
      </c>
      <c r="M152" s="225">
        <v>40878</v>
      </c>
      <c r="N152">
        <v>96.180899999999994</v>
      </c>
    </row>
    <row r="153" spans="3:14" x14ac:dyDescent="0.2">
      <c r="C153" s="225">
        <v>37288</v>
      </c>
      <c r="D153">
        <v>0.93500000000000005</v>
      </c>
      <c r="E153" s="225">
        <v>37288</v>
      </c>
      <c r="F153">
        <v>1.1599999999999999</v>
      </c>
      <c r="H153" s="225">
        <v>40940</v>
      </c>
      <c r="I153">
        <v>88.2</v>
      </c>
      <c r="M153" s="225">
        <v>40909</v>
      </c>
      <c r="N153">
        <v>96.759500000000003</v>
      </c>
    </row>
    <row r="154" spans="3:14" x14ac:dyDescent="0.2">
      <c r="C154" s="225">
        <v>37316</v>
      </c>
      <c r="D154">
        <v>0.94599999999999995</v>
      </c>
      <c r="E154" s="225">
        <v>37316</v>
      </c>
      <c r="F154">
        <v>1.2010000000000001</v>
      </c>
      <c r="H154" s="225">
        <v>40969</v>
      </c>
      <c r="I154">
        <v>89.2</v>
      </c>
      <c r="M154" s="225">
        <v>40940</v>
      </c>
      <c r="N154">
        <v>97.066199999999995</v>
      </c>
    </row>
    <row r="155" spans="3:14" x14ac:dyDescent="0.2">
      <c r="C155" s="225">
        <v>37347</v>
      </c>
      <c r="D155">
        <v>0.97799999999999998</v>
      </c>
      <c r="E155" s="225">
        <v>37347</v>
      </c>
      <c r="F155">
        <v>1.21</v>
      </c>
      <c r="H155" s="225">
        <v>41000</v>
      </c>
      <c r="I155">
        <v>88.6</v>
      </c>
      <c r="M155" s="225">
        <v>40969</v>
      </c>
      <c r="N155">
        <v>96.560900000000004</v>
      </c>
    </row>
    <row r="156" spans="3:14" x14ac:dyDescent="0.2">
      <c r="C156" s="225">
        <v>37377</v>
      </c>
      <c r="D156">
        <v>0.96699999999999997</v>
      </c>
      <c r="E156" s="225">
        <v>37377</v>
      </c>
      <c r="F156">
        <v>1.17</v>
      </c>
      <c r="H156" s="225">
        <v>41030</v>
      </c>
      <c r="I156">
        <v>88.5</v>
      </c>
      <c r="M156" s="225">
        <v>41000</v>
      </c>
      <c r="N156">
        <v>97.251000000000005</v>
      </c>
    </row>
    <row r="157" spans="3:14" x14ac:dyDescent="0.2">
      <c r="C157" s="225">
        <v>37408</v>
      </c>
      <c r="D157">
        <v>0.98899999999999999</v>
      </c>
      <c r="E157" s="225">
        <v>37408</v>
      </c>
      <c r="F157">
        <v>1.2</v>
      </c>
      <c r="H157" s="225">
        <v>41061</v>
      </c>
      <c r="I157">
        <v>89.5</v>
      </c>
      <c r="M157" s="225">
        <v>41030</v>
      </c>
      <c r="N157">
        <v>97.459500000000006</v>
      </c>
    </row>
    <row r="158" spans="3:14" x14ac:dyDescent="0.2">
      <c r="C158" s="225">
        <v>37438</v>
      </c>
      <c r="D158">
        <v>1.0620000000000001</v>
      </c>
      <c r="E158" s="225">
        <v>37438</v>
      </c>
      <c r="F158">
        <v>1.3029999999999999</v>
      </c>
      <c r="H158" s="225">
        <v>41091</v>
      </c>
      <c r="I158">
        <v>89.6</v>
      </c>
      <c r="M158" s="225">
        <v>41061</v>
      </c>
      <c r="N158">
        <v>97.476799999999997</v>
      </c>
    </row>
    <row r="159" spans="3:14" x14ac:dyDescent="0.2">
      <c r="C159" s="225">
        <v>37469</v>
      </c>
      <c r="D159">
        <v>1.032</v>
      </c>
      <c r="E159" s="225">
        <v>37469</v>
      </c>
      <c r="F159">
        <v>1.2509999999999999</v>
      </c>
      <c r="H159" s="225">
        <v>41122</v>
      </c>
      <c r="I159">
        <v>89</v>
      </c>
      <c r="M159" s="225">
        <v>41091</v>
      </c>
      <c r="N159">
        <v>97.671400000000006</v>
      </c>
    </row>
    <row r="160" spans="3:14" x14ac:dyDescent="0.2">
      <c r="C160" s="225">
        <v>37500</v>
      </c>
      <c r="D160">
        <v>1.0489999999999999</v>
      </c>
      <c r="E160" s="225">
        <v>37500</v>
      </c>
      <c r="F160">
        <v>1.2909999999999999</v>
      </c>
      <c r="H160" s="225">
        <v>41153</v>
      </c>
      <c r="I160">
        <v>88.5</v>
      </c>
      <c r="M160" s="225">
        <v>41122</v>
      </c>
      <c r="N160">
        <v>97.273399999999995</v>
      </c>
    </row>
    <row r="161" spans="3:14" x14ac:dyDescent="0.2">
      <c r="C161" s="225">
        <v>37530</v>
      </c>
      <c r="D161">
        <v>0.999</v>
      </c>
      <c r="E161" s="225">
        <v>37530</v>
      </c>
      <c r="F161">
        <v>1.2969999999999999</v>
      </c>
      <c r="H161" s="225">
        <v>41183</v>
      </c>
      <c r="I161">
        <v>87</v>
      </c>
      <c r="M161" s="225">
        <v>41153</v>
      </c>
      <c r="N161">
        <v>97.221699999999998</v>
      </c>
    </row>
    <row r="162" spans="3:14" x14ac:dyDescent="0.2">
      <c r="C162" s="225">
        <v>37561</v>
      </c>
      <c r="D162">
        <v>0.94299999999999995</v>
      </c>
      <c r="E162" s="225">
        <v>37561</v>
      </c>
      <c r="F162">
        <v>1.2350000000000001</v>
      </c>
      <c r="H162" s="225">
        <v>41214</v>
      </c>
      <c r="I162">
        <v>88.6</v>
      </c>
      <c r="M162" s="225">
        <v>41183</v>
      </c>
      <c r="N162">
        <v>97.531099999999995</v>
      </c>
    </row>
    <row r="163" spans="3:14" x14ac:dyDescent="0.2">
      <c r="C163" s="225">
        <v>37591</v>
      </c>
      <c r="D163">
        <v>0.89800000000000002</v>
      </c>
      <c r="E163" s="225">
        <v>37591</v>
      </c>
      <c r="F163">
        <v>1.2</v>
      </c>
      <c r="H163" s="225">
        <v>41244</v>
      </c>
      <c r="I163">
        <v>89.3</v>
      </c>
      <c r="M163" s="225">
        <v>41214</v>
      </c>
      <c r="N163">
        <v>97.9084</v>
      </c>
    </row>
    <row r="164" spans="3:14" x14ac:dyDescent="0.2">
      <c r="C164" s="225">
        <v>37622</v>
      </c>
      <c r="D164">
        <v>0.94</v>
      </c>
      <c r="E164" s="225">
        <v>37622</v>
      </c>
      <c r="F164">
        <v>1.2070000000000001</v>
      </c>
      <c r="H164" s="225">
        <v>41275</v>
      </c>
      <c r="I164">
        <v>91.9</v>
      </c>
      <c r="M164" s="225">
        <v>41244</v>
      </c>
      <c r="N164">
        <v>98.188400000000001</v>
      </c>
    </row>
    <row r="165" spans="3:14" x14ac:dyDescent="0.2">
      <c r="C165" s="225">
        <v>37653</v>
      </c>
      <c r="D165">
        <v>0.94799999999999995</v>
      </c>
      <c r="E165" s="225">
        <v>37653</v>
      </c>
      <c r="F165">
        <v>1.2050000000000001</v>
      </c>
      <c r="H165" s="225">
        <v>41306</v>
      </c>
      <c r="I165">
        <v>92.9</v>
      </c>
      <c r="M165" s="225">
        <v>41275</v>
      </c>
      <c r="N165">
        <v>98.173599999999993</v>
      </c>
    </row>
    <row r="166" spans="3:14" x14ac:dyDescent="0.2">
      <c r="C166" s="225">
        <v>37681</v>
      </c>
      <c r="D166">
        <v>1.0349999999999999</v>
      </c>
      <c r="E166" s="225">
        <v>37681</v>
      </c>
      <c r="F166">
        <v>1.2849999999999999</v>
      </c>
      <c r="H166" s="225">
        <v>41334</v>
      </c>
      <c r="I166">
        <v>92.7</v>
      </c>
      <c r="M166" s="225">
        <v>41306</v>
      </c>
      <c r="N166">
        <v>98.6434</v>
      </c>
    </row>
    <row r="167" spans="3:14" x14ac:dyDescent="0.2">
      <c r="C167" s="225">
        <v>37712</v>
      </c>
      <c r="D167">
        <v>0.96599999999999997</v>
      </c>
      <c r="E167" s="225">
        <v>37712</v>
      </c>
      <c r="F167">
        <v>1.2569999999999999</v>
      </c>
      <c r="H167" s="225">
        <v>41365</v>
      </c>
      <c r="I167">
        <v>93.1</v>
      </c>
      <c r="M167" s="225">
        <v>41334</v>
      </c>
      <c r="N167">
        <v>99.046999999999997</v>
      </c>
    </row>
    <row r="168" spans="3:14" x14ac:dyDescent="0.2">
      <c r="C168" s="225">
        <v>37742</v>
      </c>
      <c r="D168">
        <v>0.98899999999999999</v>
      </c>
      <c r="E168" s="225">
        <v>37742</v>
      </c>
      <c r="F168">
        <v>1.2490000000000001</v>
      </c>
      <c r="H168" s="225">
        <v>41395</v>
      </c>
      <c r="I168">
        <v>94.6</v>
      </c>
      <c r="M168" s="225">
        <v>41365</v>
      </c>
      <c r="N168">
        <v>98.944500000000005</v>
      </c>
    </row>
    <row r="169" spans="3:14" x14ac:dyDescent="0.2">
      <c r="C169" s="225">
        <v>37773</v>
      </c>
      <c r="D169">
        <v>1.016</v>
      </c>
      <c r="E169" s="225">
        <v>37773</v>
      </c>
      <c r="F169">
        <v>1.306</v>
      </c>
      <c r="H169" s="225">
        <v>41426</v>
      </c>
      <c r="I169">
        <v>94.2</v>
      </c>
      <c r="M169" s="225">
        <v>41395</v>
      </c>
      <c r="N169">
        <v>99.038300000000007</v>
      </c>
    </row>
    <row r="170" spans="3:14" x14ac:dyDescent="0.2">
      <c r="C170" s="225">
        <v>37803</v>
      </c>
      <c r="D170">
        <v>1.0620000000000001</v>
      </c>
      <c r="E170" s="225">
        <v>37803</v>
      </c>
      <c r="F170">
        <v>1.3640000000000001</v>
      </c>
      <c r="H170" s="225">
        <v>41456</v>
      </c>
      <c r="I170">
        <v>94.4</v>
      </c>
      <c r="M170" s="225">
        <v>41426</v>
      </c>
      <c r="N170">
        <v>99.222099999999998</v>
      </c>
    </row>
    <row r="171" spans="3:14" x14ac:dyDescent="0.2">
      <c r="C171" s="225">
        <v>37834</v>
      </c>
      <c r="D171">
        <v>1.06</v>
      </c>
      <c r="E171" s="225">
        <v>37834</v>
      </c>
      <c r="F171">
        <v>1.3540000000000001</v>
      </c>
      <c r="H171" s="225">
        <v>41487</v>
      </c>
      <c r="I171">
        <v>94.7</v>
      </c>
      <c r="M171" s="225">
        <v>41456</v>
      </c>
      <c r="N171">
        <v>98.898700000000005</v>
      </c>
    </row>
    <row r="172" spans="3:14" x14ac:dyDescent="0.2">
      <c r="C172" s="225">
        <v>37865</v>
      </c>
      <c r="D172">
        <v>1.0860000000000001</v>
      </c>
      <c r="E172" s="225">
        <v>37865</v>
      </c>
      <c r="F172">
        <v>1.425</v>
      </c>
      <c r="H172" s="225">
        <v>41518</v>
      </c>
      <c r="I172">
        <v>95.4</v>
      </c>
      <c r="M172" s="225">
        <v>41487</v>
      </c>
      <c r="N172">
        <v>99.489699999999999</v>
      </c>
    </row>
    <row r="173" spans="3:14" x14ac:dyDescent="0.2">
      <c r="C173" s="225">
        <v>37895</v>
      </c>
      <c r="D173">
        <v>1.0880000000000001</v>
      </c>
      <c r="E173" s="225">
        <v>37895</v>
      </c>
      <c r="F173">
        <v>1.389</v>
      </c>
      <c r="H173" s="225">
        <v>41548</v>
      </c>
      <c r="I173">
        <v>94.7</v>
      </c>
      <c r="M173" s="225">
        <v>41518</v>
      </c>
      <c r="N173">
        <v>100.021</v>
      </c>
    </row>
    <row r="174" spans="3:14" x14ac:dyDescent="0.2">
      <c r="C174" s="225">
        <v>37926</v>
      </c>
      <c r="D174">
        <v>1.0720000000000001</v>
      </c>
      <c r="E174" s="225">
        <v>37926</v>
      </c>
      <c r="F174">
        <v>1.3859999999999999</v>
      </c>
      <c r="H174" s="225">
        <v>41579</v>
      </c>
      <c r="I174">
        <v>97.2</v>
      </c>
      <c r="M174" s="225">
        <v>41548</v>
      </c>
      <c r="N174">
        <v>99.903700000000001</v>
      </c>
    </row>
    <row r="175" spans="3:14" x14ac:dyDescent="0.2">
      <c r="C175" s="225">
        <v>37956</v>
      </c>
      <c r="D175">
        <v>1.0289999999999999</v>
      </c>
      <c r="E175" s="225">
        <v>37956</v>
      </c>
      <c r="F175">
        <v>1.3759999999999999</v>
      </c>
      <c r="H175" s="225">
        <v>41609</v>
      </c>
      <c r="I175">
        <v>95.7</v>
      </c>
      <c r="M175" s="225">
        <v>41579</v>
      </c>
      <c r="N175">
        <v>100.15819999999999</v>
      </c>
    </row>
    <row r="176" spans="3:14" x14ac:dyDescent="0.2">
      <c r="C176" s="225">
        <v>37987</v>
      </c>
      <c r="D176">
        <v>1.0189999999999999</v>
      </c>
      <c r="E176" s="225">
        <v>37987</v>
      </c>
      <c r="F176">
        <v>1.302</v>
      </c>
      <c r="H176" s="225">
        <v>41640</v>
      </c>
      <c r="I176">
        <v>93.1</v>
      </c>
      <c r="M176" s="225">
        <v>41609</v>
      </c>
      <c r="N176">
        <v>100.374</v>
      </c>
    </row>
    <row r="177" spans="3:14" x14ac:dyDescent="0.2">
      <c r="C177" s="225">
        <v>38018</v>
      </c>
      <c r="D177">
        <v>1.131</v>
      </c>
      <c r="E177" s="225">
        <v>38018</v>
      </c>
      <c r="F177">
        <v>1.375</v>
      </c>
      <c r="H177" s="225">
        <v>41671</v>
      </c>
      <c r="I177">
        <v>95.5</v>
      </c>
      <c r="M177" s="225">
        <v>41640</v>
      </c>
      <c r="N177">
        <v>99.989900000000006</v>
      </c>
    </row>
    <row r="178" spans="3:14" x14ac:dyDescent="0.2">
      <c r="C178" s="225">
        <v>38047</v>
      </c>
      <c r="D178">
        <v>1.169</v>
      </c>
      <c r="E178" s="225">
        <v>38047</v>
      </c>
      <c r="F178">
        <v>1.43</v>
      </c>
      <c r="H178" s="225">
        <v>41699</v>
      </c>
      <c r="I178">
        <v>96.1</v>
      </c>
      <c r="M178" s="225">
        <v>41671</v>
      </c>
      <c r="N178">
        <v>100.7471</v>
      </c>
    </row>
    <row r="179" spans="3:14" x14ac:dyDescent="0.2">
      <c r="C179" s="225">
        <v>38078</v>
      </c>
      <c r="D179">
        <v>1.1419999999999999</v>
      </c>
      <c r="E179" s="225">
        <v>38078</v>
      </c>
      <c r="F179">
        <v>1.4319999999999999</v>
      </c>
      <c r="H179" s="225">
        <v>41730</v>
      </c>
      <c r="I179">
        <v>96.8</v>
      </c>
      <c r="M179" s="225">
        <v>41699</v>
      </c>
      <c r="N179">
        <v>101.7435</v>
      </c>
    </row>
    <row r="180" spans="3:14" x14ac:dyDescent="0.2">
      <c r="C180" s="225">
        <v>38108</v>
      </c>
      <c r="D180">
        <v>1.1930000000000001</v>
      </c>
      <c r="E180" s="225">
        <v>38108</v>
      </c>
      <c r="F180">
        <v>1.506</v>
      </c>
      <c r="H180" s="225">
        <v>41760</v>
      </c>
      <c r="I180">
        <v>97.2</v>
      </c>
      <c r="M180" s="225">
        <v>41730</v>
      </c>
      <c r="N180">
        <v>101.82729999999999</v>
      </c>
    </row>
    <row r="181" spans="3:14" x14ac:dyDescent="0.2">
      <c r="C181" s="225">
        <v>38139</v>
      </c>
      <c r="D181">
        <v>1.2490000000000001</v>
      </c>
      <c r="E181" s="225">
        <v>38139</v>
      </c>
      <c r="F181">
        <v>1.6160000000000001</v>
      </c>
      <c r="H181" s="225">
        <v>41791</v>
      </c>
      <c r="I181">
        <v>97</v>
      </c>
      <c r="M181" s="225">
        <v>41760</v>
      </c>
      <c r="N181">
        <v>102.2392</v>
      </c>
    </row>
    <row r="182" spans="3:14" x14ac:dyDescent="0.2">
      <c r="C182" s="225">
        <v>38169</v>
      </c>
      <c r="D182">
        <v>1.175</v>
      </c>
      <c r="E182" s="225">
        <v>38169</v>
      </c>
      <c r="F182">
        <v>1.5029999999999999</v>
      </c>
      <c r="H182" s="225">
        <v>41821</v>
      </c>
      <c r="I182">
        <v>97.4</v>
      </c>
      <c r="M182" s="225">
        <v>41791</v>
      </c>
      <c r="N182">
        <v>102.5774</v>
      </c>
    </row>
    <row r="183" spans="3:14" x14ac:dyDescent="0.2">
      <c r="C183" s="225">
        <v>38200</v>
      </c>
      <c r="D183">
        <v>1.292</v>
      </c>
      <c r="E183" s="225">
        <v>38200</v>
      </c>
      <c r="F183">
        <v>1.5920000000000001</v>
      </c>
      <c r="H183" s="225">
        <v>41852</v>
      </c>
      <c r="I183">
        <v>98.4</v>
      </c>
      <c r="M183" s="225">
        <v>41821</v>
      </c>
      <c r="N183">
        <v>102.7954</v>
      </c>
    </row>
    <row r="184" spans="3:14" x14ac:dyDescent="0.2">
      <c r="C184" s="225">
        <v>38231</v>
      </c>
      <c r="D184">
        <v>1.3160000000000001</v>
      </c>
      <c r="E184" s="225">
        <v>38231</v>
      </c>
      <c r="F184">
        <v>1.6850000000000001</v>
      </c>
      <c r="H184" s="225">
        <v>41883</v>
      </c>
      <c r="I184">
        <v>99</v>
      </c>
      <c r="M184" s="225">
        <v>41852</v>
      </c>
      <c r="N184">
        <v>102.6322</v>
      </c>
    </row>
    <row r="185" spans="3:14" x14ac:dyDescent="0.2">
      <c r="C185" s="225">
        <v>38261</v>
      </c>
      <c r="D185">
        <v>1.298</v>
      </c>
      <c r="E185" s="225">
        <v>38261</v>
      </c>
      <c r="F185">
        <v>1.671</v>
      </c>
      <c r="H185" s="225">
        <v>41913</v>
      </c>
      <c r="I185">
        <v>99.3</v>
      </c>
      <c r="M185" s="225">
        <v>41883</v>
      </c>
      <c r="N185">
        <v>102.9417</v>
      </c>
    </row>
    <row r="186" spans="3:14" x14ac:dyDescent="0.2">
      <c r="C186" s="225">
        <v>38292</v>
      </c>
      <c r="D186">
        <v>1.292</v>
      </c>
      <c r="E186" s="225">
        <v>38292</v>
      </c>
      <c r="F186">
        <v>1.631</v>
      </c>
      <c r="H186" s="225">
        <v>41944</v>
      </c>
      <c r="I186">
        <v>100</v>
      </c>
      <c r="M186" s="225">
        <v>41913</v>
      </c>
      <c r="N186">
        <v>102.9611</v>
      </c>
    </row>
    <row r="187" spans="3:14" x14ac:dyDescent="0.2">
      <c r="C187" s="225">
        <v>38322</v>
      </c>
      <c r="D187">
        <v>1.232</v>
      </c>
      <c r="E187" s="225">
        <v>38322</v>
      </c>
      <c r="F187">
        <v>1.649</v>
      </c>
      <c r="H187" s="225">
        <v>41974</v>
      </c>
      <c r="I187">
        <v>99.5</v>
      </c>
      <c r="M187" s="225">
        <v>41944</v>
      </c>
      <c r="N187">
        <v>103.59780000000001</v>
      </c>
    </row>
    <row r="188" spans="3:14" x14ac:dyDescent="0.2">
      <c r="C188" s="225">
        <v>38353</v>
      </c>
      <c r="D188">
        <v>1.2290000000000001</v>
      </c>
      <c r="E188" s="225">
        <v>38353</v>
      </c>
      <c r="F188">
        <v>1.5349999999999999</v>
      </c>
      <c r="H188" s="225">
        <v>42005</v>
      </c>
      <c r="I188">
        <v>99.2</v>
      </c>
      <c r="M188" s="225">
        <v>41974</v>
      </c>
      <c r="N188">
        <v>103.6151</v>
      </c>
    </row>
    <row r="189" spans="3:14" x14ac:dyDescent="0.2">
      <c r="C189" s="225">
        <v>38384</v>
      </c>
      <c r="D189">
        <v>1.321</v>
      </c>
      <c r="E189" s="225">
        <v>38384</v>
      </c>
      <c r="F189">
        <v>1.599</v>
      </c>
      <c r="H189" s="225">
        <v>42036</v>
      </c>
      <c r="I189">
        <v>98.6</v>
      </c>
      <c r="M189" s="225">
        <v>42005</v>
      </c>
      <c r="N189">
        <v>102.7923</v>
      </c>
    </row>
    <row r="190" spans="3:14" x14ac:dyDescent="0.2">
      <c r="C190" s="225">
        <v>38412</v>
      </c>
      <c r="D190">
        <v>1.3029999999999999</v>
      </c>
      <c r="E190" s="225">
        <v>38412</v>
      </c>
      <c r="F190">
        <v>1.629</v>
      </c>
      <c r="H190" s="225">
        <v>42064</v>
      </c>
      <c r="I190">
        <v>101.1</v>
      </c>
      <c r="M190" s="225">
        <v>42036</v>
      </c>
      <c r="N190">
        <v>102.1366</v>
      </c>
    </row>
    <row r="191" spans="3:14" x14ac:dyDescent="0.2">
      <c r="C191" s="225">
        <v>38443</v>
      </c>
      <c r="D191">
        <v>1.228</v>
      </c>
      <c r="E191" s="225">
        <v>38443</v>
      </c>
      <c r="F191">
        <v>1.651</v>
      </c>
      <c r="H191" s="225">
        <v>42095</v>
      </c>
      <c r="I191">
        <v>98.5</v>
      </c>
      <c r="M191" s="225">
        <v>42064</v>
      </c>
      <c r="N191">
        <v>101.7869</v>
      </c>
    </row>
    <row r="192" spans="3:14" x14ac:dyDescent="0.2">
      <c r="C192" s="225">
        <v>38473</v>
      </c>
      <c r="D192">
        <v>1.2190000000000001</v>
      </c>
      <c r="E192" s="225">
        <v>38473</v>
      </c>
      <c r="F192">
        <v>1.706</v>
      </c>
      <c r="H192" s="225">
        <v>42125</v>
      </c>
      <c r="I192">
        <v>99.4</v>
      </c>
      <c r="M192" s="225">
        <v>42095</v>
      </c>
      <c r="N192">
        <v>101.2255</v>
      </c>
    </row>
    <row r="193" spans="3:14" x14ac:dyDescent="0.2">
      <c r="C193" s="225">
        <v>38504</v>
      </c>
      <c r="D193">
        <v>1.2330000000000001</v>
      </c>
      <c r="E193" s="225">
        <v>38504</v>
      </c>
      <c r="F193">
        <v>1.774</v>
      </c>
      <c r="H193" s="225">
        <v>42156</v>
      </c>
      <c r="I193">
        <v>99.4</v>
      </c>
      <c r="M193" s="225">
        <v>42125</v>
      </c>
      <c r="N193">
        <v>100.7675</v>
      </c>
    </row>
    <row r="194" spans="3:14" x14ac:dyDescent="0.2">
      <c r="C194" s="225">
        <v>38534</v>
      </c>
      <c r="D194">
        <v>1.244</v>
      </c>
      <c r="E194" s="225">
        <v>38534</v>
      </c>
      <c r="F194">
        <v>1.6859999999999999</v>
      </c>
      <c r="H194" s="225">
        <v>42186</v>
      </c>
      <c r="I194">
        <v>100.2</v>
      </c>
      <c r="M194" s="225">
        <v>42156</v>
      </c>
      <c r="N194">
        <v>100.4588</v>
      </c>
    </row>
    <row r="195" spans="3:14" x14ac:dyDescent="0.2">
      <c r="C195" s="225">
        <v>38565</v>
      </c>
      <c r="D195">
        <v>1.244</v>
      </c>
      <c r="E195" s="225">
        <v>38565</v>
      </c>
      <c r="F195">
        <v>1.7470000000000001</v>
      </c>
      <c r="H195" s="225">
        <v>42217</v>
      </c>
      <c r="I195">
        <v>100.9</v>
      </c>
      <c r="M195" s="225">
        <v>42186</v>
      </c>
      <c r="N195">
        <v>101.08929999999999</v>
      </c>
    </row>
    <row r="196" spans="3:14" x14ac:dyDescent="0.2">
      <c r="C196" s="225">
        <v>38596</v>
      </c>
      <c r="D196">
        <v>1.2769999999999999</v>
      </c>
      <c r="E196" s="225">
        <v>38596</v>
      </c>
      <c r="F196">
        <v>1.8480000000000001</v>
      </c>
      <c r="H196" s="225">
        <v>42248</v>
      </c>
      <c r="I196">
        <v>100.9</v>
      </c>
      <c r="M196" s="225">
        <v>42217</v>
      </c>
      <c r="N196">
        <v>100.9165</v>
      </c>
    </row>
    <row r="197" spans="3:14" x14ac:dyDescent="0.2">
      <c r="C197" s="225">
        <v>38626</v>
      </c>
      <c r="D197">
        <v>1.2569999999999999</v>
      </c>
      <c r="E197" s="225">
        <v>38626</v>
      </c>
      <c r="F197">
        <v>1.883</v>
      </c>
      <c r="H197" s="225">
        <v>42278</v>
      </c>
      <c r="I197">
        <v>100.7</v>
      </c>
      <c r="M197" s="225">
        <v>42248</v>
      </c>
      <c r="N197">
        <v>100.633</v>
      </c>
    </row>
    <row r="198" spans="3:14" x14ac:dyDescent="0.2">
      <c r="C198" s="225">
        <v>38657</v>
      </c>
      <c r="D198">
        <v>1.2370000000000001</v>
      </c>
      <c r="E198" s="225">
        <v>38657</v>
      </c>
      <c r="F198">
        <v>1.9159999999999999</v>
      </c>
      <c r="H198" s="225">
        <v>42309</v>
      </c>
      <c r="I198">
        <v>99.7</v>
      </c>
      <c r="M198" s="225">
        <v>42278</v>
      </c>
      <c r="N198">
        <v>100.1563</v>
      </c>
    </row>
    <row r="199" spans="3:14" x14ac:dyDescent="0.2">
      <c r="C199" s="225">
        <v>38687</v>
      </c>
      <c r="D199">
        <v>1.256</v>
      </c>
      <c r="E199" s="225">
        <v>38687</v>
      </c>
      <c r="F199">
        <v>1.94</v>
      </c>
      <c r="H199" s="225">
        <v>42339</v>
      </c>
      <c r="I199">
        <v>101.1</v>
      </c>
      <c r="M199" s="225">
        <v>42309</v>
      </c>
      <c r="N199">
        <v>99.436599999999999</v>
      </c>
    </row>
    <row r="200" spans="3:14" x14ac:dyDescent="0.2">
      <c r="C200" s="225">
        <v>38718</v>
      </c>
      <c r="D200">
        <v>1.286</v>
      </c>
      <c r="E200" s="225">
        <v>38718</v>
      </c>
      <c r="F200">
        <v>1.9259999999999999</v>
      </c>
      <c r="H200" s="225">
        <v>42370</v>
      </c>
      <c r="I200">
        <v>102.7</v>
      </c>
      <c r="M200" s="225">
        <v>42339</v>
      </c>
      <c r="N200">
        <v>98.947100000000006</v>
      </c>
    </row>
    <row r="201" spans="3:14" x14ac:dyDescent="0.2">
      <c r="C201" s="225">
        <v>38749</v>
      </c>
      <c r="D201">
        <v>1.254</v>
      </c>
      <c r="E201" s="225">
        <v>38749</v>
      </c>
      <c r="F201">
        <v>1.964</v>
      </c>
      <c r="H201" s="225">
        <v>42401</v>
      </c>
      <c r="I201">
        <v>101.5</v>
      </c>
      <c r="M201" s="225">
        <v>42370</v>
      </c>
      <c r="N201">
        <v>99.439099999999996</v>
      </c>
    </row>
    <row r="202" spans="3:14" x14ac:dyDescent="0.2">
      <c r="C202" s="225">
        <v>38777</v>
      </c>
      <c r="D202">
        <v>1.28</v>
      </c>
      <c r="E202" s="225">
        <v>38777</v>
      </c>
      <c r="F202">
        <v>1.962</v>
      </c>
      <c r="H202" s="225">
        <v>42430</v>
      </c>
      <c r="I202">
        <v>101.7</v>
      </c>
      <c r="M202" s="225">
        <v>42401</v>
      </c>
      <c r="N202">
        <v>98.923199999999994</v>
      </c>
    </row>
    <row r="203" spans="3:14" x14ac:dyDescent="0.2">
      <c r="C203" s="225">
        <v>38808</v>
      </c>
      <c r="D203">
        <v>1.288</v>
      </c>
      <c r="E203" s="225">
        <v>38808</v>
      </c>
      <c r="F203">
        <v>1.9770000000000001</v>
      </c>
      <c r="H203" s="225">
        <v>42461</v>
      </c>
      <c r="I203">
        <v>103.2</v>
      </c>
      <c r="M203" s="225">
        <v>42430</v>
      </c>
      <c r="N203">
        <v>98.163499999999999</v>
      </c>
    </row>
    <row r="204" spans="3:14" x14ac:dyDescent="0.2">
      <c r="C204" s="225">
        <v>38838</v>
      </c>
      <c r="D204">
        <v>1.329</v>
      </c>
      <c r="E204" s="225">
        <v>38838</v>
      </c>
      <c r="F204">
        <v>2.0339999999999998</v>
      </c>
      <c r="H204" s="225">
        <v>42491</v>
      </c>
      <c r="I204">
        <v>102</v>
      </c>
      <c r="M204" s="225">
        <v>42461</v>
      </c>
      <c r="N204">
        <v>98.477500000000006</v>
      </c>
    </row>
    <row r="205" spans="3:14" x14ac:dyDescent="0.2">
      <c r="C205" s="225">
        <v>38869</v>
      </c>
      <c r="D205">
        <v>1.347</v>
      </c>
      <c r="E205" s="225">
        <v>38869</v>
      </c>
      <c r="F205">
        <v>2.1869999999999998</v>
      </c>
      <c r="H205" s="225">
        <v>42522</v>
      </c>
      <c r="I205">
        <v>102.2</v>
      </c>
      <c r="M205" s="225">
        <v>42491</v>
      </c>
      <c r="N205">
        <v>98.254900000000006</v>
      </c>
    </row>
    <row r="206" spans="3:14" x14ac:dyDescent="0.2">
      <c r="C206" s="225">
        <v>38899</v>
      </c>
      <c r="D206">
        <v>1.2889999999999999</v>
      </c>
      <c r="E206" s="225">
        <v>38899</v>
      </c>
      <c r="F206">
        <v>2.0529999999999999</v>
      </c>
      <c r="H206" s="225">
        <v>42552</v>
      </c>
      <c r="I206">
        <v>104.8</v>
      </c>
      <c r="M206" s="225">
        <v>42522</v>
      </c>
      <c r="N206">
        <v>98.731499999999997</v>
      </c>
    </row>
    <row r="207" spans="3:14" x14ac:dyDescent="0.2">
      <c r="C207" s="225">
        <v>38930</v>
      </c>
      <c r="D207">
        <v>1.345</v>
      </c>
      <c r="E207" s="225">
        <v>38930</v>
      </c>
      <c r="F207">
        <v>2.1</v>
      </c>
      <c r="H207" s="225">
        <v>42583</v>
      </c>
      <c r="I207">
        <v>101.4</v>
      </c>
      <c r="M207" s="225">
        <v>42552</v>
      </c>
      <c r="N207">
        <v>98.845200000000006</v>
      </c>
    </row>
    <row r="208" spans="3:14" x14ac:dyDescent="0.2">
      <c r="C208" s="225">
        <v>38961</v>
      </c>
      <c r="D208">
        <v>1.3120000000000001</v>
      </c>
      <c r="E208" s="225">
        <v>38961</v>
      </c>
      <c r="F208">
        <v>2.1139999999999999</v>
      </c>
      <c r="H208" s="225">
        <v>42614</v>
      </c>
      <c r="I208">
        <v>100.2</v>
      </c>
      <c r="M208" s="225">
        <v>42583</v>
      </c>
      <c r="N208">
        <v>98.742699999999999</v>
      </c>
    </row>
    <row r="209" spans="3:14" x14ac:dyDescent="0.2">
      <c r="C209" s="225">
        <v>38991</v>
      </c>
      <c r="D209">
        <v>1.24</v>
      </c>
      <c r="E209" s="225">
        <v>38991</v>
      </c>
      <c r="F209">
        <v>2.0019999999999998</v>
      </c>
      <c r="H209" s="225">
        <v>42644</v>
      </c>
      <c r="I209">
        <v>101.6</v>
      </c>
      <c r="M209" s="225">
        <v>42614</v>
      </c>
      <c r="N209">
        <v>98.655199999999994</v>
      </c>
    </row>
    <row r="210" spans="3:14" x14ac:dyDescent="0.2">
      <c r="C210" s="225">
        <v>39022</v>
      </c>
      <c r="D210">
        <v>1.208</v>
      </c>
      <c r="E210" s="225">
        <v>39022</v>
      </c>
      <c r="F210">
        <v>1.9059999999999999</v>
      </c>
      <c r="H210" s="225">
        <v>42675</v>
      </c>
      <c r="I210">
        <v>102.4</v>
      </c>
      <c r="M210" s="225">
        <v>42644</v>
      </c>
      <c r="N210">
        <v>98.723699999999994</v>
      </c>
    </row>
    <row r="211" spans="3:14" x14ac:dyDescent="0.2">
      <c r="C211" s="225">
        <v>39052</v>
      </c>
      <c r="D211">
        <v>1.161</v>
      </c>
      <c r="E211" s="225">
        <v>39052</v>
      </c>
      <c r="F211">
        <v>1.833</v>
      </c>
      <c r="H211" s="225">
        <v>42705</v>
      </c>
      <c r="I211">
        <v>103.2</v>
      </c>
      <c r="M211" s="225">
        <v>42675</v>
      </c>
      <c r="N211">
        <v>98.344300000000004</v>
      </c>
    </row>
    <row r="212" spans="3:14" x14ac:dyDescent="0.2">
      <c r="C212" s="225">
        <v>39083</v>
      </c>
      <c r="D212">
        <v>1.171</v>
      </c>
      <c r="E212" s="225">
        <v>39083</v>
      </c>
      <c r="F212">
        <v>1.8120000000000001</v>
      </c>
      <c r="H212" s="225">
        <v>42736</v>
      </c>
      <c r="I212">
        <v>103</v>
      </c>
      <c r="M212" s="225">
        <v>42705</v>
      </c>
      <c r="N212">
        <v>99.040599999999998</v>
      </c>
    </row>
    <row r="213" spans="3:14" x14ac:dyDescent="0.2">
      <c r="C213" s="225">
        <v>39114</v>
      </c>
      <c r="D213">
        <v>1.196</v>
      </c>
      <c r="E213" s="225">
        <v>39114</v>
      </c>
      <c r="F213">
        <v>1.8280000000000001</v>
      </c>
      <c r="H213" s="225">
        <v>42767</v>
      </c>
      <c r="I213">
        <v>104.1</v>
      </c>
      <c r="M213" s="225">
        <v>42736</v>
      </c>
      <c r="N213">
        <v>98.815799999999996</v>
      </c>
    </row>
    <row r="214" spans="3:14" x14ac:dyDescent="0.2">
      <c r="C214" s="225">
        <v>39142</v>
      </c>
      <c r="D214">
        <v>1.258</v>
      </c>
      <c r="E214" s="225">
        <v>39142</v>
      </c>
      <c r="F214">
        <v>1.95</v>
      </c>
      <c r="H214" s="225">
        <v>42795</v>
      </c>
      <c r="I214">
        <v>103</v>
      </c>
      <c r="M214" s="225">
        <v>42767</v>
      </c>
      <c r="N214">
        <v>98.435599999999994</v>
      </c>
    </row>
    <row r="215" spans="3:14" x14ac:dyDescent="0.2">
      <c r="C215" s="225">
        <v>39173</v>
      </c>
      <c r="D215">
        <v>1.2589999999999999</v>
      </c>
      <c r="E215" s="225">
        <v>39173</v>
      </c>
      <c r="F215">
        <v>1.931</v>
      </c>
      <c r="H215" s="225">
        <v>42826</v>
      </c>
      <c r="I215">
        <v>104.4</v>
      </c>
      <c r="M215" s="225">
        <v>42795</v>
      </c>
      <c r="N215">
        <v>99.049199999999999</v>
      </c>
    </row>
    <row r="216" spans="3:14" x14ac:dyDescent="0.2">
      <c r="C216" s="225">
        <v>39203</v>
      </c>
      <c r="D216">
        <v>1.278</v>
      </c>
      <c r="E216" s="225">
        <v>39203</v>
      </c>
      <c r="F216">
        <v>2.0030000000000001</v>
      </c>
      <c r="H216" s="225">
        <v>42856</v>
      </c>
      <c r="I216">
        <v>104.7</v>
      </c>
      <c r="M216" s="225">
        <v>42826</v>
      </c>
      <c r="N216">
        <v>100.0416</v>
      </c>
    </row>
    <row r="217" spans="3:14" x14ac:dyDescent="0.2">
      <c r="C217" s="225">
        <v>39234</v>
      </c>
      <c r="D217">
        <v>1.31</v>
      </c>
      <c r="E217" s="225">
        <v>39234</v>
      </c>
      <c r="F217">
        <v>2.056</v>
      </c>
      <c r="H217" s="225">
        <v>42887</v>
      </c>
      <c r="I217">
        <v>103.6</v>
      </c>
      <c r="M217" s="225">
        <v>42856</v>
      </c>
      <c r="N217">
        <v>100.128</v>
      </c>
    </row>
    <row r="218" spans="3:14" x14ac:dyDescent="0.2">
      <c r="C218" s="225">
        <v>39264</v>
      </c>
      <c r="D218">
        <v>1.2589999999999999</v>
      </c>
      <c r="E218" s="225">
        <v>39264</v>
      </c>
      <c r="F218">
        <v>1.903</v>
      </c>
      <c r="H218" s="225">
        <v>42917</v>
      </c>
      <c r="I218">
        <v>107.3</v>
      </c>
      <c r="M218" s="225">
        <v>42887</v>
      </c>
      <c r="N218">
        <v>100.337</v>
      </c>
    </row>
    <row r="219" spans="3:14" x14ac:dyDescent="0.2">
      <c r="C219" s="225">
        <v>39295</v>
      </c>
      <c r="D219">
        <v>1.2709999999999999</v>
      </c>
      <c r="E219" s="225">
        <v>39295</v>
      </c>
      <c r="F219">
        <v>1.9790000000000001</v>
      </c>
      <c r="H219" s="225">
        <v>42948</v>
      </c>
      <c r="I219">
        <v>108.3</v>
      </c>
      <c r="M219" s="225">
        <v>42917</v>
      </c>
      <c r="N219">
        <v>100.0865</v>
      </c>
    </row>
    <row r="220" spans="3:14" x14ac:dyDescent="0.2">
      <c r="C220" s="225">
        <v>39326</v>
      </c>
      <c r="D220">
        <v>1.2949999999999999</v>
      </c>
      <c r="E220" s="225">
        <v>39326</v>
      </c>
      <c r="F220">
        <v>2.0529999999999999</v>
      </c>
      <c r="H220" s="225">
        <v>42979</v>
      </c>
      <c r="I220">
        <v>109</v>
      </c>
      <c r="M220" s="225">
        <v>42948</v>
      </c>
      <c r="N220">
        <v>99.632300000000001</v>
      </c>
    </row>
    <row r="221" spans="3:14" x14ac:dyDescent="0.2">
      <c r="C221" s="225">
        <v>39356</v>
      </c>
      <c r="D221">
        <v>1.264</v>
      </c>
      <c r="E221" s="225">
        <v>39356</v>
      </c>
      <c r="F221">
        <v>2.0009999999999999</v>
      </c>
      <c r="H221" s="225">
        <v>43009</v>
      </c>
      <c r="I221">
        <v>109.4</v>
      </c>
      <c r="M221" s="225">
        <v>42979</v>
      </c>
      <c r="N221">
        <v>99.748199999999997</v>
      </c>
    </row>
    <row r="222" spans="3:14" x14ac:dyDescent="0.2">
      <c r="C222" s="225">
        <v>39387</v>
      </c>
      <c r="D222">
        <v>1.256</v>
      </c>
      <c r="E222" s="225">
        <v>39387</v>
      </c>
      <c r="F222">
        <v>2.0179999999999998</v>
      </c>
      <c r="H222" s="225">
        <v>43040</v>
      </c>
      <c r="I222">
        <v>110.2</v>
      </c>
      <c r="M222" s="225">
        <v>43009</v>
      </c>
      <c r="N222">
        <v>100.9893</v>
      </c>
    </row>
    <row r="223" spans="3:14" x14ac:dyDescent="0.2">
      <c r="C223" s="225">
        <v>39417</v>
      </c>
      <c r="D223">
        <v>1.173</v>
      </c>
      <c r="E223" s="225">
        <v>39417</v>
      </c>
      <c r="F223">
        <v>1.929</v>
      </c>
      <c r="H223" s="225">
        <v>43070</v>
      </c>
      <c r="I223">
        <v>112</v>
      </c>
      <c r="M223" s="225">
        <v>43040</v>
      </c>
      <c r="N223">
        <v>101.24930000000001</v>
      </c>
    </row>
    <row r="224" spans="3:14" x14ac:dyDescent="0.2">
      <c r="C224" s="225">
        <v>39448</v>
      </c>
      <c r="D224">
        <v>1.129</v>
      </c>
      <c r="E224" s="225">
        <v>39448</v>
      </c>
      <c r="F224">
        <v>1.8440000000000001</v>
      </c>
      <c r="H224" s="225">
        <v>43101</v>
      </c>
      <c r="I224">
        <v>109</v>
      </c>
      <c r="M224" s="225">
        <v>43070</v>
      </c>
      <c r="N224">
        <v>101.4871</v>
      </c>
    </row>
    <row r="225" spans="3:14" x14ac:dyDescent="0.2">
      <c r="C225" s="225">
        <v>39479</v>
      </c>
      <c r="D225">
        <v>1.1339999999999999</v>
      </c>
      <c r="E225" s="225">
        <v>39479</v>
      </c>
      <c r="F225">
        <v>1.8839999999999999</v>
      </c>
      <c r="H225" s="225">
        <v>43132</v>
      </c>
      <c r="I225">
        <v>111.8</v>
      </c>
      <c r="M225" s="225">
        <v>43101</v>
      </c>
      <c r="N225">
        <v>101.48520000000001</v>
      </c>
    </row>
    <row r="226" spans="3:14" x14ac:dyDescent="0.2">
      <c r="C226" s="225">
        <v>39508</v>
      </c>
      <c r="D226">
        <v>1.1599999999999999</v>
      </c>
      <c r="E226" s="225">
        <v>39508</v>
      </c>
      <c r="F226">
        <v>1.9370000000000001</v>
      </c>
      <c r="H226" s="225">
        <v>43160</v>
      </c>
      <c r="I226">
        <v>112.2</v>
      </c>
      <c r="M226" s="225">
        <v>43132</v>
      </c>
      <c r="N226">
        <v>101.7319</v>
      </c>
    </row>
    <row r="227" spans="3:14" x14ac:dyDescent="0.2">
      <c r="C227" s="225">
        <v>39539</v>
      </c>
      <c r="D227">
        <v>1.171</v>
      </c>
      <c r="E227" s="225">
        <v>39539</v>
      </c>
      <c r="F227">
        <v>1.9330000000000001</v>
      </c>
      <c r="H227" s="225">
        <v>43191</v>
      </c>
      <c r="I227">
        <v>111.6</v>
      </c>
      <c r="M227" s="225">
        <v>43160</v>
      </c>
      <c r="N227">
        <v>102.1943</v>
      </c>
    </row>
    <row r="228" spans="3:14" x14ac:dyDescent="0.2">
      <c r="C228" s="225">
        <v>39569</v>
      </c>
      <c r="D228">
        <v>1.1619999999999999</v>
      </c>
      <c r="E228" s="225">
        <v>39569</v>
      </c>
      <c r="F228">
        <v>2.0230000000000001</v>
      </c>
      <c r="H228" s="225">
        <v>43221</v>
      </c>
      <c r="I228">
        <v>113</v>
      </c>
      <c r="M228" s="225">
        <v>43191</v>
      </c>
      <c r="N228">
        <v>103.35509999999999</v>
      </c>
    </row>
    <row r="229" spans="3:14" x14ac:dyDescent="0.2">
      <c r="C229" s="225">
        <v>39600</v>
      </c>
      <c r="D229">
        <v>1.1659999999999999</v>
      </c>
      <c r="E229" s="225">
        <v>39600</v>
      </c>
      <c r="F229">
        <v>2.109</v>
      </c>
      <c r="H229" s="225">
        <v>43252</v>
      </c>
      <c r="I229">
        <v>114</v>
      </c>
      <c r="M229" s="225">
        <v>43221</v>
      </c>
      <c r="N229">
        <v>102.381</v>
      </c>
    </row>
    <row r="230" spans="3:14" x14ac:dyDescent="0.2">
      <c r="C230" s="225">
        <v>39630</v>
      </c>
      <c r="D230">
        <v>1.0960000000000001</v>
      </c>
      <c r="E230" s="225">
        <v>39630</v>
      </c>
      <c r="F230">
        <v>2.0880000000000001</v>
      </c>
      <c r="H230" s="225">
        <v>43282</v>
      </c>
      <c r="I230">
        <v>113.5</v>
      </c>
      <c r="M230" s="225">
        <v>43252</v>
      </c>
      <c r="N230">
        <v>103.2256</v>
      </c>
    </row>
    <row r="231" spans="3:14" x14ac:dyDescent="0.2">
      <c r="C231" s="225">
        <v>39661</v>
      </c>
      <c r="D231">
        <v>1.127</v>
      </c>
      <c r="E231" s="225">
        <v>39661</v>
      </c>
      <c r="F231">
        <v>2.0230000000000001</v>
      </c>
      <c r="H231" s="225">
        <v>43313</v>
      </c>
      <c r="I231">
        <v>114.1</v>
      </c>
      <c r="M231" s="225">
        <v>43282</v>
      </c>
      <c r="N231">
        <v>103.3561</v>
      </c>
    </row>
    <row r="232" spans="3:14" x14ac:dyDescent="0.2">
      <c r="C232" s="225">
        <v>39692</v>
      </c>
      <c r="D232">
        <v>1.08</v>
      </c>
      <c r="E232" s="225">
        <v>39692</v>
      </c>
      <c r="F232">
        <v>2.0230000000000001</v>
      </c>
      <c r="H232" s="225">
        <v>43344</v>
      </c>
      <c r="I232">
        <v>115.2</v>
      </c>
      <c r="M232" s="225">
        <v>43313</v>
      </c>
      <c r="N232">
        <v>104.0585</v>
      </c>
    </row>
    <row r="233" spans="3:14" x14ac:dyDescent="0.2">
      <c r="C233" s="225">
        <v>39722</v>
      </c>
      <c r="D233">
        <v>1.05</v>
      </c>
      <c r="E233" s="225">
        <v>39722</v>
      </c>
      <c r="F233">
        <v>1.9670000000000001</v>
      </c>
      <c r="H233" s="225">
        <v>43374</v>
      </c>
      <c r="I233">
        <v>116.1</v>
      </c>
      <c r="M233" s="225">
        <v>43344</v>
      </c>
      <c r="N233">
        <v>104.10380000000001</v>
      </c>
    </row>
    <row r="234" spans="3:14" x14ac:dyDescent="0.2">
      <c r="C234" s="225">
        <v>39753</v>
      </c>
      <c r="D234">
        <v>1.028</v>
      </c>
      <c r="E234" s="225">
        <v>39753</v>
      </c>
      <c r="F234">
        <v>1.9279999999999999</v>
      </c>
      <c r="H234" s="225">
        <v>43405</v>
      </c>
      <c r="I234">
        <v>117.1</v>
      </c>
      <c r="M234" s="225">
        <v>43374</v>
      </c>
      <c r="N234">
        <v>103.9297</v>
      </c>
    </row>
    <row r="235" spans="3:14" x14ac:dyDescent="0.2">
      <c r="C235" s="225">
        <v>39783</v>
      </c>
      <c r="D235">
        <v>0.90200000000000002</v>
      </c>
      <c r="E235" s="225">
        <v>39783</v>
      </c>
      <c r="F235">
        <v>1.619</v>
      </c>
      <c r="H235" s="225">
        <v>43435</v>
      </c>
      <c r="I235">
        <v>115.1</v>
      </c>
      <c r="M235" s="225">
        <v>43405</v>
      </c>
      <c r="N235">
        <v>104.01260000000001</v>
      </c>
    </row>
    <row r="236" spans="3:14" x14ac:dyDescent="0.2">
      <c r="C236" s="225">
        <v>39814</v>
      </c>
      <c r="D236">
        <v>0.85099999999999998</v>
      </c>
      <c r="E236" s="225">
        <v>39814</v>
      </c>
      <c r="F236">
        <v>1.4239999999999999</v>
      </c>
      <c r="H236" s="225">
        <v>43466</v>
      </c>
      <c r="I236">
        <v>115.4</v>
      </c>
      <c r="M236" s="225">
        <v>43435</v>
      </c>
      <c r="N236">
        <v>104.04510000000001</v>
      </c>
    </row>
    <row r="237" spans="3:14" x14ac:dyDescent="0.2">
      <c r="C237" s="225">
        <v>39845</v>
      </c>
      <c r="D237">
        <v>0.93799999999999994</v>
      </c>
      <c r="E237" s="225">
        <v>39845</v>
      </c>
      <c r="F237">
        <v>1.5069999999999999</v>
      </c>
      <c r="H237" s="225">
        <v>43497</v>
      </c>
      <c r="I237">
        <v>116</v>
      </c>
      <c r="M237" s="225">
        <v>43466</v>
      </c>
      <c r="N237">
        <v>103.35980000000001</v>
      </c>
    </row>
    <row r="238" spans="3:14" x14ac:dyDescent="0.2">
      <c r="C238" s="225">
        <v>39873</v>
      </c>
      <c r="D238">
        <v>0.90500000000000003</v>
      </c>
      <c r="E238" s="225">
        <v>39873</v>
      </c>
      <c r="F238">
        <v>1.4750000000000001</v>
      </c>
      <c r="H238" s="225">
        <v>43525</v>
      </c>
      <c r="I238">
        <v>116</v>
      </c>
      <c r="M238" s="225">
        <v>43497</v>
      </c>
      <c r="N238">
        <v>102.82510000000001</v>
      </c>
    </row>
    <row r="239" spans="3:14" x14ac:dyDescent="0.2">
      <c r="C239" s="225">
        <v>39904</v>
      </c>
      <c r="D239">
        <v>0.878</v>
      </c>
      <c r="E239" s="225">
        <v>39904</v>
      </c>
      <c r="F239">
        <v>1.3959999999999999</v>
      </c>
      <c r="H239" s="225">
        <v>43556</v>
      </c>
      <c r="I239">
        <v>116.9</v>
      </c>
      <c r="M239" s="225">
        <v>43525</v>
      </c>
      <c r="N239">
        <v>102.8361</v>
      </c>
    </row>
    <row r="240" spans="3:14" x14ac:dyDescent="0.2">
      <c r="C240" s="225">
        <v>39934</v>
      </c>
      <c r="D240">
        <v>0.91300000000000003</v>
      </c>
      <c r="E240" s="225">
        <v>39934</v>
      </c>
      <c r="F240">
        <v>1.43</v>
      </c>
      <c r="H240" s="225">
        <v>43586</v>
      </c>
      <c r="I240">
        <v>116.9</v>
      </c>
      <c r="M240" s="225">
        <v>43556</v>
      </c>
      <c r="N240">
        <v>102.2748</v>
      </c>
    </row>
    <row r="241" spans="3:14" x14ac:dyDescent="0.2">
      <c r="C241" s="225">
        <v>39965</v>
      </c>
      <c r="D241">
        <v>0.93300000000000005</v>
      </c>
      <c r="E241" s="225">
        <v>39965</v>
      </c>
      <c r="F241">
        <v>1.4890000000000001</v>
      </c>
      <c r="H241" s="225">
        <v>43617</v>
      </c>
      <c r="I241">
        <v>117.6</v>
      </c>
      <c r="M241" s="225">
        <v>43586</v>
      </c>
      <c r="N241">
        <v>102.41759999999999</v>
      </c>
    </row>
    <row r="242" spans="3:14" x14ac:dyDescent="0.2">
      <c r="C242" s="225">
        <v>39995</v>
      </c>
      <c r="D242">
        <v>0.92800000000000005</v>
      </c>
      <c r="E242" s="225">
        <v>39995</v>
      </c>
      <c r="F242">
        <v>1.4910000000000001</v>
      </c>
      <c r="H242" s="225">
        <v>43647</v>
      </c>
      <c r="I242">
        <v>119</v>
      </c>
      <c r="M242" s="225">
        <v>43617</v>
      </c>
      <c r="N242">
        <v>102.5425</v>
      </c>
    </row>
    <row r="243" spans="3:14" x14ac:dyDescent="0.2">
      <c r="C243" s="225">
        <v>40026</v>
      </c>
      <c r="D243">
        <v>0.94</v>
      </c>
      <c r="E243" s="225">
        <v>40026</v>
      </c>
      <c r="F243">
        <v>1.4770000000000001</v>
      </c>
      <c r="H243" s="225">
        <v>43678</v>
      </c>
      <c r="I243">
        <v>120.5</v>
      </c>
      <c r="M243" s="225">
        <v>43647</v>
      </c>
      <c r="N243">
        <v>102.0057</v>
      </c>
    </row>
    <row r="244" spans="3:14" x14ac:dyDescent="0.2">
      <c r="C244" s="225">
        <v>40057</v>
      </c>
      <c r="D244">
        <v>0.96599999999999997</v>
      </c>
      <c r="E244" s="225">
        <v>40057</v>
      </c>
      <c r="F244">
        <v>1.556</v>
      </c>
      <c r="H244" s="225">
        <v>43709</v>
      </c>
      <c r="I244">
        <v>117.6</v>
      </c>
      <c r="M244" s="225">
        <v>43678</v>
      </c>
      <c r="N244">
        <v>102.7814</v>
      </c>
    </row>
    <row r="245" spans="3:14" x14ac:dyDescent="0.2">
      <c r="C245" s="225">
        <v>40087</v>
      </c>
      <c r="D245">
        <v>0.92100000000000004</v>
      </c>
      <c r="E245" s="225">
        <v>40087</v>
      </c>
      <c r="F245">
        <v>1.5169999999999999</v>
      </c>
      <c r="H245" s="225">
        <v>43739</v>
      </c>
      <c r="I245">
        <v>118</v>
      </c>
      <c r="M245" s="225">
        <v>43709</v>
      </c>
      <c r="N245">
        <v>102.4601</v>
      </c>
    </row>
    <row r="246" spans="3:14" x14ac:dyDescent="0.2">
      <c r="C246" s="225">
        <v>40118</v>
      </c>
      <c r="D246">
        <v>0.94699999999999995</v>
      </c>
      <c r="E246" s="225">
        <v>40118</v>
      </c>
      <c r="F246">
        <v>1.5960000000000001</v>
      </c>
      <c r="H246" s="225">
        <v>43770</v>
      </c>
      <c r="I246">
        <v>117.4</v>
      </c>
      <c r="M246" s="225">
        <v>43739</v>
      </c>
      <c r="N246">
        <v>101.5878</v>
      </c>
    </row>
    <row r="247" spans="3:14" x14ac:dyDescent="0.2">
      <c r="C247" s="225">
        <v>40148</v>
      </c>
      <c r="D247">
        <v>0.91900000000000004</v>
      </c>
      <c r="E247" s="225">
        <v>40148</v>
      </c>
      <c r="F247">
        <v>1.528</v>
      </c>
      <c r="H247" s="225">
        <v>43800</v>
      </c>
      <c r="I247">
        <v>116.4</v>
      </c>
      <c r="M247" s="225">
        <v>43770</v>
      </c>
      <c r="N247">
        <v>102.1494</v>
      </c>
    </row>
    <row r="248" spans="3:14" x14ac:dyDescent="0.2">
      <c r="C248" s="225">
        <v>40179</v>
      </c>
      <c r="D248">
        <v>0.89900000000000002</v>
      </c>
      <c r="E248" s="225">
        <v>40179</v>
      </c>
      <c r="F248">
        <v>1.462</v>
      </c>
      <c r="H248" s="225">
        <v>43831</v>
      </c>
      <c r="I248">
        <v>116.1</v>
      </c>
      <c r="M248" s="225">
        <v>43800</v>
      </c>
      <c r="N248">
        <v>101.9421</v>
      </c>
    </row>
    <row r="249" spans="3:14" x14ac:dyDescent="0.2">
      <c r="C249" s="225">
        <v>40210</v>
      </c>
      <c r="D249">
        <v>0.93</v>
      </c>
      <c r="E249" s="225">
        <v>40210</v>
      </c>
      <c r="F249">
        <v>1.5489999999999999</v>
      </c>
      <c r="H249" s="225">
        <v>43862</v>
      </c>
      <c r="I249">
        <v>116.4</v>
      </c>
      <c r="M249" s="225">
        <v>43831</v>
      </c>
      <c r="N249">
        <v>101.3372</v>
      </c>
    </row>
    <row r="250" spans="3:14" x14ac:dyDescent="0.2">
      <c r="C250" s="225">
        <v>40238</v>
      </c>
      <c r="D250">
        <v>0.97399999999999998</v>
      </c>
      <c r="E250" s="225">
        <v>40238</v>
      </c>
      <c r="F250">
        <v>1.663</v>
      </c>
      <c r="H250" s="225">
        <v>43891</v>
      </c>
      <c r="I250">
        <v>116.7</v>
      </c>
      <c r="M250" s="225">
        <v>43862</v>
      </c>
      <c r="N250">
        <v>101.6718</v>
      </c>
    </row>
    <row r="251" spans="3:14" x14ac:dyDescent="0.2">
      <c r="C251" s="225">
        <v>40269</v>
      </c>
      <c r="D251">
        <v>0.99099999999999999</v>
      </c>
      <c r="E251" s="225">
        <v>40269</v>
      </c>
      <c r="F251">
        <v>1.6890000000000001</v>
      </c>
      <c r="H251" s="225">
        <v>43922</v>
      </c>
      <c r="I251">
        <v>106.5</v>
      </c>
      <c r="M251" s="225">
        <v>43891</v>
      </c>
      <c r="N251">
        <v>97.605999999999995</v>
      </c>
    </row>
    <row r="252" spans="3:14" x14ac:dyDescent="0.2">
      <c r="C252" s="225">
        <v>40299</v>
      </c>
      <c r="D252">
        <v>1.014</v>
      </c>
      <c r="E252" s="225">
        <v>40299</v>
      </c>
      <c r="F252">
        <v>1.784</v>
      </c>
      <c r="H252" s="225">
        <v>43952</v>
      </c>
      <c r="I252">
        <v>109.5</v>
      </c>
      <c r="M252" s="225">
        <v>43922</v>
      </c>
      <c r="N252">
        <v>84.681200000000004</v>
      </c>
    </row>
    <row r="253" spans="3:14" x14ac:dyDescent="0.2">
      <c r="C253" s="225">
        <v>40330</v>
      </c>
      <c r="D253">
        <v>1.1060000000000001</v>
      </c>
      <c r="E253" s="225">
        <v>40330</v>
      </c>
      <c r="F253">
        <v>1.919</v>
      </c>
      <c r="H253" s="225">
        <v>43983</v>
      </c>
      <c r="I253">
        <v>111.4</v>
      </c>
      <c r="M253" s="225">
        <v>43952</v>
      </c>
      <c r="N253">
        <v>86.010800000000003</v>
      </c>
    </row>
    <row r="254" spans="3:14" x14ac:dyDescent="0.2">
      <c r="C254" s="225">
        <v>40360</v>
      </c>
      <c r="D254">
        <v>1.0109999999999999</v>
      </c>
      <c r="E254" s="225">
        <v>40360</v>
      </c>
      <c r="F254">
        <v>1.8320000000000001</v>
      </c>
      <c r="H254" s="225">
        <v>44013</v>
      </c>
      <c r="I254">
        <v>114.1</v>
      </c>
      <c r="M254" s="225">
        <v>43983</v>
      </c>
      <c r="N254">
        <v>91.674499999999995</v>
      </c>
    </row>
    <row r="255" spans="3:14" x14ac:dyDescent="0.2">
      <c r="C255" s="225">
        <v>40391</v>
      </c>
      <c r="D255">
        <v>1.095</v>
      </c>
      <c r="E255" s="225">
        <v>40391</v>
      </c>
      <c r="F255">
        <v>1.9710000000000001</v>
      </c>
      <c r="H255" s="225">
        <v>44044</v>
      </c>
      <c r="I255">
        <v>112</v>
      </c>
      <c r="M255" s="225">
        <v>44013</v>
      </c>
      <c r="N255">
        <v>95.003699999999995</v>
      </c>
    </row>
    <row r="256" spans="3:14" x14ac:dyDescent="0.2">
      <c r="C256" s="225">
        <v>40422</v>
      </c>
      <c r="D256">
        <v>1.1160000000000001</v>
      </c>
      <c r="E256" s="225">
        <v>40422</v>
      </c>
      <c r="F256">
        <v>2.0310000000000001</v>
      </c>
      <c r="H256" s="225">
        <v>44075</v>
      </c>
      <c r="I256">
        <v>111</v>
      </c>
      <c r="M256" s="225">
        <v>44044</v>
      </c>
      <c r="N256">
        <v>95.929400000000001</v>
      </c>
    </row>
    <row r="257" spans="3:14" x14ac:dyDescent="0.2">
      <c r="C257" s="225">
        <v>40452</v>
      </c>
      <c r="D257">
        <v>1.0580000000000001</v>
      </c>
      <c r="E257" s="225">
        <v>40452</v>
      </c>
      <c r="F257">
        <v>1.976</v>
      </c>
      <c r="H257" s="225">
        <v>44105</v>
      </c>
      <c r="I257">
        <v>111.3</v>
      </c>
      <c r="M257" s="225">
        <v>44075</v>
      </c>
      <c r="N257">
        <v>95.891400000000004</v>
      </c>
    </row>
    <row r="258" spans="3:14" x14ac:dyDescent="0.2">
      <c r="C258" s="225">
        <v>40483</v>
      </c>
      <c r="D258">
        <v>1.0880000000000001</v>
      </c>
      <c r="E258" s="225">
        <v>40483</v>
      </c>
      <c r="F258">
        <v>1.9890000000000001</v>
      </c>
      <c r="H258" s="225">
        <v>44136</v>
      </c>
      <c r="I258">
        <v>112.4</v>
      </c>
      <c r="M258" s="225">
        <v>44105</v>
      </c>
      <c r="N258">
        <v>96.525599999999997</v>
      </c>
    </row>
    <row r="259" spans="3:14" x14ac:dyDescent="0.2">
      <c r="C259" s="225">
        <v>40513</v>
      </c>
      <c r="D259">
        <v>1.0489999999999999</v>
      </c>
      <c r="E259" s="225">
        <v>40513</v>
      </c>
      <c r="F259">
        <v>1.9119999999999999</v>
      </c>
      <c r="H259" s="225">
        <v>44166</v>
      </c>
      <c r="I259">
        <v>113.2</v>
      </c>
      <c r="M259" s="225">
        <v>44136</v>
      </c>
      <c r="N259">
        <v>96.9529</v>
      </c>
    </row>
    <row r="260" spans="3:14" x14ac:dyDescent="0.2">
      <c r="C260" s="225">
        <v>40544</v>
      </c>
      <c r="D260">
        <v>1.01</v>
      </c>
      <c r="E260" s="225">
        <v>40544</v>
      </c>
      <c r="F260">
        <v>1.859</v>
      </c>
      <c r="H260" s="225">
        <v>44197</v>
      </c>
      <c r="I260">
        <v>114.2</v>
      </c>
      <c r="M260" s="225">
        <v>44166</v>
      </c>
      <c r="N260">
        <v>98.203900000000004</v>
      </c>
    </row>
    <row r="261" spans="3:14" x14ac:dyDescent="0.2">
      <c r="C261" s="225">
        <v>40575</v>
      </c>
      <c r="D261">
        <v>1.036</v>
      </c>
      <c r="E261" s="225">
        <v>40575</v>
      </c>
      <c r="F261">
        <v>2.0910000000000002</v>
      </c>
      <c r="H261" s="225">
        <v>44228</v>
      </c>
      <c r="I261">
        <v>112.3</v>
      </c>
      <c r="M261" s="225">
        <v>44197</v>
      </c>
      <c r="N261">
        <v>98.813500000000005</v>
      </c>
    </row>
    <row r="262" spans="3:14" x14ac:dyDescent="0.2">
      <c r="C262" s="225">
        <v>40603</v>
      </c>
      <c r="D262">
        <v>1.1080000000000001</v>
      </c>
      <c r="E262" s="225">
        <v>40603</v>
      </c>
      <c r="F262">
        <v>2.222</v>
      </c>
      <c r="H262" s="225">
        <v>44256</v>
      </c>
      <c r="I262">
        <v>113.5</v>
      </c>
      <c r="M262" s="225">
        <v>44228</v>
      </c>
      <c r="N262">
        <v>95.507199999999997</v>
      </c>
    </row>
    <row r="263" spans="3:14" x14ac:dyDescent="0.2">
      <c r="C263" s="225">
        <v>40634</v>
      </c>
      <c r="D263">
        <v>1.113</v>
      </c>
      <c r="E263" s="225">
        <v>40634</v>
      </c>
      <c r="F263">
        <v>2.2789999999999999</v>
      </c>
      <c r="H263" s="225">
        <v>44287</v>
      </c>
      <c r="I263">
        <v>113.8</v>
      </c>
      <c r="M263" s="225">
        <v>44256</v>
      </c>
      <c r="N263">
        <v>98.192899999999995</v>
      </c>
    </row>
    <row r="264" spans="3:14" x14ac:dyDescent="0.2">
      <c r="C264" s="225">
        <v>40664</v>
      </c>
      <c r="D264">
        <v>1.111</v>
      </c>
      <c r="E264" s="225">
        <v>40664</v>
      </c>
      <c r="F264">
        <v>2.3170000000000002</v>
      </c>
      <c r="H264" s="225">
        <v>44317</v>
      </c>
      <c r="I264">
        <v>113.1</v>
      </c>
      <c r="M264" s="225">
        <v>44287</v>
      </c>
      <c r="N264">
        <v>98.331699999999998</v>
      </c>
    </row>
    <row r="265" spans="3:14" x14ac:dyDescent="0.2">
      <c r="C265" s="225">
        <v>40695</v>
      </c>
      <c r="D265">
        <v>1.165</v>
      </c>
      <c r="E265" s="225">
        <v>40695</v>
      </c>
      <c r="F265">
        <v>2.423</v>
      </c>
      <c r="H265" s="225">
        <v>44348</v>
      </c>
      <c r="I265">
        <v>111.4</v>
      </c>
      <c r="M265" s="225">
        <v>44317</v>
      </c>
      <c r="N265">
        <v>99.186700000000002</v>
      </c>
    </row>
    <row r="266" spans="3:14" x14ac:dyDescent="0.2">
      <c r="C266" s="225">
        <v>40725</v>
      </c>
      <c r="D266">
        <v>1.1220000000000001</v>
      </c>
      <c r="E266" s="225">
        <v>40725</v>
      </c>
      <c r="F266">
        <v>2.3730000000000002</v>
      </c>
      <c r="H266" s="225">
        <v>44378</v>
      </c>
      <c r="I266">
        <v>111.3</v>
      </c>
      <c r="M266" s="225">
        <v>44348</v>
      </c>
      <c r="N266">
        <v>99.648300000000006</v>
      </c>
    </row>
    <row r="267" spans="3:14" x14ac:dyDescent="0.2">
      <c r="C267" s="225">
        <v>40756</v>
      </c>
      <c r="D267">
        <v>1.143</v>
      </c>
      <c r="E267" s="225">
        <v>40756</v>
      </c>
      <c r="F267">
        <v>2.282</v>
      </c>
      <c r="H267" s="225">
        <v>44409</v>
      </c>
      <c r="I267">
        <v>110.8</v>
      </c>
      <c r="M267" s="225">
        <v>44378</v>
      </c>
      <c r="N267">
        <v>100.0668</v>
      </c>
    </row>
    <row r="268" spans="3:14" x14ac:dyDescent="0.2">
      <c r="C268" s="225">
        <v>40787</v>
      </c>
      <c r="D268">
        <v>1.2</v>
      </c>
      <c r="E268" s="225">
        <v>40787</v>
      </c>
      <c r="F268">
        <v>2.3380000000000001</v>
      </c>
      <c r="H268" s="225">
        <v>44440</v>
      </c>
      <c r="I268">
        <v>112.5</v>
      </c>
      <c r="M268" s="225">
        <v>44409</v>
      </c>
      <c r="N268">
        <v>100.0412</v>
      </c>
    </row>
    <row r="269" spans="3:14" x14ac:dyDescent="0.2">
      <c r="C269" s="225">
        <v>40817</v>
      </c>
      <c r="D269">
        <v>1.081</v>
      </c>
      <c r="E269" s="225">
        <v>40817</v>
      </c>
      <c r="F269">
        <v>2.2949999999999999</v>
      </c>
      <c r="H269" s="225">
        <v>44470</v>
      </c>
      <c r="I269">
        <v>113.3</v>
      </c>
      <c r="M269" s="225">
        <v>44440</v>
      </c>
      <c r="N269">
        <v>98.995500000000007</v>
      </c>
    </row>
    <row r="270" spans="3:14" x14ac:dyDescent="0.2">
      <c r="C270" s="225">
        <v>40848</v>
      </c>
      <c r="D270">
        <v>1.056</v>
      </c>
      <c r="E270" s="225">
        <v>40848</v>
      </c>
      <c r="F270">
        <v>2.2679999999999998</v>
      </c>
      <c r="H270" s="225">
        <v>44501</v>
      </c>
      <c r="I270">
        <v>114.2</v>
      </c>
      <c r="M270" s="225">
        <v>44470</v>
      </c>
      <c r="N270">
        <v>100.35420000000001</v>
      </c>
    </row>
    <row r="271" spans="3:14" x14ac:dyDescent="0.2">
      <c r="C271" s="225">
        <v>40878</v>
      </c>
      <c r="D271">
        <v>1.056</v>
      </c>
      <c r="E271" s="225">
        <v>40878</v>
      </c>
      <c r="F271">
        <v>2.2719999999999998</v>
      </c>
      <c r="H271" s="225">
        <v>44531</v>
      </c>
      <c r="I271">
        <v>114.9</v>
      </c>
      <c r="M271" s="225">
        <v>44501</v>
      </c>
      <c r="N271">
        <v>101.2684</v>
      </c>
    </row>
    <row r="272" spans="3:14" x14ac:dyDescent="0.2">
      <c r="C272" s="225">
        <v>40909</v>
      </c>
      <c r="D272">
        <v>1.046</v>
      </c>
      <c r="E272" s="225">
        <v>40909</v>
      </c>
      <c r="F272">
        <v>2.2690000000000001</v>
      </c>
      <c r="H272" s="225">
        <v>44562</v>
      </c>
      <c r="I272">
        <v>115</v>
      </c>
      <c r="M272" s="225">
        <v>44531</v>
      </c>
      <c r="N272">
        <v>101.1948</v>
      </c>
    </row>
    <row r="273" spans="3:14" x14ac:dyDescent="0.2">
      <c r="C273" s="225">
        <v>40940</v>
      </c>
      <c r="D273">
        <v>1.0720000000000001</v>
      </c>
      <c r="E273" s="225">
        <v>40940</v>
      </c>
      <c r="F273">
        <v>2.2949999999999999</v>
      </c>
      <c r="H273" s="225">
        <v>44593</v>
      </c>
      <c r="I273">
        <v>115.6</v>
      </c>
      <c r="M273" s="225">
        <v>44562</v>
      </c>
      <c r="N273">
        <v>101.2146</v>
      </c>
    </row>
    <row r="274" spans="3:14" x14ac:dyDescent="0.2">
      <c r="C274" s="225">
        <v>40969</v>
      </c>
      <c r="D274">
        <v>1.0940000000000001</v>
      </c>
      <c r="E274" s="225">
        <v>40969</v>
      </c>
      <c r="F274">
        <v>2.3170000000000002</v>
      </c>
      <c r="H274" s="225">
        <v>44621</v>
      </c>
      <c r="I274">
        <v>117.3</v>
      </c>
      <c r="M274" s="225">
        <v>44593</v>
      </c>
      <c r="N274">
        <v>101.8458</v>
      </c>
    </row>
    <row r="275" spans="3:14" x14ac:dyDescent="0.2">
      <c r="C275" s="225">
        <v>41000</v>
      </c>
      <c r="D275">
        <v>1.115</v>
      </c>
      <c r="E275" s="225">
        <v>41000</v>
      </c>
      <c r="F275">
        <v>2.395</v>
      </c>
      <c r="H275" s="225">
        <v>44652</v>
      </c>
      <c r="I275">
        <v>117.2</v>
      </c>
      <c r="M275" s="225">
        <v>44621</v>
      </c>
      <c r="N275">
        <v>102.67319999999999</v>
      </c>
    </row>
    <row r="276" spans="3:14" x14ac:dyDescent="0.2">
      <c r="C276" s="225">
        <v>41030</v>
      </c>
      <c r="D276">
        <v>1.135</v>
      </c>
      <c r="E276" s="225">
        <v>41030</v>
      </c>
      <c r="F276">
        <v>2.4470000000000001</v>
      </c>
      <c r="H276" s="225">
        <v>44682</v>
      </c>
      <c r="I276">
        <v>116.8</v>
      </c>
      <c r="M276" s="225">
        <v>44652</v>
      </c>
      <c r="N276">
        <v>102.9024</v>
      </c>
    </row>
    <row r="277" spans="3:14" x14ac:dyDescent="0.2">
      <c r="C277" s="225">
        <v>41061</v>
      </c>
      <c r="D277">
        <v>1.1499999999999999</v>
      </c>
      <c r="E277" s="225">
        <v>41061</v>
      </c>
      <c r="F277">
        <v>2.444</v>
      </c>
      <c r="H277" s="225">
        <v>44713</v>
      </c>
      <c r="I277">
        <v>117.9</v>
      </c>
      <c r="M277" s="225">
        <v>44682</v>
      </c>
      <c r="N277">
        <v>102.9659</v>
      </c>
    </row>
    <row r="278" spans="3:14" x14ac:dyDescent="0.2">
      <c r="C278" s="225">
        <v>41091</v>
      </c>
      <c r="D278">
        <v>1.1419999999999999</v>
      </c>
      <c r="E278" s="225">
        <v>41091</v>
      </c>
      <c r="F278">
        <v>2.3940000000000001</v>
      </c>
      <c r="H278" s="225">
        <v>44743</v>
      </c>
      <c r="I278">
        <v>116.8</v>
      </c>
      <c r="M278" s="225">
        <v>44713</v>
      </c>
      <c r="N278">
        <v>102.8224</v>
      </c>
    </row>
    <row r="279" spans="3:14" x14ac:dyDescent="0.2">
      <c r="C279" s="225">
        <v>41122</v>
      </c>
      <c r="D279">
        <v>1.1299999999999999</v>
      </c>
      <c r="E279" s="225">
        <v>41122</v>
      </c>
      <c r="F279">
        <v>2.3679999999999999</v>
      </c>
      <c r="H279" s="225">
        <v>44774</v>
      </c>
      <c r="I279">
        <v>117.8</v>
      </c>
      <c r="M279" s="225">
        <v>44743</v>
      </c>
      <c r="N279">
        <v>103.0505</v>
      </c>
    </row>
    <row r="280" spans="3:14" x14ac:dyDescent="0.2">
      <c r="C280" s="225">
        <v>41153</v>
      </c>
      <c r="D280">
        <v>1.155</v>
      </c>
      <c r="E280" s="225">
        <v>41153</v>
      </c>
      <c r="F280">
        <v>2.4470000000000001</v>
      </c>
      <c r="H280" s="225">
        <v>44805</v>
      </c>
      <c r="I280">
        <v>118.9</v>
      </c>
      <c r="M280" s="225">
        <v>44774</v>
      </c>
      <c r="N280">
        <v>103.1703</v>
      </c>
    </row>
    <row r="281" spans="3:14" x14ac:dyDescent="0.2">
      <c r="C281" s="225">
        <v>41183</v>
      </c>
      <c r="D281">
        <v>1.139</v>
      </c>
      <c r="E281" s="225">
        <v>41183</v>
      </c>
      <c r="F281">
        <v>2.4870000000000001</v>
      </c>
      <c r="H281" s="225">
        <v>44835</v>
      </c>
      <c r="I281">
        <v>117.6</v>
      </c>
      <c r="M281" s="225">
        <v>44805</v>
      </c>
      <c r="N281">
        <v>103.5326</v>
      </c>
    </row>
    <row r="282" spans="3:14" x14ac:dyDescent="0.2">
      <c r="C282" s="225">
        <v>41214</v>
      </c>
      <c r="D282">
        <v>1.093</v>
      </c>
      <c r="E282" s="225">
        <v>41214</v>
      </c>
      <c r="F282">
        <v>2.3420000000000001</v>
      </c>
      <c r="H282" s="225">
        <v>44866</v>
      </c>
      <c r="I282">
        <v>115.2</v>
      </c>
      <c r="M282" s="225">
        <v>44835</v>
      </c>
      <c r="N282">
        <v>103.4442</v>
      </c>
    </row>
    <row r="283" spans="3:14" x14ac:dyDescent="0.2">
      <c r="C283" s="225">
        <v>41244</v>
      </c>
      <c r="D283">
        <v>1.071</v>
      </c>
      <c r="E283" s="225">
        <v>41244</v>
      </c>
      <c r="F283">
        <v>2.3639999999999999</v>
      </c>
      <c r="H283" s="225">
        <v>44896</v>
      </c>
      <c r="I283">
        <v>116.2</v>
      </c>
      <c r="M283" s="225">
        <v>44866</v>
      </c>
      <c r="N283">
        <v>103.1058</v>
      </c>
    </row>
    <row r="284" spans="3:14" x14ac:dyDescent="0.2">
      <c r="C284" s="225">
        <v>41275</v>
      </c>
      <c r="D284">
        <v>1.02</v>
      </c>
      <c r="E284" s="225">
        <v>41275</v>
      </c>
      <c r="F284">
        <v>2.2330000000000001</v>
      </c>
      <c r="H284" s="225">
        <v>44927</v>
      </c>
      <c r="I284">
        <v>116.3</v>
      </c>
      <c r="M284" s="225">
        <v>44896</v>
      </c>
      <c r="N284">
        <v>101.8266</v>
      </c>
    </row>
    <row r="285" spans="3:14" x14ac:dyDescent="0.2">
      <c r="C285" s="225">
        <v>41306</v>
      </c>
      <c r="D285">
        <v>1.077</v>
      </c>
      <c r="E285" s="225">
        <v>41306</v>
      </c>
      <c r="F285">
        <v>2.2730000000000001</v>
      </c>
      <c r="H285" s="225">
        <v>44958</v>
      </c>
      <c r="I285">
        <v>117.5</v>
      </c>
      <c r="M285" s="225">
        <v>44927</v>
      </c>
      <c r="N285">
        <v>102.74760000000001</v>
      </c>
    </row>
    <row r="286" spans="3:14" x14ac:dyDescent="0.2">
      <c r="C286" s="225">
        <v>41334</v>
      </c>
      <c r="D286">
        <v>1.1399999999999999</v>
      </c>
      <c r="E286" s="225">
        <v>41334</v>
      </c>
      <c r="F286">
        <v>2.42</v>
      </c>
      <c r="H286" s="225">
        <v>44986</v>
      </c>
      <c r="I286">
        <v>114.5</v>
      </c>
      <c r="M286" s="225">
        <v>44958</v>
      </c>
      <c r="N286">
        <v>102.80029999999999</v>
      </c>
    </row>
    <row r="287" spans="3:14" x14ac:dyDescent="0.2">
      <c r="C287" s="225">
        <v>41365</v>
      </c>
      <c r="D287">
        <v>1.1000000000000001</v>
      </c>
      <c r="E287" s="225">
        <v>41365</v>
      </c>
      <c r="F287">
        <v>2.3820000000000001</v>
      </c>
      <c r="H287" s="225">
        <v>45017</v>
      </c>
      <c r="I287">
        <v>113.9</v>
      </c>
      <c r="M287" s="225">
        <v>44986</v>
      </c>
      <c r="N287">
        <v>102.8143</v>
      </c>
    </row>
    <row r="288" spans="3:14" x14ac:dyDescent="0.2">
      <c r="C288" s="225">
        <v>41395</v>
      </c>
      <c r="D288">
        <v>1.1319999999999999</v>
      </c>
      <c r="E288" s="225">
        <v>41395</v>
      </c>
      <c r="F288">
        <v>2.383</v>
      </c>
      <c r="H288" s="225">
        <v>45047</v>
      </c>
      <c r="I288">
        <v>113.7</v>
      </c>
      <c r="M288" s="225">
        <v>45017</v>
      </c>
      <c r="N288">
        <v>103.22410000000001</v>
      </c>
    </row>
    <row r="289" spans="3:14" x14ac:dyDescent="0.2">
      <c r="C289" s="225">
        <v>41426</v>
      </c>
      <c r="D289">
        <v>1.133</v>
      </c>
      <c r="E289" s="225">
        <v>41426</v>
      </c>
      <c r="F289">
        <v>2.4630000000000001</v>
      </c>
      <c r="H289" s="225">
        <v>45078</v>
      </c>
      <c r="I289">
        <v>114.2</v>
      </c>
      <c r="M289" s="225">
        <v>45047</v>
      </c>
      <c r="N289">
        <v>102.98090000000001</v>
      </c>
    </row>
    <row r="290" spans="3:14" x14ac:dyDescent="0.2">
      <c r="C290" s="225">
        <v>41456</v>
      </c>
      <c r="D290">
        <v>1.107</v>
      </c>
      <c r="E290" s="225">
        <v>41456</v>
      </c>
      <c r="F290">
        <v>2.484</v>
      </c>
      <c r="H290" s="225">
        <v>45108</v>
      </c>
      <c r="I290">
        <v>115.5</v>
      </c>
      <c r="M290" s="225">
        <v>45078</v>
      </c>
      <c r="N290">
        <v>102.3809</v>
      </c>
    </row>
    <row r="291" spans="3:14" x14ac:dyDescent="0.2">
      <c r="C291" s="225">
        <v>41487</v>
      </c>
      <c r="D291">
        <v>1.1259999999999999</v>
      </c>
      <c r="E291" s="225">
        <v>41487</v>
      </c>
      <c r="F291">
        <v>2.448</v>
      </c>
      <c r="H291" s="225">
        <v>45139</v>
      </c>
      <c r="I291">
        <v>114.5</v>
      </c>
      <c r="M291" s="225">
        <v>45108</v>
      </c>
      <c r="N291">
        <v>103.0722</v>
      </c>
    </row>
    <row r="292" spans="3:14" x14ac:dyDescent="0.2">
      <c r="C292" s="225">
        <v>41518</v>
      </c>
      <c r="D292">
        <v>1.1559999999999999</v>
      </c>
      <c r="E292" s="225">
        <v>41518</v>
      </c>
      <c r="F292">
        <v>2.5750000000000002</v>
      </c>
      <c r="H292" s="225">
        <v>45170</v>
      </c>
      <c r="I292">
        <v>114.3</v>
      </c>
      <c r="M292" s="225">
        <v>45139</v>
      </c>
      <c r="N292">
        <v>103.0951</v>
      </c>
    </row>
    <row r="293" spans="3:14" x14ac:dyDescent="0.2">
      <c r="C293" s="225">
        <v>41548</v>
      </c>
      <c r="D293">
        <v>1.1160000000000001</v>
      </c>
      <c r="E293" s="225">
        <v>41548</v>
      </c>
      <c r="F293">
        <v>2.508</v>
      </c>
      <c r="H293" s="225">
        <v>45200</v>
      </c>
      <c r="I293">
        <v>114.3</v>
      </c>
      <c r="M293" s="225">
        <v>45170</v>
      </c>
      <c r="N293">
        <v>103.3081</v>
      </c>
    </row>
    <row r="294" spans="3:14" x14ac:dyDescent="0.2">
      <c r="C294" s="225">
        <v>41579</v>
      </c>
      <c r="D294">
        <v>1.105</v>
      </c>
      <c r="E294" s="225">
        <v>41579</v>
      </c>
      <c r="F294">
        <v>2.524</v>
      </c>
      <c r="H294" s="225">
        <v>45231</v>
      </c>
      <c r="I294">
        <v>113.5</v>
      </c>
      <c r="M294" s="225">
        <v>45200</v>
      </c>
      <c r="N294">
        <v>102.57810000000001</v>
      </c>
    </row>
    <row r="295" spans="3:14" x14ac:dyDescent="0.2">
      <c r="C295" s="225">
        <v>41609</v>
      </c>
      <c r="D295">
        <v>1.0369999999999999</v>
      </c>
      <c r="E295" s="225">
        <v>41609</v>
      </c>
      <c r="F295">
        <v>2.387</v>
      </c>
      <c r="H295" s="225">
        <v>45261</v>
      </c>
      <c r="I295">
        <v>115.4</v>
      </c>
      <c r="M295" s="225">
        <v>45231</v>
      </c>
      <c r="N295">
        <v>102.88679999999999</v>
      </c>
    </row>
    <row r="296" spans="3:14" x14ac:dyDescent="0.2">
      <c r="C296" s="225">
        <v>41640</v>
      </c>
      <c r="D296">
        <v>1</v>
      </c>
      <c r="E296" s="225">
        <v>41640</v>
      </c>
      <c r="F296">
        <v>2.2650000000000001</v>
      </c>
      <c r="H296" s="225">
        <v>45292</v>
      </c>
      <c r="I296">
        <v>111</v>
      </c>
      <c r="M296" s="225">
        <v>45261</v>
      </c>
      <c r="N296">
        <v>102.6309</v>
      </c>
    </row>
    <row r="297" spans="3:14" x14ac:dyDescent="0.2">
      <c r="C297" s="225">
        <v>41671</v>
      </c>
      <c r="D297">
        <v>1.073</v>
      </c>
      <c r="E297" s="225">
        <v>41671</v>
      </c>
      <c r="F297">
        <v>2.419</v>
      </c>
      <c r="H297" s="225">
        <v>45323</v>
      </c>
      <c r="I297">
        <v>114.8</v>
      </c>
      <c r="M297" s="225">
        <v>45292</v>
      </c>
      <c r="N297">
        <v>101.483</v>
      </c>
    </row>
    <row r="298" spans="3:14" x14ac:dyDescent="0.2">
      <c r="C298" s="225">
        <v>41699</v>
      </c>
      <c r="D298">
        <v>1.1439999999999999</v>
      </c>
      <c r="E298" s="225">
        <v>41699</v>
      </c>
      <c r="F298">
        <v>2.5489999999999999</v>
      </c>
      <c r="H298" s="225">
        <v>45352</v>
      </c>
      <c r="I298">
        <v>113</v>
      </c>
      <c r="M298" s="225">
        <v>45323</v>
      </c>
      <c r="N298">
        <v>102.72669999999999</v>
      </c>
    </row>
    <row r="299" spans="3:14" x14ac:dyDescent="0.2">
      <c r="C299" s="225">
        <v>41730</v>
      </c>
      <c r="D299">
        <v>1.161</v>
      </c>
      <c r="E299" s="225">
        <v>41730</v>
      </c>
      <c r="F299">
        <v>2.621</v>
      </c>
      <c r="H299" s="225">
        <v>45383</v>
      </c>
      <c r="I299">
        <v>112.8</v>
      </c>
      <c r="M299" s="225">
        <v>45352</v>
      </c>
      <c r="N299">
        <v>102.51860000000001</v>
      </c>
    </row>
    <row r="300" spans="3:14" x14ac:dyDescent="0.2">
      <c r="C300" s="225">
        <v>41760</v>
      </c>
      <c r="D300">
        <v>1.173</v>
      </c>
      <c r="E300" s="225">
        <v>41760</v>
      </c>
      <c r="F300">
        <v>2.649</v>
      </c>
      <c r="H300" s="225">
        <v>45413</v>
      </c>
      <c r="I300">
        <v>114.9</v>
      </c>
      <c r="M300" s="225">
        <v>45383</v>
      </c>
      <c r="N300">
        <v>102.35680000000001</v>
      </c>
    </row>
    <row r="301" spans="3:14" x14ac:dyDescent="0.2">
      <c r="C301" s="225">
        <v>41791</v>
      </c>
      <c r="D301">
        <v>1.2010000000000001</v>
      </c>
      <c r="E301" s="225">
        <v>41791</v>
      </c>
      <c r="F301">
        <v>2.76</v>
      </c>
      <c r="H301" s="225">
        <v>45444</v>
      </c>
      <c r="I301">
        <v>113.8</v>
      </c>
      <c r="M301" s="225">
        <v>45413</v>
      </c>
      <c r="N301">
        <v>102.97969999999999</v>
      </c>
    </row>
    <row r="302" spans="3:14" x14ac:dyDescent="0.2">
      <c r="C302" s="225">
        <v>41821</v>
      </c>
      <c r="D302">
        <v>1.1539999999999999</v>
      </c>
      <c r="E302" s="225">
        <v>41821</v>
      </c>
      <c r="F302">
        <v>2.6509999999999998</v>
      </c>
      <c r="H302" s="225">
        <v>45474</v>
      </c>
      <c r="I302">
        <v>114.1</v>
      </c>
      <c r="M302" s="225">
        <v>45444</v>
      </c>
      <c r="N302">
        <v>103.2534</v>
      </c>
    </row>
    <row r="303" spans="3:14" x14ac:dyDescent="0.2">
      <c r="C303" s="225">
        <v>41852</v>
      </c>
      <c r="D303">
        <v>1.181</v>
      </c>
      <c r="E303" s="225">
        <v>41852</v>
      </c>
      <c r="F303">
        <v>2.6440000000000001</v>
      </c>
      <c r="H303" s="225">
        <v>45505</v>
      </c>
      <c r="I303">
        <v>115.2</v>
      </c>
      <c r="M303" s="225">
        <v>45474</v>
      </c>
      <c r="N303">
        <v>102.53400000000001</v>
      </c>
    </row>
    <row r="304" spans="3:14" x14ac:dyDescent="0.2">
      <c r="C304" s="225">
        <v>41883</v>
      </c>
      <c r="D304">
        <v>1.1639999999999999</v>
      </c>
      <c r="E304" s="225">
        <v>41883</v>
      </c>
      <c r="F304">
        <v>2.6659999999999999</v>
      </c>
      <c r="H304" s="225">
        <v>45536</v>
      </c>
      <c r="I304">
        <v>113.6</v>
      </c>
      <c r="M304" s="225">
        <v>45505</v>
      </c>
      <c r="N304">
        <v>103.0831</v>
      </c>
    </row>
    <row r="305" spans="3:14" x14ac:dyDescent="0.2">
      <c r="C305" s="225">
        <v>41913</v>
      </c>
      <c r="D305">
        <v>1.153</v>
      </c>
      <c r="E305" s="225">
        <v>41913</v>
      </c>
      <c r="F305">
        <v>2.6680000000000001</v>
      </c>
      <c r="H305" s="225">
        <v>45566</v>
      </c>
      <c r="I305">
        <v>113.9</v>
      </c>
      <c r="M305" s="225">
        <v>45536</v>
      </c>
      <c r="N305">
        <v>102.5283</v>
      </c>
    </row>
    <row r="306" spans="3:14" x14ac:dyDescent="0.2">
      <c r="C306" s="225">
        <v>41944</v>
      </c>
      <c r="D306">
        <v>1.151</v>
      </c>
      <c r="E306" s="225">
        <v>41944</v>
      </c>
      <c r="F306">
        <v>2.65</v>
      </c>
      <c r="M306" s="225">
        <v>45566</v>
      </c>
      <c r="N306">
        <v>102.1123</v>
      </c>
    </row>
    <row r="307" spans="3:14" x14ac:dyDescent="0.2">
      <c r="C307" s="225">
        <v>41974</v>
      </c>
      <c r="D307">
        <v>1.0780000000000001</v>
      </c>
      <c r="E307" s="225">
        <v>41974</v>
      </c>
      <c r="F307">
        <v>2.4729999999999999</v>
      </c>
      <c r="M307" s="225">
        <v>45597</v>
      </c>
      <c r="N307">
        <v>101.96210000000001</v>
      </c>
    </row>
    <row r="308" spans="3:14" x14ac:dyDescent="0.2">
      <c r="C308" s="225">
        <v>42005</v>
      </c>
      <c r="D308">
        <v>1.0269999999999999</v>
      </c>
      <c r="E308" s="225">
        <v>42005</v>
      </c>
      <c r="F308">
        <v>2.3330000000000002</v>
      </c>
      <c r="M308" s="225"/>
    </row>
    <row r="309" spans="3:14" x14ac:dyDescent="0.2">
      <c r="C309" s="225">
        <v>42036</v>
      </c>
      <c r="D309">
        <v>1.083</v>
      </c>
      <c r="E309" s="225">
        <v>42036</v>
      </c>
      <c r="F309">
        <v>2.4340000000000002</v>
      </c>
      <c r="M309" s="225"/>
    </row>
    <row r="310" spans="3:14" x14ac:dyDescent="0.2">
      <c r="C310" s="225">
        <v>42064</v>
      </c>
      <c r="D310">
        <v>1.0860000000000001</v>
      </c>
      <c r="E310" s="225">
        <v>42064</v>
      </c>
      <c r="F310">
        <v>2.4590000000000001</v>
      </c>
      <c r="M310" s="225"/>
    </row>
    <row r="311" spans="3:14" x14ac:dyDescent="0.2">
      <c r="C311" s="225">
        <v>42095</v>
      </c>
      <c r="D311">
        <v>1.1319999999999999</v>
      </c>
      <c r="E311" s="225">
        <v>42095</v>
      </c>
      <c r="F311">
        <v>2.4990000000000001</v>
      </c>
      <c r="M311" s="225"/>
    </row>
    <row r="312" spans="3:14" x14ac:dyDescent="0.2">
      <c r="C312" s="225">
        <v>42125</v>
      </c>
      <c r="D312">
        <v>1.1579999999999999</v>
      </c>
      <c r="E312" s="225">
        <v>42125</v>
      </c>
      <c r="F312">
        <v>2.5369999999999999</v>
      </c>
      <c r="M312" s="225"/>
    </row>
    <row r="313" spans="3:14" x14ac:dyDescent="0.2">
      <c r="C313" s="225">
        <v>42156</v>
      </c>
      <c r="D313">
        <v>1.1599999999999999</v>
      </c>
      <c r="E313" s="225">
        <v>42156</v>
      </c>
      <c r="F313">
        <v>2.5990000000000002</v>
      </c>
      <c r="M313" s="225"/>
    </row>
    <row r="314" spans="3:14" x14ac:dyDescent="0.2">
      <c r="C314" s="225">
        <v>42186</v>
      </c>
      <c r="D314">
        <v>1.141</v>
      </c>
      <c r="E314" s="225">
        <v>42186</v>
      </c>
      <c r="F314">
        <v>2.4820000000000002</v>
      </c>
      <c r="M314" s="225"/>
    </row>
    <row r="315" spans="3:14" x14ac:dyDescent="0.2">
      <c r="C315" s="225">
        <v>42217</v>
      </c>
      <c r="D315">
        <v>1.127</v>
      </c>
      <c r="E315" s="225">
        <v>42217</v>
      </c>
      <c r="F315">
        <v>2.4319999999999999</v>
      </c>
      <c r="M315" s="225"/>
    </row>
    <row r="316" spans="3:14" x14ac:dyDescent="0.2">
      <c r="C316" s="225">
        <v>42248</v>
      </c>
      <c r="D316">
        <v>1.1459999999999999</v>
      </c>
      <c r="E316" s="225">
        <v>42248</v>
      </c>
      <c r="F316">
        <v>2.4900000000000002</v>
      </c>
      <c r="M316" s="225"/>
    </row>
    <row r="317" spans="3:14" x14ac:dyDescent="0.2">
      <c r="C317" s="225">
        <v>42278</v>
      </c>
      <c r="D317">
        <v>1.0920000000000001</v>
      </c>
      <c r="E317" s="225">
        <v>42278</v>
      </c>
      <c r="F317">
        <v>2.4350000000000001</v>
      </c>
      <c r="M317" s="225"/>
    </row>
    <row r="318" spans="3:14" x14ac:dyDescent="0.2">
      <c r="C318" s="225">
        <v>42309</v>
      </c>
      <c r="D318">
        <v>1.0920000000000001</v>
      </c>
      <c r="E318" s="225">
        <v>42309</v>
      </c>
      <c r="F318">
        <v>2.4089999999999998</v>
      </c>
      <c r="M318" s="225"/>
    </row>
    <row r="319" spans="3:14" x14ac:dyDescent="0.2">
      <c r="C319" s="225">
        <v>42339</v>
      </c>
      <c r="D319">
        <v>1.038</v>
      </c>
      <c r="E319" s="225">
        <v>42339</v>
      </c>
      <c r="F319">
        <v>2.3450000000000002</v>
      </c>
      <c r="M319" s="225"/>
    </row>
    <row r="320" spans="3:14" x14ac:dyDescent="0.2">
      <c r="C320" s="225">
        <v>42370</v>
      </c>
      <c r="D320">
        <v>0.97399999999999998</v>
      </c>
      <c r="E320" s="225">
        <v>42370</v>
      </c>
      <c r="F320">
        <v>2.1739999999999999</v>
      </c>
      <c r="M320" s="225"/>
    </row>
    <row r="321" spans="3:13" x14ac:dyDescent="0.2">
      <c r="C321" s="225">
        <v>42401</v>
      </c>
      <c r="D321">
        <v>1.0549999999999999</v>
      </c>
      <c r="E321" s="225">
        <v>42401</v>
      </c>
      <c r="F321">
        <v>2.31</v>
      </c>
      <c r="M321" s="225"/>
    </row>
    <row r="322" spans="3:13" x14ac:dyDescent="0.2">
      <c r="C322" s="225">
        <v>42430</v>
      </c>
      <c r="D322">
        <v>1.07</v>
      </c>
      <c r="E322" s="225">
        <v>42430</v>
      </c>
      <c r="F322">
        <v>2.2869999999999999</v>
      </c>
      <c r="M322" s="225"/>
    </row>
    <row r="323" spans="3:13" x14ac:dyDescent="0.2">
      <c r="C323" s="225">
        <v>42461</v>
      </c>
      <c r="D323">
        <v>1.077</v>
      </c>
      <c r="E323" s="225">
        <v>42461</v>
      </c>
      <c r="F323">
        <v>2.2919999999999998</v>
      </c>
      <c r="M323" s="225"/>
    </row>
    <row r="324" spans="3:13" x14ac:dyDescent="0.2">
      <c r="C324" s="225">
        <v>42491</v>
      </c>
      <c r="D324">
        <v>1.091</v>
      </c>
      <c r="E324" s="225">
        <v>42491</v>
      </c>
      <c r="F324">
        <v>2.282</v>
      </c>
      <c r="M324" s="225"/>
    </row>
    <row r="325" spans="3:13" x14ac:dyDescent="0.2">
      <c r="C325" s="225">
        <v>42522</v>
      </c>
      <c r="D325">
        <v>1.1100000000000001</v>
      </c>
      <c r="E325" s="225">
        <v>42522</v>
      </c>
      <c r="F325">
        <v>2.37</v>
      </c>
      <c r="M325" s="225"/>
    </row>
    <row r="326" spans="3:13" x14ac:dyDescent="0.2">
      <c r="C326" s="225">
        <v>42552</v>
      </c>
      <c r="D326">
        <v>1.111</v>
      </c>
      <c r="E326" s="225">
        <v>42552</v>
      </c>
      <c r="F326">
        <v>2.355</v>
      </c>
      <c r="M326" s="225"/>
    </row>
    <row r="327" spans="3:13" x14ac:dyDescent="0.2">
      <c r="C327" s="225">
        <v>42583</v>
      </c>
      <c r="D327">
        <v>1.115</v>
      </c>
      <c r="E327" s="225">
        <v>42583</v>
      </c>
      <c r="F327">
        <v>2.278</v>
      </c>
      <c r="M327" s="225"/>
    </row>
    <row r="328" spans="3:13" x14ac:dyDescent="0.2">
      <c r="C328" s="225">
        <v>42614</v>
      </c>
      <c r="D328">
        <v>1.111</v>
      </c>
      <c r="E328" s="225">
        <v>42614</v>
      </c>
      <c r="F328">
        <v>2.3959999999999999</v>
      </c>
      <c r="M328" s="225"/>
    </row>
    <row r="329" spans="3:13" x14ac:dyDescent="0.2">
      <c r="C329" s="225">
        <v>42644</v>
      </c>
      <c r="D329">
        <v>1.121</v>
      </c>
      <c r="E329" s="225">
        <v>42644</v>
      </c>
      <c r="F329">
        <v>2.343</v>
      </c>
      <c r="M329" s="225"/>
    </row>
    <row r="330" spans="3:13" x14ac:dyDescent="0.2">
      <c r="C330" s="225">
        <v>42675</v>
      </c>
      <c r="D330">
        <v>1.087</v>
      </c>
      <c r="E330" s="225">
        <v>42675</v>
      </c>
      <c r="F330">
        <v>2.2999999999999998</v>
      </c>
      <c r="M330" s="225"/>
    </row>
    <row r="331" spans="3:13" x14ac:dyDescent="0.2">
      <c r="C331" s="225">
        <v>42705</v>
      </c>
      <c r="D331">
        <v>1.0740000000000001</v>
      </c>
      <c r="E331" s="225">
        <v>42705</v>
      </c>
      <c r="F331">
        <v>2.274</v>
      </c>
      <c r="M331" s="225"/>
    </row>
    <row r="332" spans="3:13" x14ac:dyDescent="0.2">
      <c r="C332" s="225">
        <v>42736</v>
      </c>
      <c r="D332">
        <v>1.0049999999999999</v>
      </c>
      <c r="E332" s="225">
        <v>42736</v>
      </c>
      <c r="F332">
        <v>2.2679999999999998</v>
      </c>
      <c r="M332" s="225"/>
    </row>
    <row r="333" spans="3:13" x14ac:dyDescent="0.2">
      <c r="C333" s="225">
        <v>42767</v>
      </c>
      <c r="D333">
        <v>1.075</v>
      </c>
      <c r="E333" s="225">
        <v>42767</v>
      </c>
      <c r="F333">
        <v>2.383</v>
      </c>
      <c r="M333" s="225"/>
    </row>
    <row r="334" spans="3:13" x14ac:dyDescent="0.2">
      <c r="C334" s="225">
        <v>42795</v>
      </c>
      <c r="D334">
        <v>1.08</v>
      </c>
      <c r="E334" s="225">
        <v>42795</v>
      </c>
      <c r="F334">
        <v>2.355</v>
      </c>
      <c r="M334" s="225"/>
    </row>
    <row r="335" spans="3:13" x14ac:dyDescent="0.2">
      <c r="C335" s="225">
        <v>42826</v>
      </c>
      <c r="D335">
        <v>1.1200000000000001</v>
      </c>
      <c r="E335" s="225">
        <v>42826</v>
      </c>
      <c r="F335">
        <v>2.4289999999999998</v>
      </c>
      <c r="M335" s="225"/>
    </row>
    <row r="336" spans="3:13" x14ac:dyDescent="0.2">
      <c r="C336" s="225">
        <v>42856</v>
      </c>
      <c r="D336">
        <v>1.1679999999999999</v>
      </c>
      <c r="E336" s="225">
        <v>42856</v>
      </c>
      <c r="F336">
        <v>2.4510000000000001</v>
      </c>
      <c r="M336" s="225"/>
    </row>
    <row r="337" spans="3:13" x14ac:dyDescent="0.2">
      <c r="C337" s="225">
        <v>42887</v>
      </c>
      <c r="D337">
        <v>1.163</v>
      </c>
      <c r="E337" s="225">
        <v>42887</v>
      </c>
      <c r="F337">
        <v>2.4969999999999999</v>
      </c>
      <c r="M337" s="225"/>
    </row>
    <row r="338" spans="3:13" x14ac:dyDescent="0.2">
      <c r="C338" s="225">
        <v>42917</v>
      </c>
      <c r="D338">
        <v>1.1259999999999999</v>
      </c>
      <c r="E338" s="225">
        <v>42917</v>
      </c>
      <c r="F338">
        <v>2.46</v>
      </c>
      <c r="M338" s="225"/>
    </row>
    <row r="339" spans="3:13" x14ac:dyDescent="0.2">
      <c r="C339" s="225">
        <v>42948</v>
      </c>
      <c r="D339">
        <v>1.1579999999999999</v>
      </c>
      <c r="E339" s="225">
        <v>42948</v>
      </c>
      <c r="F339">
        <v>2.4990000000000001</v>
      </c>
      <c r="M339" s="225"/>
    </row>
    <row r="340" spans="3:13" x14ac:dyDescent="0.2">
      <c r="C340" s="225">
        <v>42979</v>
      </c>
      <c r="D340">
        <v>1.147</v>
      </c>
      <c r="E340" s="225">
        <v>42979</v>
      </c>
      <c r="F340">
        <v>2.5070000000000001</v>
      </c>
      <c r="M340" s="225"/>
    </row>
    <row r="341" spans="3:13" x14ac:dyDescent="0.2">
      <c r="C341" s="225">
        <v>43009</v>
      </c>
      <c r="D341">
        <v>1.153</v>
      </c>
      <c r="E341" s="225">
        <v>43009</v>
      </c>
      <c r="F341">
        <v>2.6059999999999999</v>
      </c>
      <c r="M341" s="225"/>
    </row>
    <row r="342" spans="3:13" x14ac:dyDescent="0.2">
      <c r="C342" s="225">
        <v>43040</v>
      </c>
      <c r="D342">
        <v>1.155</v>
      </c>
      <c r="E342" s="225">
        <v>43040</v>
      </c>
      <c r="F342">
        <v>2.629</v>
      </c>
      <c r="M342" s="225"/>
    </row>
    <row r="343" spans="3:13" x14ac:dyDescent="0.2">
      <c r="C343" s="225">
        <v>43070</v>
      </c>
      <c r="D343">
        <v>1.151</v>
      </c>
      <c r="E343" s="225">
        <v>43070</v>
      </c>
      <c r="F343">
        <v>2.6379999999999999</v>
      </c>
      <c r="M343" s="225"/>
    </row>
    <row r="344" spans="3:13" x14ac:dyDescent="0.2">
      <c r="C344" s="225">
        <v>43101</v>
      </c>
      <c r="D344">
        <v>1.131</v>
      </c>
      <c r="E344" s="225">
        <v>43101</v>
      </c>
      <c r="F344">
        <v>2.59</v>
      </c>
      <c r="M344" s="225"/>
    </row>
    <row r="345" spans="3:13" x14ac:dyDescent="0.2">
      <c r="C345" s="225">
        <v>43132</v>
      </c>
      <c r="D345">
        <v>1.198</v>
      </c>
      <c r="E345" s="225">
        <v>43132</v>
      </c>
      <c r="F345">
        <v>2.7240000000000002</v>
      </c>
      <c r="M345" s="225"/>
    </row>
    <row r="346" spans="3:13" x14ac:dyDescent="0.2">
      <c r="C346" s="225">
        <v>43160</v>
      </c>
      <c r="D346">
        <v>1.2090000000000001</v>
      </c>
      <c r="E346" s="225">
        <v>43160</v>
      </c>
      <c r="F346">
        <v>2.7229999999999999</v>
      </c>
      <c r="M346" s="225"/>
    </row>
    <row r="347" spans="3:13" x14ac:dyDescent="0.2">
      <c r="C347" s="225">
        <v>43191</v>
      </c>
      <c r="D347">
        <v>1.234</v>
      </c>
      <c r="E347" s="225">
        <v>43191</v>
      </c>
      <c r="F347">
        <v>2.74</v>
      </c>
      <c r="M347" s="225"/>
    </row>
    <row r="348" spans="3:13" x14ac:dyDescent="0.2">
      <c r="C348" s="225">
        <v>43221</v>
      </c>
      <c r="D348">
        <v>1.3069999999999999</v>
      </c>
      <c r="E348" s="225">
        <v>43221</v>
      </c>
      <c r="F348">
        <v>2.875</v>
      </c>
      <c r="M348" s="225"/>
    </row>
    <row r="349" spans="3:13" x14ac:dyDescent="0.2">
      <c r="C349" s="225">
        <v>43252</v>
      </c>
      <c r="D349">
        <v>1.2470000000000001</v>
      </c>
      <c r="E349" s="225">
        <v>43252</v>
      </c>
      <c r="F349">
        <v>2.8940000000000001</v>
      </c>
      <c r="M349" s="225"/>
    </row>
    <row r="350" spans="3:13" x14ac:dyDescent="0.2">
      <c r="C350" s="225">
        <v>43282</v>
      </c>
      <c r="D350">
        <v>1.2450000000000001</v>
      </c>
      <c r="E350" s="225">
        <v>43282</v>
      </c>
      <c r="F350">
        <v>2.9009999999999998</v>
      </c>
      <c r="M350" s="225"/>
    </row>
    <row r="351" spans="3:13" x14ac:dyDescent="0.2">
      <c r="C351" s="225">
        <v>43313</v>
      </c>
      <c r="D351">
        <v>1.2270000000000001</v>
      </c>
      <c r="E351" s="225">
        <v>43313</v>
      </c>
      <c r="F351">
        <v>2.9169999999999998</v>
      </c>
      <c r="M351" s="225"/>
    </row>
    <row r="352" spans="3:13" x14ac:dyDescent="0.2">
      <c r="C352" s="225">
        <v>43344</v>
      </c>
      <c r="D352">
        <v>1.2410000000000001</v>
      </c>
      <c r="E352" s="225">
        <v>43344</v>
      </c>
      <c r="F352">
        <v>2.99</v>
      </c>
      <c r="M352" s="225"/>
    </row>
    <row r="353" spans="3:13" x14ac:dyDescent="0.2">
      <c r="C353" s="225">
        <v>43374</v>
      </c>
      <c r="D353">
        <v>1.224</v>
      </c>
      <c r="E353" s="225">
        <v>43374</v>
      </c>
      <c r="F353">
        <v>2.919</v>
      </c>
      <c r="M353" s="225"/>
    </row>
    <row r="354" spans="3:13" x14ac:dyDescent="0.2">
      <c r="C354" s="225">
        <v>43405</v>
      </c>
      <c r="D354">
        <v>1.1619999999999999</v>
      </c>
      <c r="E354" s="225">
        <v>43405</v>
      </c>
      <c r="F354">
        <v>2.8490000000000002</v>
      </c>
      <c r="M354" s="225"/>
    </row>
    <row r="355" spans="3:13" x14ac:dyDescent="0.2">
      <c r="C355" s="225">
        <v>43435</v>
      </c>
      <c r="D355">
        <v>1.1419999999999999</v>
      </c>
      <c r="E355" s="225">
        <v>43435</v>
      </c>
      <c r="F355">
        <v>2.903</v>
      </c>
      <c r="M355" s="225"/>
    </row>
    <row r="356" spans="3:13" x14ac:dyDescent="0.2">
      <c r="C356" s="225">
        <v>43466</v>
      </c>
      <c r="D356">
        <v>1.1279999999999999</v>
      </c>
      <c r="E356" s="225">
        <v>43466</v>
      </c>
      <c r="F356">
        <v>2.7919999999999998</v>
      </c>
      <c r="M356" s="225"/>
    </row>
    <row r="357" spans="3:13" x14ac:dyDescent="0.2">
      <c r="C357" s="225">
        <v>43497</v>
      </c>
      <c r="D357">
        <v>1.173</v>
      </c>
      <c r="E357" s="225">
        <v>43497</v>
      </c>
      <c r="F357">
        <v>2.8740000000000001</v>
      </c>
      <c r="M357" s="225"/>
    </row>
    <row r="358" spans="3:13" x14ac:dyDescent="0.2">
      <c r="C358" s="225">
        <v>43525</v>
      </c>
      <c r="D358">
        <v>1.1970000000000001</v>
      </c>
      <c r="E358" s="225">
        <v>43525</v>
      </c>
      <c r="F358">
        <v>2.8889999999999998</v>
      </c>
      <c r="M358" s="225"/>
    </row>
    <row r="359" spans="3:13" x14ac:dyDescent="0.2">
      <c r="C359" s="225">
        <v>43556</v>
      </c>
      <c r="D359">
        <v>1.194</v>
      </c>
      <c r="E359" s="225">
        <v>43556</v>
      </c>
      <c r="F359">
        <v>2.9089999999999998</v>
      </c>
      <c r="M359" s="225"/>
    </row>
    <row r="360" spans="3:13" x14ac:dyDescent="0.2">
      <c r="C360" s="225">
        <v>43586</v>
      </c>
      <c r="D360">
        <v>1.228</v>
      </c>
      <c r="E360" s="225">
        <v>43586</v>
      </c>
      <c r="F360">
        <v>2.8450000000000002</v>
      </c>
      <c r="M360" s="225"/>
    </row>
    <row r="361" spans="3:13" x14ac:dyDescent="0.2">
      <c r="C361" s="225">
        <v>43617</v>
      </c>
      <c r="D361">
        <v>1.181</v>
      </c>
      <c r="E361" s="225">
        <v>43617</v>
      </c>
      <c r="F361">
        <v>2.919</v>
      </c>
      <c r="M361" s="225"/>
    </row>
    <row r="362" spans="3:13" x14ac:dyDescent="0.2">
      <c r="C362" s="225">
        <v>43647</v>
      </c>
      <c r="D362">
        <v>1.171</v>
      </c>
      <c r="E362" s="225">
        <v>43647</v>
      </c>
      <c r="F362">
        <v>2.8610000000000002</v>
      </c>
      <c r="M362" s="225"/>
    </row>
    <row r="363" spans="3:13" x14ac:dyDescent="0.2">
      <c r="C363" s="225">
        <v>43678</v>
      </c>
      <c r="D363">
        <v>1.19</v>
      </c>
      <c r="E363" s="225">
        <v>43678</v>
      </c>
      <c r="F363">
        <v>2.84</v>
      </c>
      <c r="M363" s="225"/>
    </row>
    <row r="364" spans="3:13" x14ac:dyDescent="0.2">
      <c r="C364" s="225">
        <v>43709</v>
      </c>
      <c r="D364">
        <v>1.1990000000000001</v>
      </c>
      <c r="E364" s="225">
        <v>43709</v>
      </c>
      <c r="F364">
        <v>2.8540000000000001</v>
      </c>
      <c r="M364" s="225"/>
    </row>
    <row r="365" spans="3:13" x14ac:dyDescent="0.2">
      <c r="C365" s="225">
        <v>43739</v>
      </c>
      <c r="D365">
        <v>1.1519999999999999</v>
      </c>
      <c r="E365" s="225">
        <v>43739</v>
      </c>
      <c r="F365">
        <v>2.8</v>
      </c>
      <c r="M365" s="225"/>
    </row>
    <row r="366" spans="3:13" x14ac:dyDescent="0.2">
      <c r="C366" s="225">
        <v>43770</v>
      </c>
      <c r="D366">
        <v>1.1240000000000001</v>
      </c>
      <c r="E366" s="225">
        <v>43770</v>
      </c>
      <c r="F366">
        <v>2.81</v>
      </c>
      <c r="M366" s="225"/>
    </row>
    <row r="367" spans="3:13" x14ac:dyDescent="0.2">
      <c r="C367" s="225">
        <v>43800</v>
      </c>
      <c r="D367">
        <v>1.052</v>
      </c>
      <c r="E367" s="225">
        <v>43800</v>
      </c>
      <c r="F367">
        <v>2.7229999999999999</v>
      </c>
      <c r="M367" s="225"/>
    </row>
    <row r="368" spans="3:13" x14ac:dyDescent="0.2">
      <c r="C368" s="225">
        <v>43831</v>
      </c>
      <c r="D368">
        <v>1.022</v>
      </c>
      <c r="E368" s="225">
        <v>43831</v>
      </c>
      <c r="F368">
        <v>2.5680000000000001</v>
      </c>
      <c r="M368" s="225"/>
    </row>
    <row r="369" spans="3:13" x14ac:dyDescent="0.2">
      <c r="C369" s="225">
        <v>43862</v>
      </c>
      <c r="D369">
        <v>1.085</v>
      </c>
      <c r="E369" s="225">
        <v>43862</v>
      </c>
      <c r="F369">
        <v>2.6789999999999998</v>
      </c>
      <c r="M369" s="225"/>
    </row>
    <row r="370" spans="3:13" x14ac:dyDescent="0.2">
      <c r="C370" s="225">
        <v>43891</v>
      </c>
      <c r="D370">
        <v>1.087</v>
      </c>
      <c r="E370" s="225">
        <v>43891</v>
      </c>
      <c r="F370">
        <v>2.6509999999999998</v>
      </c>
      <c r="M370" s="225"/>
    </row>
    <row r="371" spans="3:13" x14ac:dyDescent="0.2">
      <c r="C371" s="225">
        <v>43922</v>
      </c>
      <c r="D371">
        <v>0.92300000000000004</v>
      </c>
      <c r="E371" s="225">
        <v>43922</v>
      </c>
      <c r="F371">
        <v>2.379</v>
      </c>
      <c r="M371" s="225"/>
    </row>
    <row r="372" spans="3:13" x14ac:dyDescent="0.2">
      <c r="C372" s="225">
        <v>43952</v>
      </c>
      <c r="D372">
        <v>0.93799999999999994</v>
      </c>
      <c r="E372" s="225">
        <v>43952</v>
      </c>
      <c r="F372">
        <v>2.2429999999999999</v>
      </c>
      <c r="M372" s="225"/>
    </row>
    <row r="373" spans="3:13" x14ac:dyDescent="0.2">
      <c r="C373" s="225">
        <v>43983</v>
      </c>
      <c r="D373">
        <v>0.97099999999999997</v>
      </c>
      <c r="E373" s="225">
        <v>43983</v>
      </c>
      <c r="F373">
        <v>2.3860000000000001</v>
      </c>
      <c r="M373" s="225"/>
    </row>
    <row r="374" spans="3:13" x14ac:dyDescent="0.2">
      <c r="C374" s="225">
        <v>44013</v>
      </c>
      <c r="D374">
        <v>1.018</v>
      </c>
      <c r="E374" s="225">
        <v>44013</v>
      </c>
      <c r="F374">
        <v>2.452</v>
      </c>
      <c r="M374" s="225"/>
    </row>
    <row r="375" spans="3:13" x14ac:dyDescent="0.2">
      <c r="C375" s="225">
        <v>44044</v>
      </c>
      <c r="D375">
        <v>1.099</v>
      </c>
      <c r="E375" s="225">
        <v>44044</v>
      </c>
      <c r="F375">
        <v>2.6949999999999998</v>
      </c>
      <c r="M375" s="225"/>
    </row>
    <row r="376" spans="3:13" x14ac:dyDescent="0.2">
      <c r="C376" s="225">
        <v>44075</v>
      </c>
      <c r="D376">
        <v>1.177</v>
      </c>
      <c r="E376" s="225">
        <v>44075</v>
      </c>
      <c r="F376">
        <v>2.8879999999999999</v>
      </c>
      <c r="M376" s="225"/>
    </row>
    <row r="377" spans="3:13" x14ac:dyDescent="0.2">
      <c r="C377" s="225">
        <v>44105</v>
      </c>
      <c r="D377">
        <v>1.18</v>
      </c>
      <c r="E377" s="225">
        <v>44105</v>
      </c>
      <c r="F377">
        <v>2.8860000000000001</v>
      </c>
      <c r="M377" s="225"/>
    </row>
    <row r="378" spans="3:13" x14ac:dyDescent="0.2">
      <c r="C378" s="225">
        <v>44136</v>
      </c>
      <c r="D378">
        <v>1.1539999999999999</v>
      </c>
      <c r="E378" s="225">
        <v>44136</v>
      </c>
      <c r="F378">
        <v>2.9710000000000001</v>
      </c>
      <c r="M378" s="225"/>
    </row>
    <row r="379" spans="3:13" x14ac:dyDescent="0.2">
      <c r="C379" s="225">
        <v>44166</v>
      </c>
      <c r="D379">
        <v>1.1220000000000001</v>
      </c>
      <c r="E379" s="225">
        <v>44166</v>
      </c>
      <c r="F379">
        <v>3.077</v>
      </c>
      <c r="M379" s="225"/>
    </row>
    <row r="380" spans="3:13" x14ac:dyDescent="0.2">
      <c r="C380" s="225">
        <v>44197</v>
      </c>
      <c r="D380">
        <v>1.1100000000000001</v>
      </c>
      <c r="E380" s="225">
        <v>44197</v>
      </c>
      <c r="F380">
        <v>3.07</v>
      </c>
      <c r="M380" s="225"/>
    </row>
    <row r="381" spans="3:13" x14ac:dyDescent="0.2">
      <c r="C381" s="225">
        <v>44228</v>
      </c>
      <c r="D381">
        <v>1.1299999999999999</v>
      </c>
      <c r="E381" s="225">
        <v>44228</v>
      </c>
      <c r="F381">
        <v>3.1320000000000001</v>
      </c>
      <c r="M381" s="225"/>
    </row>
    <row r="382" spans="3:13" x14ac:dyDescent="0.2">
      <c r="C382" s="225">
        <v>44256</v>
      </c>
      <c r="D382">
        <v>1.196</v>
      </c>
      <c r="E382" s="225">
        <v>44256</v>
      </c>
      <c r="F382">
        <v>3.379</v>
      </c>
      <c r="M382" s="225"/>
    </row>
    <row r="383" spans="3:13" x14ac:dyDescent="0.2">
      <c r="C383" s="225">
        <v>44287</v>
      </c>
      <c r="D383">
        <v>1.1779999999999999</v>
      </c>
      <c r="E383" s="225">
        <v>44287</v>
      </c>
      <c r="F383">
        <v>3.452</v>
      </c>
      <c r="M383" s="225"/>
    </row>
    <row r="384" spans="3:13" x14ac:dyDescent="0.2">
      <c r="C384" s="225">
        <v>44317</v>
      </c>
      <c r="D384">
        <v>1.2689999999999999</v>
      </c>
      <c r="E384" s="225">
        <v>44317</v>
      </c>
      <c r="F384">
        <v>3.3620000000000001</v>
      </c>
      <c r="M384" s="225"/>
    </row>
    <row r="385" spans="3:13" x14ac:dyDescent="0.2">
      <c r="C385" s="225">
        <v>44348</v>
      </c>
      <c r="D385">
        <v>1.2310000000000001</v>
      </c>
      <c r="E385" s="225">
        <v>44348</v>
      </c>
      <c r="F385">
        <v>3.7320000000000002</v>
      </c>
      <c r="M385" s="225"/>
    </row>
    <row r="386" spans="3:13" x14ac:dyDescent="0.2">
      <c r="C386" s="225">
        <v>44378</v>
      </c>
      <c r="D386">
        <v>1.177</v>
      </c>
      <c r="E386" s="225">
        <v>44378</v>
      </c>
      <c r="F386">
        <v>3.51</v>
      </c>
      <c r="M386" s="225"/>
    </row>
    <row r="387" spans="3:13" x14ac:dyDescent="0.2">
      <c r="C387" s="225">
        <v>44409</v>
      </c>
      <c r="D387">
        <v>1.234</v>
      </c>
      <c r="E387" s="225">
        <v>44409</v>
      </c>
      <c r="F387">
        <v>3.8319999999999999</v>
      </c>
      <c r="M387" s="225"/>
    </row>
    <row r="388" spans="3:13" x14ac:dyDescent="0.2">
      <c r="C388" s="225">
        <v>44440</v>
      </c>
      <c r="D388">
        <v>1.1839999999999999</v>
      </c>
      <c r="E388" s="225">
        <v>44440</v>
      </c>
      <c r="F388">
        <v>3.8180000000000001</v>
      </c>
      <c r="M388" s="225"/>
    </row>
    <row r="389" spans="3:13" x14ac:dyDescent="0.2">
      <c r="C389" s="225">
        <v>44470</v>
      </c>
      <c r="D389">
        <v>1.1890000000000001</v>
      </c>
      <c r="E389" s="225">
        <v>44470</v>
      </c>
      <c r="F389">
        <v>3.96</v>
      </c>
      <c r="M389" s="225"/>
    </row>
    <row r="390" spans="3:13" x14ac:dyDescent="0.2">
      <c r="C390" s="225">
        <v>44501</v>
      </c>
      <c r="D390">
        <v>1.206</v>
      </c>
      <c r="E390" s="225">
        <v>44501</v>
      </c>
      <c r="F390">
        <v>4.2750000000000004</v>
      </c>
      <c r="M390" s="225"/>
    </row>
    <row r="391" spans="3:13" x14ac:dyDescent="0.2">
      <c r="C391" s="225">
        <v>44531</v>
      </c>
      <c r="D391">
        <v>1.208</v>
      </c>
      <c r="E391" s="225">
        <v>44531</v>
      </c>
      <c r="F391">
        <v>4.4189999999999996</v>
      </c>
      <c r="M391" s="225"/>
    </row>
    <row r="392" spans="3:13" x14ac:dyDescent="0.2">
      <c r="C392" s="225">
        <v>44562</v>
      </c>
      <c r="D392">
        <v>1.0780000000000001</v>
      </c>
      <c r="E392" s="225">
        <v>44562</v>
      </c>
      <c r="F392">
        <v>4.0270000000000001</v>
      </c>
      <c r="M392" s="225"/>
    </row>
    <row r="393" spans="3:13" x14ac:dyDescent="0.2">
      <c r="C393" s="225">
        <v>44593</v>
      </c>
      <c r="D393">
        <v>1.171</v>
      </c>
      <c r="E393" s="225">
        <v>44593</v>
      </c>
      <c r="F393">
        <v>4.4530000000000003</v>
      </c>
      <c r="M393" s="225"/>
    </row>
    <row r="394" spans="3:13" x14ac:dyDescent="0.2">
      <c r="C394" s="225">
        <v>44621</v>
      </c>
      <c r="D394">
        <v>1.2030000000000001</v>
      </c>
      <c r="E394" s="225">
        <v>44621</v>
      </c>
      <c r="F394">
        <v>4.5010000000000003</v>
      </c>
      <c r="M394" s="225"/>
    </row>
    <row r="395" spans="3:13" x14ac:dyDescent="0.2">
      <c r="C395" s="225">
        <v>44652</v>
      </c>
      <c r="D395">
        <v>1.1719999999999999</v>
      </c>
      <c r="E395" s="225">
        <v>44652</v>
      </c>
      <c r="F395">
        <v>4.51</v>
      </c>
      <c r="M395" s="225"/>
    </row>
    <row r="396" spans="3:13" x14ac:dyDescent="0.2">
      <c r="C396" s="225">
        <v>44682</v>
      </c>
      <c r="D396">
        <v>1.2350000000000001</v>
      </c>
      <c r="E396" s="225">
        <v>44682</v>
      </c>
      <c r="F396">
        <v>4.2869999999999999</v>
      </c>
      <c r="M396" s="225"/>
    </row>
    <row r="397" spans="3:13" x14ac:dyDescent="0.2">
      <c r="C397" s="225">
        <v>44713</v>
      </c>
      <c r="D397">
        <v>1.2030000000000001</v>
      </c>
      <c r="E397" s="225">
        <v>44713</v>
      </c>
      <c r="F397">
        <v>4.665</v>
      </c>
      <c r="M397" s="225"/>
    </row>
    <row r="398" spans="3:13" x14ac:dyDescent="0.2">
      <c r="C398" s="225">
        <v>44743</v>
      </c>
      <c r="D398">
        <v>1.232</v>
      </c>
      <c r="E398" s="225">
        <v>44743</v>
      </c>
      <c r="F398">
        <v>4.5270000000000001</v>
      </c>
      <c r="M398" s="225"/>
    </row>
    <row r="399" spans="3:13" x14ac:dyDescent="0.2">
      <c r="C399" s="225">
        <v>44774</v>
      </c>
      <c r="D399">
        <v>1.278</v>
      </c>
      <c r="E399" s="225">
        <v>44774</v>
      </c>
      <c r="F399">
        <v>4.6139999999999999</v>
      </c>
      <c r="M399" s="225"/>
    </row>
    <row r="400" spans="3:13" x14ac:dyDescent="0.2">
      <c r="C400" s="225">
        <v>44805</v>
      </c>
      <c r="D400">
        <v>1.2410000000000001</v>
      </c>
      <c r="E400" s="225">
        <v>44805</v>
      </c>
      <c r="F400">
        <v>4.6269999999999998</v>
      </c>
      <c r="M400" s="225"/>
    </row>
    <row r="401" spans="3:13" x14ac:dyDescent="0.2">
      <c r="C401" s="225">
        <v>44835</v>
      </c>
      <c r="D401">
        <v>1.224</v>
      </c>
      <c r="E401" s="225">
        <v>44835</v>
      </c>
      <c r="F401">
        <v>4.399</v>
      </c>
      <c r="M401" s="225"/>
    </row>
    <row r="402" spans="3:13" x14ac:dyDescent="0.2">
      <c r="C402" s="225">
        <v>44866</v>
      </c>
      <c r="D402">
        <v>1.2010000000000001</v>
      </c>
      <c r="E402" s="225">
        <v>44866</v>
      </c>
      <c r="F402">
        <v>4.476</v>
      </c>
      <c r="M402" s="225"/>
    </row>
    <row r="403" spans="3:13" x14ac:dyDescent="0.2">
      <c r="C403" s="225">
        <v>44896</v>
      </c>
      <c r="D403">
        <v>1.161</v>
      </c>
      <c r="E403" s="225">
        <v>44896</v>
      </c>
      <c r="F403">
        <v>4.2309999999999999</v>
      </c>
      <c r="M403" s="225"/>
    </row>
    <row r="404" spans="3:13" x14ac:dyDescent="0.2">
      <c r="C404" s="225">
        <v>44927</v>
      </c>
      <c r="D404">
        <v>1.1240000000000001</v>
      </c>
      <c r="E404" s="225">
        <v>44927</v>
      </c>
      <c r="F404">
        <v>4.0960000000000001</v>
      </c>
      <c r="M404" s="225"/>
    </row>
    <row r="405" spans="3:13" x14ac:dyDescent="0.2">
      <c r="C405" s="225">
        <v>44958</v>
      </c>
      <c r="D405">
        <v>1.167</v>
      </c>
      <c r="E405" s="225">
        <v>44958</v>
      </c>
      <c r="F405">
        <v>4.0199999999999996</v>
      </c>
      <c r="M405" s="225"/>
    </row>
    <row r="406" spans="3:13" x14ac:dyDescent="0.2">
      <c r="C406" s="225">
        <v>44986</v>
      </c>
      <c r="D406">
        <v>1.155</v>
      </c>
      <c r="E406" s="225">
        <v>44986</v>
      </c>
      <c r="F406">
        <v>3.9609999999999999</v>
      </c>
      <c r="M406" s="225"/>
    </row>
    <row r="407" spans="3:13" x14ac:dyDescent="0.2">
      <c r="C407" s="225">
        <v>45017</v>
      </c>
      <c r="D407">
        <v>1.1439999999999999</v>
      </c>
      <c r="E407" s="225">
        <v>45017</v>
      </c>
      <c r="F407">
        <v>3.8769999999999998</v>
      </c>
      <c r="M407" s="225"/>
    </row>
    <row r="408" spans="3:13" x14ac:dyDescent="0.2">
      <c r="C408" s="225">
        <v>45047</v>
      </c>
      <c r="D408">
        <v>1.1659999999999999</v>
      </c>
      <c r="E408" s="225">
        <v>45047</v>
      </c>
      <c r="F408">
        <v>3.6139999999999999</v>
      </c>
      <c r="M408" s="225"/>
    </row>
    <row r="409" spans="3:13" x14ac:dyDescent="0.2">
      <c r="C409" s="225">
        <v>45078</v>
      </c>
      <c r="D409">
        <v>1.147</v>
      </c>
      <c r="E409" s="225">
        <v>45078</v>
      </c>
      <c r="F409">
        <v>3.52</v>
      </c>
      <c r="M409" s="225"/>
    </row>
    <row r="410" spans="3:13" x14ac:dyDescent="0.2">
      <c r="C410" s="225">
        <v>45108</v>
      </c>
      <c r="D410">
        <v>1.1220000000000001</v>
      </c>
      <c r="E410" s="225">
        <v>45108</v>
      </c>
      <c r="F410">
        <v>3.423</v>
      </c>
      <c r="M410" s="225"/>
    </row>
    <row r="411" spans="3:13" x14ac:dyDescent="0.2">
      <c r="C411" s="225">
        <v>45139</v>
      </c>
      <c r="D411">
        <v>1.143</v>
      </c>
      <c r="E411" s="225">
        <v>45139</v>
      </c>
      <c r="F411">
        <v>3.4590000000000001</v>
      </c>
      <c r="M411" s="225"/>
    </row>
    <row r="412" spans="3:13" x14ac:dyDescent="0.2">
      <c r="C412" s="225">
        <v>45170</v>
      </c>
      <c r="D412">
        <v>1.163</v>
      </c>
      <c r="E412" s="225">
        <v>45170</v>
      </c>
      <c r="F412">
        <v>3.452</v>
      </c>
      <c r="M412" s="225"/>
    </row>
    <row r="413" spans="3:13" x14ac:dyDescent="0.2">
      <c r="C413" s="225">
        <v>45200</v>
      </c>
      <c r="D413">
        <v>1.1080000000000001</v>
      </c>
      <c r="E413" s="225">
        <v>45200</v>
      </c>
      <c r="F413">
        <v>3.375</v>
      </c>
      <c r="M413" s="225"/>
    </row>
    <row r="414" spans="3:13" x14ac:dyDescent="0.2">
      <c r="C414" s="225">
        <v>45231</v>
      </c>
      <c r="D414">
        <v>1.0940000000000001</v>
      </c>
      <c r="E414" s="225">
        <v>45231</v>
      </c>
      <c r="F414">
        <v>3.331</v>
      </c>
      <c r="M414" s="225"/>
    </row>
    <row r="415" spans="3:13" x14ac:dyDescent="0.2">
      <c r="C415" s="225">
        <v>45261</v>
      </c>
      <c r="D415">
        <v>1.077</v>
      </c>
      <c r="E415" s="225">
        <v>45261</v>
      </c>
      <c r="F415">
        <v>3.23</v>
      </c>
      <c r="M415" s="225"/>
    </row>
    <row r="416" spans="3:13" x14ac:dyDescent="0.2">
      <c r="C416" s="225">
        <v>45292</v>
      </c>
      <c r="D416">
        <v>1.0389999999999999</v>
      </c>
      <c r="E416" s="225">
        <v>45292</v>
      </c>
      <c r="F416">
        <v>3.1019999999999999</v>
      </c>
      <c r="M416" s="225"/>
    </row>
    <row r="417" spans="3:13" x14ac:dyDescent="0.2">
      <c r="C417" s="225">
        <v>45323</v>
      </c>
      <c r="D417">
        <v>1.115</v>
      </c>
      <c r="E417" s="225">
        <v>45323</v>
      </c>
      <c r="F417">
        <v>3.2250000000000001</v>
      </c>
      <c r="M417" s="225"/>
    </row>
    <row r="418" spans="3:13" x14ac:dyDescent="0.2">
      <c r="C418" s="225">
        <v>45352</v>
      </c>
      <c r="D418">
        <v>1.113</v>
      </c>
      <c r="E418" s="225">
        <v>45352</v>
      </c>
      <c r="F418">
        <v>3.2269999999999999</v>
      </c>
      <c r="M418" s="225"/>
    </row>
    <row r="419" spans="3:13" x14ac:dyDescent="0.2">
      <c r="C419" s="225">
        <v>45383</v>
      </c>
      <c r="D419">
        <v>1.0980000000000001</v>
      </c>
      <c r="E419" s="225">
        <v>45383</v>
      </c>
      <c r="F419">
        <v>3.2269999999999999</v>
      </c>
      <c r="M419" s="225"/>
    </row>
    <row r="420" spans="3:13" x14ac:dyDescent="0.2">
      <c r="C420" s="225">
        <v>45413</v>
      </c>
      <c r="D420">
        <v>1.0980000000000001</v>
      </c>
      <c r="E420" s="225">
        <v>45413</v>
      </c>
      <c r="F420">
        <v>3.2879999999999998</v>
      </c>
      <c r="M420" s="225"/>
    </row>
    <row r="421" spans="3:13" x14ac:dyDescent="0.2">
      <c r="C421" s="225">
        <v>45444</v>
      </c>
      <c r="D421">
        <v>1.0780000000000001</v>
      </c>
      <c r="E421" s="225">
        <v>45444</v>
      </c>
      <c r="F421">
        <v>3.1890000000000001</v>
      </c>
      <c r="M421" s="225"/>
    </row>
    <row r="422" spans="3:13" x14ac:dyDescent="0.2">
      <c r="C422" s="225">
        <v>45474</v>
      </c>
      <c r="D422">
        <v>1.1100000000000001</v>
      </c>
      <c r="E422" s="225">
        <v>45474</v>
      </c>
      <c r="F422">
        <v>3.2109999999999999</v>
      </c>
      <c r="M422" s="225"/>
    </row>
    <row r="423" spans="3:13" x14ac:dyDescent="0.2">
      <c r="C423" s="225">
        <v>45505</v>
      </c>
      <c r="D423">
        <v>1.121</v>
      </c>
      <c r="E423" s="225">
        <v>45505</v>
      </c>
      <c r="F423">
        <v>3.1469999999999998</v>
      </c>
      <c r="M423" s="225"/>
    </row>
    <row r="424" spans="3:13" x14ac:dyDescent="0.2">
      <c r="C424" s="225">
        <v>45536</v>
      </c>
      <c r="D424">
        <v>1.1020000000000001</v>
      </c>
      <c r="E424" s="225">
        <v>45536</v>
      </c>
      <c r="F424">
        <v>3.2240000000000002</v>
      </c>
      <c r="M424" s="225"/>
    </row>
    <row r="425" spans="3:13" x14ac:dyDescent="0.2">
      <c r="C425" s="225">
        <v>45566</v>
      </c>
      <c r="D425">
        <v>1.081</v>
      </c>
      <c r="E425" s="225">
        <v>45566</v>
      </c>
      <c r="F425">
        <v>3.1749999999999998</v>
      </c>
      <c r="M425" s="225"/>
    </row>
    <row r="426" spans="3:13" x14ac:dyDescent="0.2">
      <c r="C426" s="225">
        <v>45597</v>
      </c>
      <c r="D426">
        <v>1.0860000000000001</v>
      </c>
      <c r="E426" s="225">
        <v>45597</v>
      </c>
      <c r="F426">
        <v>3.2029999999999998</v>
      </c>
      <c r="M426" s="225"/>
    </row>
    <row r="427" spans="3:13" x14ac:dyDescent="0.2">
      <c r="M427" s="225"/>
    </row>
    <row r="428" spans="3:13" x14ac:dyDescent="0.2">
      <c r="M428" s="225"/>
    </row>
    <row r="429" spans="3:13" x14ac:dyDescent="0.2">
      <c r="M429" s="225"/>
    </row>
    <row r="430" spans="3:13" x14ac:dyDescent="0.2">
      <c r="M430" s="225"/>
    </row>
    <row r="431" spans="3:13" x14ac:dyDescent="0.2">
      <c r="M431" s="225"/>
    </row>
    <row r="432" spans="3:13" x14ac:dyDescent="0.2">
      <c r="M432" s="225"/>
    </row>
    <row r="433" spans="13:13" x14ac:dyDescent="0.2">
      <c r="M433" s="225"/>
    </row>
    <row r="434" spans="13:13" x14ac:dyDescent="0.2">
      <c r="M434" s="225"/>
    </row>
    <row r="435" spans="13:13" x14ac:dyDescent="0.2">
      <c r="M435" s="225"/>
    </row>
    <row r="436" spans="13:13" x14ac:dyDescent="0.2">
      <c r="M436" s="225"/>
    </row>
    <row r="437" spans="13:13" x14ac:dyDescent="0.2">
      <c r="M437" s="225"/>
    </row>
    <row r="438" spans="13:13" x14ac:dyDescent="0.2">
      <c r="M438" s="225"/>
    </row>
    <row r="439" spans="13:13" x14ac:dyDescent="0.2">
      <c r="M439" s="225"/>
    </row>
    <row r="440" spans="13:13" x14ac:dyDescent="0.2">
      <c r="M440" s="225"/>
    </row>
    <row r="441" spans="13:13" x14ac:dyDescent="0.2">
      <c r="M441" s="225"/>
    </row>
    <row r="442" spans="13:13" x14ac:dyDescent="0.2">
      <c r="M442" s="225"/>
    </row>
    <row r="443" spans="13:13" x14ac:dyDescent="0.2">
      <c r="M443" s="225"/>
    </row>
    <row r="444" spans="13:13" x14ac:dyDescent="0.2">
      <c r="M444" s="225"/>
    </row>
    <row r="445" spans="13:13" x14ac:dyDescent="0.2">
      <c r="M445" s="225"/>
    </row>
    <row r="446" spans="13:13" x14ac:dyDescent="0.2">
      <c r="M446" s="225"/>
    </row>
    <row r="447" spans="13:13" x14ac:dyDescent="0.2">
      <c r="M447" s="225"/>
    </row>
    <row r="448" spans="13:13" x14ac:dyDescent="0.2">
      <c r="M448" s="225"/>
    </row>
    <row r="449" spans="13:13" x14ac:dyDescent="0.2">
      <c r="M449" s="225"/>
    </row>
    <row r="450" spans="13:13" x14ac:dyDescent="0.2">
      <c r="M450" s="225"/>
    </row>
    <row r="451" spans="13:13" x14ac:dyDescent="0.2">
      <c r="M451" s="225"/>
    </row>
    <row r="452" spans="13:13" x14ac:dyDescent="0.2">
      <c r="M452" s="225"/>
    </row>
    <row r="453" spans="13:13" x14ac:dyDescent="0.2">
      <c r="M453" s="225"/>
    </row>
    <row r="454" spans="13:13" x14ac:dyDescent="0.2">
      <c r="M454" s="225"/>
    </row>
    <row r="455" spans="13:13" x14ac:dyDescent="0.2">
      <c r="M455" s="225"/>
    </row>
    <row r="456" spans="13:13" x14ac:dyDescent="0.2">
      <c r="M456" s="225"/>
    </row>
    <row r="457" spans="13:13" x14ac:dyDescent="0.2">
      <c r="M457" s="225"/>
    </row>
    <row r="458" spans="13:13" x14ac:dyDescent="0.2">
      <c r="M458" s="225"/>
    </row>
    <row r="459" spans="13:13" x14ac:dyDescent="0.2">
      <c r="M459" s="225"/>
    </row>
    <row r="460" spans="13:13" x14ac:dyDescent="0.2">
      <c r="M460" s="225"/>
    </row>
    <row r="461" spans="13:13" x14ac:dyDescent="0.2">
      <c r="M461" s="225"/>
    </row>
    <row r="462" spans="13:13" x14ac:dyDescent="0.2">
      <c r="M462" s="225"/>
    </row>
    <row r="463" spans="13:13" x14ac:dyDescent="0.2">
      <c r="M463" s="225"/>
    </row>
    <row r="464" spans="13:13" x14ac:dyDescent="0.2">
      <c r="M464" s="225"/>
    </row>
    <row r="465" spans="13:13" x14ac:dyDescent="0.2">
      <c r="M465" s="225"/>
    </row>
    <row r="466" spans="13:13" x14ac:dyDescent="0.2">
      <c r="M466" s="225"/>
    </row>
    <row r="467" spans="13:13" x14ac:dyDescent="0.2">
      <c r="M467" s="225"/>
    </row>
    <row r="468" spans="13:13" x14ac:dyDescent="0.2">
      <c r="M468" s="225"/>
    </row>
    <row r="469" spans="13:13" x14ac:dyDescent="0.2">
      <c r="M469" s="225"/>
    </row>
    <row r="470" spans="13:13" x14ac:dyDescent="0.2">
      <c r="M470" s="225"/>
    </row>
    <row r="471" spans="13:13" x14ac:dyDescent="0.2">
      <c r="M471" s="225"/>
    </row>
    <row r="472" spans="13:13" x14ac:dyDescent="0.2">
      <c r="M472" s="225"/>
    </row>
    <row r="473" spans="13:13" x14ac:dyDescent="0.2">
      <c r="M473" s="225"/>
    </row>
    <row r="474" spans="13:13" x14ac:dyDescent="0.2">
      <c r="M474" s="225"/>
    </row>
    <row r="475" spans="13:13" x14ac:dyDescent="0.2">
      <c r="M475" s="225"/>
    </row>
    <row r="476" spans="13:13" x14ac:dyDescent="0.2">
      <c r="M476" s="225"/>
    </row>
    <row r="477" spans="13:13" x14ac:dyDescent="0.2">
      <c r="M477" s="225"/>
    </row>
    <row r="478" spans="13:13" x14ac:dyDescent="0.2">
      <c r="M478" s="225"/>
    </row>
    <row r="479" spans="13:13" x14ac:dyDescent="0.2">
      <c r="M479" s="225"/>
    </row>
    <row r="480" spans="13:13" x14ac:dyDescent="0.2">
      <c r="M480" s="225"/>
    </row>
    <row r="481" spans="13:13" x14ac:dyDescent="0.2">
      <c r="M481" s="225"/>
    </row>
    <row r="482" spans="13:13" x14ac:dyDescent="0.2">
      <c r="M482" s="225"/>
    </row>
    <row r="483" spans="13:13" x14ac:dyDescent="0.2">
      <c r="M483" s="225"/>
    </row>
    <row r="484" spans="13:13" x14ac:dyDescent="0.2">
      <c r="M484" s="225"/>
    </row>
    <row r="485" spans="13:13" x14ac:dyDescent="0.2">
      <c r="M485" s="225"/>
    </row>
    <row r="486" spans="13:13" x14ac:dyDescent="0.2">
      <c r="M486" s="225"/>
    </row>
    <row r="487" spans="13:13" x14ac:dyDescent="0.2">
      <c r="M487" s="225"/>
    </row>
    <row r="488" spans="13:13" x14ac:dyDescent="0.2">
      <c r="M488" s="225"/>
    </row>
    <row r="489" spans="13:13" x14ac:dyDescent="0.2">
      <c r="M489" s="225"/>
    </row>
    <row r="490" spans="13:13" x14ac:dyDescent="0.2">
      <c r="M490" s="225"/>
    </row>
    <row r="491" spans="13:13" x14ac:dyDescent="0.2">
      <c r="M491" s="225"/>
    </row>
    <row r="492" spans="13:13" x14ac:dyDescent="0.2">
      <c r="M492" s="225"/>
    </row>
    <row r="493" spans="13:13" x14ac:dyDescent="0.2">
      <c r="M493" s="225"/>
    </row>
    <row r="494" spans="13:13" x14ac:dyDescent="0.2">
      <c r="M494" s="225"/>
    </row>
    <row r="495" spans="13:13" x14ac:dyDescent="0.2">
      <c r="M495" s="225"/>
    </row>
    <row r="496" spans="13:13" x14ac:dyDescent="0.2">
      <c r="M496" s="225"/>
    </row>
    <row r="497" spans="13:13" x14ac:dyDescent="0.2">
      <c r="M497" s="225"/>
    </row>
    <row r="498" spans="13:13" x14ac:dyDescent="0.2">
      <c r="M498" s="225"/>
    </row>
    <row r="499" spans="13:13" x14ac:dyDescent="0.2">
      <c r="M499" s="225"/>
    </row>
    <row r="500" spans="13:13" x14ac:dyDescent="0.2">
      <c r="M500" s="225"/>
    </row>
    <row r="501" spans="13:13" x14ac:dyDescent="0.2">
      <c r="M501" s="225"/>
    </row>
    <row r="502" spans="13:13" x14ac:dyDescent="0.2">
      <c r="M502" s="225"/>
    </row>
    <row r="503" spans="13:13" x14ac:dyDescent="0.2">
      <c r="M503" s="225"/>
    </row>
    <row r="504" spans="13:13" x14ac:dyDescent="0.2">
      <c r="M504" s="225"/>
    </row>
    <row r="505" spans="13:13" x14ac:dyDescent="0.2">
      <c r="M505" s="225"/>
    </row>
    <row r="506" spans="13:13" x14ac:dyDescent="0.2">
      <c r="M506" s="225"/>
    </row>
    <row r="507" spans="13:13" x14ac:dyDescent="0.2">
      <c r="M507" s="225"/>
    </row>
    <row r="508" spans="13:13" x14ac:dyDescent="0.2">
      <c r="M508" s="225"/>
    </row>
    <row r="509" spans="13:13" x14ac:dyDescent="0.2">
      <c r="M509" s="225"/>
    </row>
    <row r="510" spans="13:13" x14ac:dyDescent="0.2">
      <c r="M510" s="225"/>
    </row>
    <row r="511" spans="13:13" x14ac:dyDescent="0.2">
      <c r="M511" s="225"/>
    </row>
    <row r="512" spans="13:13" x14ac:dyDescent="0.2">
      <c r="M512" s="225"/>
    </row>
    <row r="513" spans="13:13" x14ac:dyDescent="0.2">
      <c r="M513" s="225"/>
    </row>
    <row r="514" spans="13:13" x14ac:dyDescent="0.2">
      <c r="M514" s="225"/>
    </row>
    <row r="515" spans="13:13" x14ac:dyDescent="0.2">
      <c r="M515" s="225"/>
    </row>
    <row r="516" spans="13:13" x14ac:dyDescent="0.2">
      <c r="M516" s="225"/>
    </row>
    <row r="517" spans="13:13" x14ac:dyDescent="0.2">
      <c r="M517" s="225"/>
    </row>
    <row r="518" spans="13:13" x14ac:dyDescent="0.2">
      <c r="M518" s="225"/>
    </row>
    <row r="519" spans="13:13" x14ac:dyDescent="0.2">
      <c r="M519" s="225"/>
    </row>
    <row r="520" spans="13:13" x14ac:dyDescent="0.2">
      <c r="M520" s="225"/>
    </row>
    <row r="521" spans="13:13" x14ac:dyDescent="0.2">
      <c r="M521" s="225"/>
    </row>
    <row r="522" spans="13:13" x14ac:dyDescent="0.2">
      <c r="M522" s="225"/>
    </row>
    <row r="523" spans="13:13" x14ac:dyDescent="0.2">
      <c r="M523" s="225"/>
    </row>
    <row r="524" spans="13:13" x14ac:dyDescent="0.2">
      <c r="M524" s="225"/>
    </row>
    <row r="525" spans="13:13" x14ac:dyDescent="0.2">
      <c r="M525" s="225"/>
    </row>
    <row r="526" spans="13:13" x14ac:dyDescent="0.2">
      <c r="M526" s="225"/>
    </row>
    <row r="527" spans="13:13" x14ac:dyDescent="0.2">
      <c r="M527" s="225"/>
    </row>
    <row r="528" spans="13:13" x14ac:dyDescent="0.2">
      <c r="M528" s="225"/>
    </row>
    <row r="529" spans="13:13" x14ac:dyDescent="0.2">
      <c r="M529" s="225"/>
    </row>
    <row r="530" spans="13:13" x14ac:dyDescent="0.2">
      <c r="M530" s="225"/>
    </row>
    <row r="531" spans="13:13" x14ac:dyDescent="0.2">
      <c r="M531" s="225"/>
    </row>
    <row r="532" spans="13:13" x14ac:dyDescent="0.2">
      <c r="M532" s="225"/>
    </row>
    <row r="533" spans="13:13" x14ac:dyDescent="0.2">
      <c r="M533" s="225"/>
    </row>
    <row r="534" spans="13:13" x14ac:dyDescent="0.2">
      <c r="M534" s="225"/>
    </row>
    <row r="535" spans="13:13" x14ac:dyDescent="0.2">
      <c r="M535" s="225"/>
    </row>
    <row r="536" spans="13:13" x14ac:dyDescent="0.2">
      <c r="M536" s="225"/>
    </row>
    <row r="537" spans="13:13" x14ac:dyDescent="0.2">
      <c r="M537" s="225"/>
    </row>
    <row r="538" spans="13:13" x14ac:dyDescent="0.2">
      <c r="M538" s="225"/>
    </row>
    <row r="539" spans="13:13" x14ac:dyDescent="0.2">
      <c r="M539" s="225"/>
    </row>
    <row r="540" spans="13:13" x14ac:dyDescent="0.2">
      <c r="M540" s="225"/>
    </row>
    <row r="541" spans="13:13" x14ac:dyDescent="0.2">
      <c r="M541" s="225"/>
    </row>
    <row r="542" spans="13:13" x14ac:dyDescent="0.2">
      <c r="M542" s="225"/>
    </row>
    <row r="543" spans="13:13" x14ac:dyDescent="0.2">
      <c r="M543" s="225"/>
    </row>
    <row r="544" spans="13:13" x14ac:dyDescent="0.2">
      <c r="M544" s="225"/>
    </row>
    <row r="545" spans="13:13" x14ac:dyDescent="0.2">
      <c r="M545" s="225"/>
    </row>
    <row r="546" spans="13:13" x14ac:dyDescent="0.2">
      <c r="M546" s="225"/>
    </row>
    <row r="547" spans="13:13" x14ac:dyDescent="0.2">
      <c r="M547" s="225"/>
    </row>
    <row r="548" spans="13:13" x14ac:dyDescent="0.2">
      <c r="M548" s="225"/>
    </row>
    <row r="549" spans="13:13" x14ac:dyDescent="0.2">
      <c r="M549" s="225"/>
    </row>
    <row r="550" spans="13:13" x14ac:dyDescent="0.2">
      <c r="M550" s="225"/>
    </row>
    <row r="551" spans="13:13" x14ac:dyDescent="0.2">
      <c r="M551" s="225"/>
    </row>
    <row r="552" spans="13:13" x14ac:dyDescent="0.2">
      <c r="M552" s="225"/>
    </row>
    <row r="553" spans="13:13" x14ac:dyDescent="0.2">
      <c r="M553" s="225"/>
    </row>
    <row r="554" spans="13:13" x14ac:dyDescent="0.2">
      <c r="M554" s="225"/>
    </row>
    <row r="555" spans="13:13" x14ac:dyDescent="0.2">
      <c r="M555" s="225"/>
    </row>
    <row r="556" spans="13:13" x14ac:dyDescent="0.2">
      <c r="M556" s="225"/>
    </row>
    <row r="557" spans="13:13" x14ac:dyDescent="0.2">
      <c r="M557" s="225"/>
    </row>
    <row r="558" spans="13:13" x14ac:dyDescent="0.2">
      <c r="M558" s="225"/>
    </row>
    <row r="559" spans="13:13" x14ac:dyDescent="0.2">
      <c r="M559" s="225"/>
    </row>
    <row r="560" spans="13:13" x14ac:dyDescent="0.2">
      <c r="M560" s="225"/>
    </row>
    <row r="561" spans="13:13" x14ac:dyDescent="0.2">
      <c r="M561" s="225"/>
    </row>
    <row r="562" spans="13:13" x14ac:dyDescent="0.2">
      <c r="M562" s="225"/>
    </row>
    <row r="563" spans="13:13" x14ac:dyDescent="0.2">
      <c r="M563" s="225"/>
    </row>
    <row r="564" spans="13:13" x14ac:dyDescent="0.2">
      <c r="M564" s="225"/>
    </row>
    <row r="565" spans="13:13" x14ac:dyDescent="0.2">
      <c r="M565" s="225"/>
    </row>
    <row r="566" spans="13:13" x14ac:dyDescent="0.2">
      <c r="M566" s="225"/>
    </row>
    <row r="567" spans="13:13" x14ac:dyDescent="0.2">
      <c r="M567" s="225"/>
    </row>
    <row r="568" spans="13:13" x14ac:dyDescent="0.2">
      <c r="M568" s="225"/>
    </row>
    <row r="569" spans="13:13" x14ac:dyDescent="0.2">
      <c r="M569" s="225"/>
    </row>
    <row r="570" spans="13:13" x14ac:dyDescent="0.2">
      <c r="M570" s="225"/>
    </row>
    <row r="571" spans="13:13" x14ac:dyDescent="0.2">
      <c r="M571" s="225"/>
    </row>
    <row r="572" spans="13:13" x14ac:dyDescent="0.2">
      <c r="M572" s="225"/>
    </row>
    <row r="573" spans="13:13" x14ac:dyDescent="0.2">
      <c r="M573" s="225"/>
    </row>
    <row r="574" spans="13:13" x14ac:dyDescent="0.2">
      <c r="M574" s="225"/>
    </row>
    <row r="575" spans="13:13" x14ac:dyDescent="0.2">
      <c r="M575" s="225"/>
    </row>
    <row r="576" spans="13:13" x14ac:dyDescent="0.2">
      <c r="M576" s="225"/>
    </row>
    <row r="577" spans="13:13" x14ac:dyDescent="0.2">
      <c r="M577" s="225"/>
    </row>
    <row r="578" spans="13:13" x14ac:dyDescent="0.2">
      <c r="M578" s="225"/>
    </row>
    <row r="579" spans="13:13" x14ac:dyDescent="0.2">
      <c r="M579" s="225"/>
    </row>
    <row r="580" spans="13:13" x14ac:dyDescent="0.2">
      <c r="M580" s="225"/>
    </row>
    <row r="581" spans="13:13" x14ac:dyDescent="0.2">
      <c r="M581" s="225"/>
    </row>
    <row r="582" spans="13:13" x14ac:dyDescent="0.2">
      <c r="M582" s="225"/>
    </row>
    <row r="583" spans="13:13" x14ac:dyDescent="0.2">
      <c r="M583" s="225"/>
    </row>
    <row r="584" spans="13:13" x14ac:dyDescent="0.2">
      <c r="M584" s="225"/>
    </row>
    <row r="585" spans="13:13" x14ac:dyDescent="0.2">
      <c r="M585" s="225"/>
    </row>
    <row r="586" spans="13:13" x14ac:dyDescent="0.2">
      <c r="M586" s="225"/>
    </row>
    <row r="587" spans="13:13" x14ac:dyDescent="0.2">
      <c r="M587" s="225"/>
    </row>
    <row r="588" spans="13:13" x14ac:dyDescent="0.2">
      <c r="M588" s="225"/>
    </row>
    <row r="589" spans="13:13" x14ac:dyDescent="0.2">
      <c r="M589" s="225"/>
    </row>
    <row r="590" spans="13:13" x14ac:dyDescent="0.2">
      <c r="M590" s="225"/>
    </row>
    <row r="591" spans="13:13" x14ac:dyDescent="0.2">
      <c r="M591" s="225"/>
    </row>
    <row r="592" spans="13:13" x14ac:dyDescent="0.2">
      <c r="M592" s="225"/>
    </row>
    <row r="593" spans="13:13" x14ac:dyDescent="0.2">
      <c r="M593" s="225"/>
    </row>
    <row r="594" spans="13:13" x14ac:dyDescent="0.2">
      <c r="M594" s="225"/>
    </row>
    <row r="595" spans="13:13" x14ac:dyDescent="0.2">
      <c r="M595" s="225"/>
    </row>
    <row r="596" spans="13:13" x14ac:dyDescent="0.2">
      <c r="M596" s="225"/>
    </row>
    <row r="597" spans="13:13" x14ac:dyDescent="0.2">
      <c r="M597" s="225"/>
    </row>
    <row r="598" spans="13:13" x14ac:dyDescent="0.2">
      <c r="M598" s="225"/>
    </row>
    <row r="599" spans="13:13" x14ac:dyDescent="0.2">
      <c r="M599" s="225"/>
    </row>
    <row r="600" spans="13:13" x14ac:dyDescent="0.2">
      <c r="M600" s="225"/>
    </row>
    <row r="601" spans="13:13" x14ac:dyDescent="0.2">
      <c r="M601" s="225"/>
    </row>
    <row r="602" spans="13:13" x14ac:dyDescent="0.2">
      <c r="M602" s="225"/>
    </row>
    <row r="603" spans="13:13" x14ac:dyDescent="0.2">
      <c r="M603" s="225"/>
    </row>
    <row r="604" spans="13:13" x14ac:dyDescent="0.2">
      <c r="M604" s="225"/>
    </row>
    <row r="605" spans="13:13" x14ac:dyDescent="0.2">
      <c r="M605" s="225"/>
    </row>
    <row r="606" spans="13:13" x14ac:dyDescent="0.2">
      <c r="M606" s="225"/>
    </row>
    <row r="607" spans="13:13" x14ac:dyDescent="0.2">
      <c r="M607" s="225"/>
    </row>
    <row r="608" spans="13:13" x14ac:dyDescent="0.2">
      <c r="M608" s="225"/>
    </row>
    <row r="609" spans="13:13" x14ac:dyDescent="0.2">
      <c r="M609" s="225"/>
    </row>
    <row r="610" spans="13:13" x14ac:dyDescent="0.2">
      <c r="M610" s="225"/>
    </row>
    <row r="611" spans="13:13" x14ac:dyDescent="0.2">
      <c r="M611" s="225"/>
    </row>
    <row r="612" spans="13:13" x14ac:dyDescent="0.2">
      <c r="M612" s="225"/>
    </row>
    <row r="613" spans="13:13" x14ac:dyDescent="0.2">
      <c r="M613" s="225"/>
    </row>
    <row r="614" spans="13:13" x14ac:dyDescent="0.2">
      <c r="M614" s="225"/>
    </row>
    <row r="615" spans="13:13" x14ac:dyDescent="0.2">
      <c r="M615" s="225"/>
    </row>
    <row r="616" spans="13:13" x14ac:dyDescent="0.2">
      <c r="M616" s="225"/>
    </row>
    <row r="617" spans="13:13" x14ac:dyDescent="0.2">
      <c r="M617" s="225"/>
    </row>
    <row r="618" spans="13:13" x14ac:dyDescent="0.2">
      <c r="M618" s="225"/>
    </row>
    <row r="619" spans="13:13" x14ac:dyDescent="0.2">
      <c r="M619" s="225"/>
    </row>
    <row r="620" spans="13:13" x14ac:dyDescent="0.2">
      <c r="M620" s="225"/>
    </row>
    <row r="621" spans="13:13" x14ac:dyDescent="0.2">
      <c r="M621" s="225"/>
    </row>
    <row r="622" spans="13:13" x14ac:dyDescent="0.2">
      <c r="M622" s="225"/>
    </row>
    <row r="623" spans="13:13" x14ac:dyDescent="0.2">
      <c r="M623" s="225"/>
    </row>
    <row r="624" spans="13:13" x14ac:dyDescent="0.2">
      <c r="M624" s="225"/>
    </row>
    <row r="625" spans="13:13" x14ac:dyDescent="0.2">
      <c r="M625" s="225"/>
    </row>
    <row r="626" spans="13:13" x14ac:dyDescent="0.2">
      <c r="M626" s="225"/>
    </row>
    <row r="627" spans="13:13" x14ac:dyDescent="0.2">
      <c r="M627" s="225"/>
    </row>
    <row r="628" spans="13:13" x14ac:dyDescent="0.2">
      <c r="M628" s="225"/>
    </row>
    <row r="629" spans="13:13" x14ac:dyDescent="0.2">
      <c r="M629" s="225"/>
    </row>
    <row r="630" spans="13:13" x14ac:dyDescent="0.2">
      <c r="M630" s="225"/>
    </row>
    <row r="631" spans="13:13" x14ac:dyDescent="0.2">
      <c r="M631" s="225"/>
    </row>
    <row r="632" spans="13:13" x14ac:dyDescent="0.2">
      <c r="M632" s="225"/>
    </row>
    <row r="633" spans="13:13" x14ac:dyDescent="0.2">
      <c r="M633" s="225"/>
    </row>
    <row r="634" spans="13:13" x14ac:dyDescent="0.2">
      <c r="M634" s="225"/>
    </row>
    <row r="635" spans="13:13" x14ac:dyDescent="0.2">
      <c r="M635" s="225"/>
    </row>
    <row r="636" spans="13:13" x14ac:dyDescent="0.2">
      <c r="M636" s="225"/>
    </row>
    <row r="637" spans="13:13" x14ac:dyDescent="0.2">
      <c r="M637" s="225"/>
    </row>
    <row r="638" spans="13:13" x14ac:dyDescent="0.2">
      <c r="M638" s="225"/>
    </row>
    <row r="639" spans="13:13" x14ac:dyDescent="0.2">
      <c r="M639" s="225"/>
    </row>
    <row r="640" spans="13:13" x14ac:dyDescent="0.2">
      <c r="M640" s="225"/>
    </row>
    <row r="641" spans="13:13" x14ac:dyDescent="0.2">
      <c r="M641" s="225"/>
    </row>
    <row r="642" spans="13:13" x14ac:dyDescent="0.2">
      <c r="M642" s="225"/>
    </row>
    <row r="643" spans="13:13" x14ac:dyDescent="0.2">
      <c r="M643" s="225"/>
    </row>
    <row r="644" spans="13:13" x14ac:dyDescent="0.2">
      <c r="M644" s="225"/>
    </row>
    <row r="645" spans="13:13" x14ac:dyDescent="0.2">
      <c r="M645" s="225"/>
    </row>
    <row r="646" spans="13:13" x14ac:dyDescent="0.2">
      <c r="M646" s="225"/>
    </row>
    <row r="647" spans="13:13" x14ac:dyDescent="0.2">
      <c r="M647" s="225"/>
    </row>
    <row r="648" spans="13:13" x14ac:dyDescent="0.2">
      <c r="M648" s="225"/>
    </row>
    <row r="649" spans="13:13" x14ac:dyDescent="0.2">
      <c r="M649" s="225"/>
    </row>
    <row r="650" spans="13:13" x14ac:dyDescent="0.2">
      <c r="M650" s="225"/>
    </row>
    <row r="651" spans="13:13" x14ac:dyDescent="0.2">
      <c r="M651" s="225"/>
    </row>
    <row r="652" spans="13:13" x14ac:dyDescent="0.2">
      <c r="M652" s="225"/>
    </row>
    <row r="653" spans="13:13" x14ac:dyDescent="0.2">
      <c r="M653" s="225"/>
    </row>
    <row r="654" spans="13:13" x14ac:dyDescent="0.2">
      <c r="M654" s="225"/>
    </row>
    <row r="655" spans="13:13" x14ac:dyDescent="0.2">
      <c r="M655" s="225"/>
    </row>
    <row r="656" spans="13:13" x14ac:dyDescent="0.2">
      <c r="M656" s="225"/>
    </row>
    <row r="657" spans="13:13" x14ac:dyDescent="0.2">
      <c r="M657" s="225"/>
    </row>
    <row r="658" spans="13:13" x14ac:dyDescent="0.2">
      <c r="M658" s="225"/>
    </row>
    <row r="659" spans="13:13" x14ac:dyDescent="0.2">
      <c r="M659" s="225"/>
    </row>
    <row r="660" spans="13:13" x14ac:dyDescent="0.2">
      <c r="M660" s="225"/>
    </row>
    <row r="661" spans="13:13" x14ac:dyDescent="0.2">
      <c r="M661" s="225"/>
    </row>
    <row r="662" spans="13:13" x14ac:dyDescent="0.2">
      <c r="M662" s="225"/>
    </row>
    <row r="663" spans="13:13" x14ac:dyDescent="0.2">
      <c r="M663" s="225"/>
    </row>
    <row r="664" spans="13:13" x14ac:dyDescent="0.2">
      <c r="M664" s="225"/>
    </row>
    <row r="665" spans="13:13" x14ac:dyDescent="0.2">
      <c r="M665" s="225"/>
    </row>
    <row r="666" spans="13:13" x14ac:dyDescent="0.2">
      <c r="M666" s="225"/>
    </row>
    <row r="667" spans="13:13" x14ac:dyDescent="0.2">
      <c r="M667" s="225"/>
    </row>
    <row r="668" spans="13:13" x14ac:dyDescent="0.2">
      <c r="M668" s="225"/>
    </row>
    <row r="669" spans="13:13" x14ac:dyDescent="0.2">
      <c r="M669" s="225"/>
    </row>
    <row r="670" spans="13:13" x14ac:dyDescent="0.2">
      <c r="M670" s="225"/>
    </row>
    <row r="671" spans="13:13" x14ac:dyDescent="0.2">
      <c r="M671" s="225"/>
    </row>
    <row r="672" spans="13:13" x14ac:dyDescent="0.2">
      <c r="M672" s="225"/>
    </row>
    <row r="673" spans="13:13" x14ac:dyDescent="0.2">
      <c r="M673" s="225"/>
    </row>
    <row r="674" spans="13:13" x14ac:dyDescent="0.2">
      <c r="M674" s="225"/>
    </row>
    <row r="675" spans="13:13" x14ac:dyDescent="0.2">
      <c r="M675" s="225"/>
    </row>
    <row r="676" spans="13:13" x14ac:dyDescent="0.2">
      <c r="M676" s="225"/>
    </row>
    <row r="677" spans="13:13" x14ac:dyDescent="0.2">
      <c r="M677" s="225"/>
    </row>
    <row r="678" spans="13:13" x14ac:dyDescent="0.2">
      <c r="M678" s="225"/>
    </row>
    <row r="679" spans="13:13" x14ac:dyDescent="0.2">
      <c r="M679" s="225"/>
    </row>
    <row r="680" spans="13:13" x14ac:dyDescent="0.2">
      <c r="M680" s="225"/>
    </row>
    <row r="681" spans="13:13" x14ac:dyDescent="0.2">
      <c r="M681" s="225"/>
    </row>
    <row r="682" spans="13:13" x14ac:dyDescent="0.2">
      <c r="M682" s="225"/>
    </row>
    <row r="683" spans="13:13" x14ac:dyDescent="0.2">
      <c r="M683" s="225"/>
    </row>
    <row r="684" spans="13:13" x14ac:dyDescent="0.2">
      <c r="M684" s="225"/>
    </row>
    <row r="685" spans="13:13" x14ac:dyDescent="0.2">
      <c r="M685" s="225"/>
    </row>
    <row r="686" spans="13:13" x14ac:dyDescent="0.2">
      <c r="M686" s="225"/>
    </row>
    <row r="687" spans="13:13" x14ac:dyDescent="0.2">
      <c r="M687" s="225"/>
    </row>
    <row r="688" spans="13:13" x14ac:dyDescent="0.2">
      <c r="M688" s="225"/>
    </row>
    <row r="689" spans="13:13" x14ac:dyDescent="0.2">
      <c r="M689" s="225"/>
    </row>
    <row r="690" spans="13:13" x14ac:dyDescent="0.2">
      <c r="M690" s="225"/>
    </row>
    <row r="691" spans="13:13" x14ac:dyDescent="0.2">
      <c r="M691" s="225"/>
    </row>
    <row r="692" spans="13:13" x14ac:dyDescent="0.2">
      <c r="M692" s="225"/>
    </row>
    <row r="693" spans="13:13" x14ac:dyDescent="0.2">
      <c r="M693" s="225"/>
    </row>
    <row r="694" spans="13:13" x14ac:dyDescent="0.2">
      <c r="M694" s="225"/>
    </row>
    <row r="695" spans="13:13" x14ac:dyDescent="0.2">
      <c r="M695" s="225"/>
    </row>
    <row r="696" spans="13:13" x14ac:dyDescent="0.2">
      <c r="M696" s="225"/>
    </row>
    <row r="697" spans="13:13" x14ac:dyDescent="0.2">
      <c r="M697" s="225"/>
    </row>
    <row r="698" spans="13:13" x14ac:dyDescent="0.2">
      <c r="M698" s="225"/>
    </row>
    <row r="699" spans="13:13" x14ac:dyDescent="0.2">
      <c r="M699" s="225"/>
    </row>
    <row r="700" spans="13:13" x14ac:dyDescent="0.2">
      <c r="M700" s="225"/>
    </row>
    <row r="701" spans="13:13" x14ac:dyDescent="0.2">
      <c r="M701" s="225"/>
    </row>
    <row r="702" spans="13:13" x14ac:dyDescent="0.2">
      <c r="M702" s="225"/>
    </row>
    <row r="703" spans="13:13" x14ac:dyDescent="0.2">
      <c r="M703" s="225"/>
    </row>
    <row r="704" spans="13:13" x14ac:dyDescent="0.2">
      <c r="M704" s="225"/>
    </row>
    <row r="705" spans="13:13" x14ac:dyDescent="0.2">
      <c r="M705" s="225"/>
    </row>
    <row r="706" spans="13:13" x14ac:dyDescent="0.2">
      <c r="M706" s="225"/>
    </row>
    <row r="707" spans="13:13" x14ac:dyDescent="0.2">
      <c r="M707" s="225"/>
    </row>
    <row r="708" spans="13:13" x14ac:dyDescent="0.2">
      <c r="M708" s="225"/>
    </row>
    <row r="709" spans="13:13" x14ac:dyDescent="0.2">
      <c r="M709" s="225"/>
    </row>
    <row r="710" spans="13:13" x14ac:dyDescent="0.2">
      <c r="M710" s="225"/>
    </row>
    <row r="711" spans="13:13" x14ac:dyDescent="0.2">
      <c r="M711" s="225"/>
    </row>
    <row r="712" spans="13:13" x14ac:dyDescent="0.2">
      <c r="M712" s="225"/>
    </row>
    <row r="713" spans="13:13" x14ac:dyDescent="0.2">
      <c r="M713" s="225"/>
    </row>
    <row r="714" spans="13:13" x14ac:dyDescent="0.2">
      <c r="M714" s="225"/>
    </row>
    <row r="715" spans="13:13" x14ac:dyDescent="0.2">
      <c r="M715" s="225"/>
    </row>
    <row r="716" spans="13:13" x14ac:dyDescent="0.2">
      <c r="M716" s="225"/>
    </row>
    <row r="717" spans="13:13" x14ac:dyDescent="0.2">
      <c r="M717" s="225"/>
    </row>
    <row r="718" spans="13:13" x14ac:dyDescent="0.2">
      <c r="M718" s="225"/>
    </row>
    <row r="719" spans="13:13" x14ac:dyDescent="0.2">
      <c r="M719" s="225"/>
    </row>
    <row r="720" spans="13:13" x14ac:dyDescent="0.2">
      <c r="M720" s="225"/>
    </row>
    <row r="721" spans="13:13" x14ac:dyDescent="0.2">
      <c r="M721" s="225"/>
    </row>
    <row r="722" spans="13:13" x14ac:dyDescent="0.2">
      <c r="M722" s="225"/>
    </row>
    <row r="723" spans="13:13" x14ac:dyDescent="0.2">
      <c r="M723" s="225"/>
    </row>
    <row r="724" spans="13:13" x14ac:dyDescent="0.2">
      <c r="M724" s="225"/>
    </row>
    <row r="725" spans="13:13" x14ac:dyDescent="0.2">
      <c r="M725" s="225"/>
    </row>
    <row r="726" spans="13:13" x14ac:dyDescent="0.2">
      <c r="M726" s="225"/>
    </row>
    <row r="727" spans="13:13" x14ac:dyDescent="0.2">
      <c r="M727" s="225"/>
    </row>
    <row r="728" spans="13:13" x14ac:dyDescent="0.2">
      <c r="M728" s="225"/>
    </row>
    <row r="729" spans="13:13" x14ac:dyDescent="0.2">
      <c r="M729" s="225"/>
    </row>
    <row r="730" spans="13:13" x14ac:dyDescent="0.2">
      <c r="M730" s="225"/>
    </row>
    <row r="731" spans="13:13" x14ac:dyDescent="0.2">
      <c r="M731" s="225"/>
    </row>
    <row r="732" spans="13:13" x14ac:dyDescent="0.2">
      <c r="M732" s="225"/>
    </row>
    <row r="733" spans="13:13" x14ac:dyDescent="0.2">
      <c r="M733" s="225"/>
    </row>
    <row r="734" spans="13:13" x14ac:dyDescent="0.2">
      <c r="M734" s="225"/>
    </row>
    <row r="735" spans="13:13" x14ac:dyDescent="0.2">
      <c r="M735" s="225"/>
    </row>
    <row r="736" spans="13:13" x14ac:dyDescent="0.2">
      <c r="M736" s="225"/>
    </row>
    <row r="737" spans="13:13" x14ac:dyDescent="0.2">
      <c r="M737" s="225"/>
    </row>
    <row r="738" spans="13:13" x14ac:dyDescent="0.2">
      <c r="M738" s="225"/>
    </row>
    <row r="739" spans="13:13" x14ac:dyDescent="0.2">
      <c r="M739" s="225"/>
    </row>
    <row r="740" spans="13:13" x14ac:dyDescent="0.2">
      <c r="M740" s="225"/>
    </row>
    <row r="741" spans="13:13" x14ac:dyDescent="0.2">
      <c r="M741" s="225"/>
    </row>
    <row r="742" spans="13:13" x14ac:dyDescent="0.2">
      <c r="M742" s="225"/>
    </row>
    <row r="743" spans="13:13" x14ac:dyDescent="0.2">
      <c r="M743" s="225"/>
    </row>
    <row r="744" spans="13:13" x14ac:dyDescent="0.2">
      <c r="M744" s="225"/>
    </row>
    <row r="745" spans="13:13" x14ac:dyDescent="0.2">
      <c r="M745" s="225"/>
    </row>
    <row r="746" spans="13:13" x14ac:dyDescent="0.2">
      <c r="M746" s="225"/>
    </row>
    <row r="747" spans="13:13" x14ac:dyDescent="0.2">
      <c r="M747" s="225"/>
    </row>
    <row r="748" spans="13:13" x14ac:dyDescent="0.2">
      <c r="M748" s="225"/>
    </row>
    <row r="749" spans="13:13" x14ac:dyDescent="0.2">
      <c r="M749" s="225"/>
    </row>
    <row r="750" spans="13:13" x14ac:dyDescent="0.2">
      <c r="M750" s="225"/>
    </row>
    <row r="751" spans="13:13" x14ac:dyDescent="0.2">
      <c r="M751" s="225"/>
    </row>
    <row r="752" spans="13:13" x14ac:dyDescent="0.2">
      <c r="M752" s="225"/>
    </row>
    <row r="753" spans="13:13" x14ac:dyDescent="0.2">
      <c r="M753" s="225"/>
    </row>
    <row r="754" spans="13:13" x14ac:dyDescent="0.2">
      <c r="M754" s="225"/>
    </row>
    <row r="755" spans="13:13" x14ac:dyDescent="0.2">
      <c r="M755" s="225"/>
    </row>
    <row r="756" spans="13:13" x14ac:dyDescent="0.2">
      <c r="M756" s="225"/>
    </row>
    <row r="757" spans="13:13" x14ac:dyDescent="0.2">
      <c r="M757" s="225"/>
    </row>
    <row r="758" spans="13:13" x14ac:dyDescent="0.2">
      <c r="M758" s="225"/>
    </row>
    <row r="759" spans="13:13" x14ac:dyDescent="0.2">
      <c r="M759" s="225"/>
    </row>
    <row r="760" spans="13:13" x14ac:dyDescent="0.2">
      <c r="M760" s="225"/>
    </row>
    <row r="761" spans="13:13" x14ac:dyDescent="0.2">
      <c r="M761" s="225"/>
    </row>
    <row r="762" spans="13:13" x14ac:dyDescent="0.2">
      <c r="M762" s="225"/>
    </row>
    <row r="763" spans="13:13" x14ac:dyDescent="0.2">
      <c r="M763" s="225"/>
    </row>
    <row r="764" spans="13:13" x14ac:dyDescent="0.2">
      <c r="M764" s="225"/>
    </row>
    <row r="765" spans="13:13" x14ac:dyDescent="0.2">
      <c r="M765" s="225"/>
    </row>
    <row r="766" spans="13:13" x14ac:dyDescent="0.2">
      <c r="M766" s="225"/>
    </row>
    <row r="767" spans="13:13" x14ac:dyDescent="0.2">
      <c r="M767" s="225"/>
    </row>
    <row r="768" spans="13:13" x14ac:dyDescent="0.2">
      <c r="M768" s="225"/>
    </row>
    <row r="769" spans="13:13" x14ac:dyDescent="0.2">
      <c r="M769" s="225"/>
    </row>
    <row r="770" spans="13:13" x14ac:dyDescent="0.2">
      <c r="M770" s="225"/>
    </row>
    <row r="771" spans="13:13" x14ac:dyDescent="0.2">
      <c r="M771" s="225"/>
    </row>
    <row r="772" spans="13:13" x14ac:dyDescent="0.2">
      <c r="M772" s="225"/>
    </row>
    <row r="773" spans="13:13" x14ac:dyDescent="0.2">
      <c r="M773" s="225"/>
    </row>
    <row r="774" spans="13:13" x14ac:dyDescent="0.2">
      <c r="M774" s="225"/>
    </row>
    <row r="775" spans="13:13" x14ac:dyDescent="0.2">
      <c r="M775" s="225"/>
    </row>
    <row r="776" spans="13:13" x14ac:dyDescent="0.2">
      <c r="M776" s="225"/>
    </row>
    <row r="777" spans="13:13" x14ac:dyDescent="0.2">
      <c r="M777" s="225"/>
    </row>
    <row r="778" spans="13:13" x14ac:dyDescent="0.2">
      <c r="M778" s="225"/>
    </row>
    <row r="779" spans="13:13" x14ac:dyDescent="0.2">
      <c r="M779" s="225"/>
    </row>
    <row r="780" spans="13:13" x14ac:dyDescent="0.2">
      <c r="M780" s="225"/>
    </row>
    <row r="781" spans="13:13" x14ac:dyDescent="0.2">
      <c r="M781" s="225"/>
    </row>
    <row r="782" spans="13:13" x14ac:dyDescent="0.2">
      <c r="M782" s="225"/>
    </row>
    <row r="783" spans="13:13" x14ac:dyDescent="0.2">
      <c r="M783" s="225"/>
    </row>
    <row r="784" spans="13:13" x14ac:dyDescent="0.2">
      <c r="M784" s="225"/>
    </row>
    <row r="785" spans="13:13" x14ac:dyDescent="0.2">
      <c r="M785" s="225"/>
    </row>
    <row r="786" spans="13:13" x14ac:dyDescent="0.2">
      <c r="M786" s="225"/>
    </row>
    <row r="787" spans="13:13" x14ac:dyDescent="0.2">
      <c r="M787" s="225"/>
    </row>
    <row r="788" spans="13:13" x14ac:dyDescent="0.2">
      <c r="M788" s="225"/>
    </row>
    <row r="789" spans="13:13" x14ac:dyDescent="0.2">
      <c r="M789" s="225"/>
    </row>
    <row r="790" spans="13:13" x14ac:dyDescent="0.2">
      <c r="M790" s="225"/>
    </row>
    <row r="791" spans="13:13" x14ac:dyDescent="0.2">
      <c r="M791" s="225"/>
    </row>
    <row r="792" spans="13:13" x14ac:dyDescent="0.2">
      <c r="M792" s="225"/>
    </row>
    <row r="793" spans="13:13" x14ac:dyDescent="0.2">
      <c r="M793" s="225"/>
    </row>
    <row r="794" spans="13:13" x14ac:dyDescent="0.2">
      <c r="M794" s="225"/>
    </row>
    <row r="795" spans="13:13" x14ac:dyDescent="0.2">
      <c r="M795" s="225"/>
    </row>
    <row r="796" spans="13:13" x14ac:dyDescent="0.2">
      <c r="M796" s="225"/>
    </row>
    <row r="797" spans="13:13" x14ac:dyDescent="0.2">
      <c r="M797" s="225"/>
    </row>
    <row r="798" spans="13:13" x14ac:dyDescent="0.2">
      <c r="M798" s="225"/>
    </row>
    <row r="799" spans="13:13" x14ac:dyDescent="0.2">
      <c r="M799" s="225"/>
    </row>
    <row r="800" spans="13:13" x14ac:dyDescent="0.2">
      <c r="M800" s="225"/>
    </row>
    <row r="801" spans="13:13" x14ac:dyDescent="0.2">
      <c r="M801" s="225"/>
    </row>
    <row r="802" spans="13:13" x14ac:dyDescent="0.2">
      <c r="M802" s="225"/>
    </row>
    <row r="803" spans="13:13" x14ac:dyDescent="0.2">
      <c r="M803" s="225"/>
    </row>
    <row r="804" spans="13:13" x14ac:dyDescent="0.2">
      <c r="M804" s="225"/>
    </row>
    <row r="805" spans="13:13" x14ac:dyDescent="0.2">
      <c r="M805" s="225"/>
    </row>
    <row r="806" spans="13:13" x14ac:dyDescent="0.2">
      <c r="M806" s="225"/>
    </row>
    <row r="807" spans="13:13" x14ac:dyDescent="0.2">
      <c r="M807" s="225"/>
    </row>
    <row r="808" spans="13:13" x14ac:dyDescent="0.2">
      <c r="M808" s="225"/>
    </row>
    <row r="809" spans="13:13" x14ac:dyDescent="0.2">
      <c r="M809" s="225"/>
    </row>
    <row r="810" spans="13:13" x14ac:dyDescent="0.2">
      <c r="M810" s="225"/>
    </row>
    <row r="811" spans="13:13" x14ac:dyDescent="0.2">
      <c r="M811" s="225"/>
    </row>
    <row r="812" spans="13:13" x14ac:dyDescent="0.2">
      <c r="M812" s="225"/>
    </row>
    <row r="813" spans="13:13" x14ac:dyDescent="0.2">
      <c r="M813" s="225"/>
    </row>
    <row r="814" spans="13:13" x14ac:dyDescent="0.2">
      <c r="M814" s="225"/>
    </row>
    <row r="815" spans="13:13" x14ac:dyDescent="0.2">
      <c r="M815" s="225"/>
    </row>
    <row r="816" spans="13:13" x14ac:dyDescent="0.2">
      <c r="M816" s="225"/>
    </row>
    <row r="817" spans="13:13" x14ac:dyDescent="0.2">
      <c r="M817" s="225"/>
    </row>
    <row r="818" spans="13:13" x14ac:dyDescent="0.2">
      <c r="M818" s="225"/>
    </row>
    <row r="819" spans="13:13" x14ac:dyDescent="0.2">
      <c r="M819" s="225"/>
    </row>
    <row r="820" spans="13:13" x14ac:dyDescent="0.2">
      <c r="M820" s="225"/>
    </row>
    <row r="821" spans="13:13" x14ac:dyDescent="0.2">
      <c r="M821" s="225"/>
    </row>
    <row r="822" spans="13:13" x14ac:dyDescent="0.2">
      <c r="M822" s="225"/>
    </row>
    <row r="823" spans="13:13" x14ac:dyDescent="0.2">
      <c r="M823" s="225"/>
    </row>
    <row r="824" spans="13:13" x14ac:dyDescent="0.2">
      <c r="M824" s="225"/>
    </row>
    <row r="825" spans="13:13" x14ac:dyDescent="0.2">
      <c r="M825" s="225"/>
    </row>
    <row r="826" spans="13:13" x14ac:dyDescent="0.2">
      <c r="M826" s="225"/>
    </row>
    <row r="827" spans="13:13" x14ac:dyDescent="0.2">
      <c r="M827" s="225"/>
    </row>
    <row r="828" spans="13:13" x14ac:dyDescent="0.2">
      <c r="M828" s="225"/>
    </row>
    <row r="829" spans="13:13" x14ac:dyDescent="0.2">
      <c r="M829" s="225"/>
    </row>
    <row r="830" spans="13:13" x14ac:dyDescent="0.2">
      <c r="M830" s="225"/>
    </row>
    <row r="831" spans="13:13" x14ac:dyDescent="0.2">
      <c r="M831" s="225"/>
    </row>
    <row r="832" spans="13:13" x14ac:dyDescent="0.2">
      <c r="M832" s="225"/>
    </row>
    <row r="833" spans="13:13" x14ac:dyDescent="0.2">
      <c r="M833" s="225"/>
    </row>
    <row r="834" spans="13:13" x14ac:dyDescent="0.2">
      <c r="M834" s="225"/>
    </row>
    <row r="835" spans="13:13" x14ac:dyDescent="0.2">
      <c r="M835" s="225"/>
    </row>
    <row r="836" spans="13:13" x14ac:dyDescent="0.2">
      <c r="M836" s="225"/>
    </row>
    <row r="837" spans="13:13" x14ac:dyDescent="0.2">
      <c r="M837" s="225"/>
    </row>
    <row r="838" spans="13:13" x14ac:dyDescent="0.2">
      <c r="M838" s="225"/>
    </row>
    <row r="839" spans="13:13" x14ac:dyDescent="0.2">
      <c r="M839" s="225"/>
    </row>
    <row r="840" spans="13:13" x14ac:dyDescent="0.2">
      <c r="M840" s="225"/>
    </row>
    <row r="841" spans="13:13" x14ac:dyDescent="0.2">
      <c r="M841" s="225"/>
    </row>
    <row r="842" spans="13:13" x14ac:dyDescent="0.2">
      <c r="M842" s="225"/>
    </row>
    <row r="843" spans="13:13" x14ac:dyDescent="0.2">
      <c r="M843" s="225"/>
    </row>
    <row r="844" spans="13:13" x14ac:dyDescent="0.2">
      <c r="M844" s="225"/>
    </row>
    <row r="845" spans="13:13" x14ac:dyDescent="0.2">
      <c r="M845" s="225"/>
    </row>
    <row r="846" spans="13:13" x14ac:dyDescent="0.2">
      <c r="M846" s="225"/>
    </row>
    <row r="847" spans="13:13" x14ac:dyDescent="0.2">
      <c r="M847" s="225"/>
    </row>
    <row r="848" spans="13:13" x14ac:dyDescent="0.2">
      <c r="M848" s="225"/>
    </row>
    <row r="849" spans="13:13" x14ac:dyDescent="0.2">
      <c r="M849" s="225"/>
    </row>
    <row r="850" spans="13:13" x14ac:dyDescent="0.2">
      <c r="M850" s="225"/>
    </row>
    <row r="851" spans="13:13" x14ac:dyDescent="0.2">
      <c r="M851" s="225"/>
    </row>
    <row r="852" spans="13:13" x14ac:dyDescent="0.2">
      <c r="M852" s="225"/>
    </row>
    <row r="853" spans="13:13" x14ac:dyDescent="0.2">
      <c r="M853" s="225"/>
    </row>
    <row r="854" spans="13:13" x14ac:dyDescent="0.2">
      <c r="M854" s="225"/>
    </row>
    <row r="855" spans="13:13" x14ac:dyDescent="0.2">
      <c r="M855" s="225"/>
    </row>
    <row r="856" spans="13:13" x14ac:dyDescent="0.2">
      <c r="M856" s="225"/>
    </row>
    <row r="857" spans="13:13" x14ac:dyDescent="0.2">
      <c r="M857" s="225"/>
    </row>
    <row r="858" spans="13:13" x14ac:dyDescent="0.2">
      <c r="M858" s="225"/>
    </row>
    <row r="859" spans="13:13" x14ac:dyDescent="0.2">
      <c r="M859" s="225"/>
    </row>
    <row r="860" spans="13:13" x14ac:dyDescent="0.2">
      <c r="M860" s="225"/>
    </row>
    <row r="861" spans="13:13" x14ac:dyDescent="0.2">
      <c r="M861" s="225"/>
    </row>
    <row r="862" spans="13:13" x14ac:dyDescent="0.2">
      <c r="M862" s="225"/>
    </row>
    <row r="863" spans="13:13" x14ac:dyDescent="0.2">
      <c r="M863" s="225"/>
    </row>
    <row r="864" spans="13:13" x14ac:dyDescent="0.2">
      <c r="M864" s="225"/>
    </row>
    <row r="865" spans="13:13" x14ac:dyDescent="0.2">
      <c r="M865" s="225"/>
    </row>
    <row r="866" spans="13:13" x14ac:dyDescent="0.2">
      <c r="M866" s="225"/>
    </row>
    <row r="867" spans="13:13" x14ac:dyDescent="0.2">
      <c r="M867" s="225"/>
    </row>
    <row r="868" spans="13:13" x14ac:dyDescent="0.2">
      <c r="M868" s="225"/>
    </row>
    <row r="869" spans="13:13" x14ac:dyDescent="0.2">
      <c r="M869" s="225"/>
    </row>
    <row r="870" spans="13:13" x14ac:dyDescent="0.2">
      <c r="M870" s="225"/>
    </row>
    <row r="871" spans="13:13" x14ac:dyDescent="0.2">
      <c r="M871" s="225"/>
    </row>
    <row r="872" spans="13:13" x14ac:dyDescent="0.2">
      <c r="M872" s="225"/>
    </row>
    <row r="873" spans="13:13" x14ac:dyDescent="0.2">
      <c r="M873" s="225"/>
    </row>
    <row r="874" spans="13:13" x14ac:dyDescent="0.2">
      <c r="M874" s="225"/>
    </row>
    <row r="875" spans="13:13" x14ac:dyDescent="0.2">
      <c r="M875" s="225"/>
    </row>
    <row r="876" spans="13:13" x14ac:dyDescent="0.2">
      <c r="M876" s="225"/>
    </row>
    <row r="877" spans="13:13" x14ac:dyDescent="0.2">
      <c r="M877" s="225"/>
    </row>
    <row r="878" spans="13:13" x14ac:dyDescent="0.2">
      <c r="M878" s="225"/>
    </row>
    <row r="879" spans="13:13" x14ac:dyDescent="0.2">
      <c r="M879" s="225"/>
    </row>
    <row r="880" spans="13:13" x14ac:dyDescent="0.2">
      <c r="M880" s="225"/>
    </row>
    <row r="881" spans="13:13" x14ac:dyDescent="0.2">
      <c r="M881" s="225"/>
    </row>
    <row r="882" spans="13:13" x14ac:dyDescent="0.2">
      <c r="M882" s="225"/>
    </row>
    <row r="883" spans="13:13" x14ac:dyDescent="0.2">
      <c r="M883" s="225"/>
    </row>
    <row r="884" spans="13:13" x14ac:dyDescent="0.2">
      <c r="M884" s="225"/>
    </row>
    <row r="885" spans="13:13" x14ac:dyDescent="0.2">
      <c r="M885" s="225"/>
    </row>
    <row r="886" spans="13:13" x14ac:dyDescent="0.2">
      <c r="M886" s="225"/>
    </row>
    <row r="887" spans="13:13" x14ac:dyDescent="0.2">
      <c r="M887" s="225"/>
    </row>
    <row r="888" spans="13:13" x14ac:dyDescent="0.2">
      <c r="M888" s="225"/>
    </row>
    <row r="889" spans="13:13" x14ac:dyDescent="0.2">
      <c r="M889" s="225"/>
    </row>
    <row r="890" spans="13:13" x14ac:dyDescent="0.2">
      <c r="M890" s="225"/>
    </row>
    <row r="891" spans="13:13" x14ac:dyDescent="0.2">
      <c r="M891" s="225"/>
    </row>
    <row r="892" spans="13:13" x14ac:dyDescent="0.2">
      <c r="M892" s="225"/>
    </row>
    <row r="893" spans="13:13" x14ac:dyDescent="0.2">
      <c r="M893" s="225"/>
    </row>
    <row r="894" spans="13:13" x14ac:dyDescent="0.2">
      <c r="M894" s="225"/>
    </row>
    <row r="895" spans="13:13" x14ac:dyDescent="0.2">
      <c r="M895" s="225"/>
    </row>
    <row r="896" spans="13:13" x14ac:dyDescent="0.2">
      <c r="M896" s="225"/>
    </row>
    <row r="897" spans="13:13" x14ac:dyDescent="0.2">
      <c r="M897" s="225"/>
    </row>
    <row r="898" spans="13:13" x14ac:dyDescent="0.2">
      <c r="M898" s="225"/>
    </row>
    <row r="899" spans="13:13" x14ac:dyDescent="0.2">
      <c r="M899" s="225"/>
    </row>
    <row r="900" spans="13:13" x14ac:dyDescent="0.2">
      <c r="M900" s="225"/>
    </row>
    <row r="901" spans="13:13" x14ac:dyDescent="0.2">
      <c r="M901" s="225"/>
    </row>
    <row r="902" spans="13:13" x14ac:dyDescent="0.2">
      <c r="M902" s="225"/>
    </row>
    <row r="903" spans="13:13" x14ac:dyDescent="0.2">
      <c r="M903" s="225"/>
    </row>
    <row r="904" spans="13:13" x14ac:dyDescent="0.2">
      <c r="M904" s="225"/>
    </row>
    <row r="905" spans="13:13" x14ac:dyDescent="0.2">
      <c r="M905" s="225"/>
    </row>
    <row r="906" spans="13:13" x14ac:dyDescent="0.2">
      <c r="M906" s="225"/>
    </row>
    <row r="907" spans="13:13" x14ac:dyDescent="0.2">
      <c r="M907" s="225"/>
    </row>
    <row r="908" spans="13:13" x14ac:dyDescent="0.2">
      <c r="M908" s="225"/>
    </row>
    <row r="909" spans="13:13" x14ac:dyDescent="0.2">
      <c r="M909" s="225"/>
    </row>
    <row r="910" spans="13:13" x14ac:dyDescent="0.2">
      <c r="M910" s="225"/>
    </row>
    <row r="911" spans="13:13" x14ac:dyDescent="0.2">
      <c r="M911" s="225"/>
    </row>
    <row r="912" spans="13:13" x14ac:dyDescent="0.2">
      <c r="M912" s="225"/>
    </row>
    <row r="913" spans="13:13" x14ac:dyDescent="0.2">
      <c r="M913" s="225"/>
    </row>
    <row r="914" spans="13:13" x14ac:dyDescent="0.2">
      <c r="M914" s="225"/>
    </row>
    <row r="915" spans="13:13" x14ac:dyDescent="0.2">
      <c r="M915" s="225"/>
    </row>
    <row r="916" spans="13:13" x14ac:dyDescent="0.2">
      <c r="M916" s="225"/>
    </row>
    <row r="917" spans="13:13" x14ac:dyDescent="0.2">
      <c r="M917" s="225"/>
    </row>
    <row r="918" spans="13:13" x14ac:dyDescent="0.2">
      <c r="M918" s="225"/>
    </row>
    <row r="919" spans="13:13" x14ac:dyDescent="0.2">
      <c r="M919" s="225"/>
    </row>
    <row r="920" spans="13:13" x14ac:dyDescent="0.2">
      <c r="M920" s="225"/>
    </row>
    <row r="921" spans="13:13" x14ac:dyDescent="0.2">
      <c r="M921" s="225"/>
    </row>
    <row r="922" spans="13:13" x14ac:dyDescent="0.2">
      <c r="M922" s="225"/>
    </row>
    <row r="923" spans="13:13" x14ac:dyDescent="0.2">
      <c r="M923" s="225"/>
    </row>
    <row r="924" spans="13:13" x14ac:dyDescent="0.2">
      <c r="M924" s="225"/>
    </row>
    <row r="925" spans="13:13" x14ac:dyDescent="0.2">
      <c r="M925" s="225"/>
    </row>
    <row r="926" spans="13:13" x14ac:dyDescent="0.2">
      <c r="M926" s="225"/>
    </row>
    <row r="927" spans="13:13" x14ac:dyDescent="0.2">
      <c r="M927" s="225"/>
    </row>
    <row r="928" spans="13:13" x14ac:dyDescent="0.2">
      <c r="M928" s="225"/>
    </row>
    <row r="929" spans="13:13" x14ac:dyDescent="0.2">
      <c r="M929" s="225"/>
    </row>
    <row r="930" spans="13:13" x14ac:dyDescent="0.2">
      <c r="M930" s="225"/>
    </row>
    <row r="931" spans="13:13" x14ac:dyDescent="0.2">
      <c r="M931" s="225"/>
    </row>
    <row r="932" spans="13:13" x14ac:dyDescent="0.2">
      <c r="M932" s="225"/>
    </row>
    <row r="933" spans="13:13" x14ac:dyDescent="0.2">
      <c r="M933" s="225"/>
    </row>
    <row r="934" spans="13:13" x14ac:dyDescent="0.2">
      <c r="M934" s="225"/>
    </row>
    <row r="935" spans="13:13" x14ac:dyDescent="0.2">
      <c r="M935" s="225"/>
    </row>
    <row r="936" spans="13:13" x14ac:dyDescent="0.2">
      <c r="M936" s="225"/>
    </row>
    <row r="937" spans="13:13" x14ac:dyDescent="0.2">
      <c r="M937" s="225"/>
    </row>
    <row r="938" spans="13:13" x14ac:dyDescent="0.2">
      <c r="M938" s="225"/>
    </row>
    <row r="939" spans="13:13" x14ac:dyDescent="0.2">
      <c r="M939" s="225"/>
    </row>
    <row r="940" spans="13:13" x14ac:dyDescent="0.2">
      <c r="M940" s="225"/>
    </row>
    <row r="941" spans="13:13" x14ac:dyDescent="0.2">
      <c r="M941" s="225"/>
    </row>
    <row r="942" spans="13:13" x14ac:dyDescent="0.2">
      <c r="M942" s="225"/>
    </row>
    <row r="943" spans="13:13" x14ac:dyDescent="0.2">
      <c r="M943" s="225"/>
    </row>
    <row r="944" spans="13:13" x14ac:dyDescent="0.2">
      <c r="M944" s="225"/>
    </row>
    <row r="945" spans="13:13" x14ac:dyDescent="0.2">
      <c r="M945" s="225"/>
    </row>
    <row r="946" spans="13:13" x14ac:dyDescent="0.2">
      <c r="M946" s="225"/>
    </row>
    <row r="947" spans="13:13" x14ac:dyDescent="0.2">
      <c r="M947" s="225"/>
    </row>
    <row r="948" spans="13:13" x14ac:dyDescent="0.2">
      <c r="M948" s="225"/>
    </row>
    <row r="949" spans="13:13" x14ac:dyDescent="0.2">
      <c r="M949" s="225"/>
    </row>
    <row r="950" spans="13:13" x14ac:dyDescent="0.2">
      <c r="M950" s="225"/>
    </row>
    <row r="951" spans="13:13" x14ac:dyDescent="0.2">
      <c r="M951" s="225"/>
    </row>
    <row r="952" spans="13:13" x14ac:dyDescent="0.2">
      <c r="M952" s="225"/>
    </row>
    <row r="953" spans="13:13" x14ac:dyDescent="0.2">
      <c r="M953" s="225"/>
    </row>
    <row r="954" spans="13:13" x14ac:dyDescent="0.2">
      <c r="M954" s="225"/>
    </row>
    <row r="955" spans="13:13" x14ac:dyDescent="0.2">
      <c r="M955" s="225"/>
    </row>
    <row r="956" spans="13:13" x14ac:dyDescent="0.2">
      <c r="M956" s="225"/>
    </row>
    <row r="957" spans="13:13" x14ac:dyDescent="0.2">
      <c r="M957" s="225"/>
    </row>
    <row r="958" spans="13:13" x14ac:dyDescent="0.2">
      <c r="M958" s="225"/>
    </row>
    <row r="959" spans="13:13" x14ac:dyDescent="0.2">
      <c r="M959" s="225"/>
    </row>
    <row r="960" spans="13:13" x14ac:dyDescent="0.2">
      <c r="M960" s="225"/>
    </row>
    <row r="961" spans="13:13" x14ac:dyDescent="0.2">
      <c r="M961" s="225"/>
    </row>
    <row r="962" spans="13:13" x14ac:dyDescent="0.2">
      <c r="M962" s="225"/>
    </row>
    <row r="963" spans="13:13" x14ac:dyDescent="0.2">
      <c r="M963" s="225"/>
    </row>
    <row r="964" spans="13:13" x14ac:dyDescent="0.2">
      <c r="M964" s="225"/>
    </row>
    <row r="965" spans="13:13" x14ac:dyDescent="0.2">
      <c r="M965" s="225"/>
    </row>
    <row r="966" spans="13:13" x14ac:dyDescent="0.2">
      <c r="M966" s="225"/>
    </row>
    <row r="967" spans="13:13" x14ac:dyDescent="0.2">
      <c r="M967" s="225"/>
    </row>
    <row r="968" spans="13:13" x14ac:dyDescent="0.2">
      <c r="M968" s="225"/>
    </row>
    <row r="969" spans="13:13" x14ac:dyDescent="0.2">
      <c r="M969" s="225"/>
    </row>
    <row r="970" spans="13:13" x14ac:dyDescent="0.2">
      <c r="M970" s="225"/>
    </row>
    <row r="971" spans="13:13" x14ac:dyDescent="0.2">
      <c r="M971" s="225"/>
    </row>
    <row r="972" spans="13:13" x14ac:dyDescent="0.2">
      <c r="M972" s="225"/>
    </row>
    <row r="973" spans="13:13" x14ac:dyDescent="0.2">
      <c r="M973" s="225"/>
    </row>
    <row r="974" spans="13:13" x14ac:dyDescent="0.2">
      <c r="M974" s="225"/>
    </row>
    <row r="975" spans="13:13" x14ac:dyDescent="0.2">
      <c r="M975" s="225"/>
    </row>
    <row r="976" spans="13:13" x14ac:dyDescent="0.2">
      <c r="M976" s="225"/>
    </row>
    <row r="977" spans="13:13" x14ac:dyDescent="0.2">
      <c r="M977" s="225"/>
    </row>
    <row r="978" spans="13:13" x14ac:dyDescent="0.2">
      <c r="M978" s="2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Worksheets</vt:lpstr>
      </vt:variant>
      <vt:variant>
        <vt:i4>12</vt:i4>
      </vt:variant>
      <vt:variant>
        <vt:lpstr>Named Ranges</vt:lpstr>
      </vt:variant>
      <vt:variant>
        <vt:i4>8</vt:i4>
      </vt:variant>
    </vt:vector>
  </HeadingPairs>
  <TitlesOfParts>
    <vt:vector size="20" baseType="lpstr">
      <vt:lpstr>Cover</vt:lpstr>
      <vt:lpstr>Revenue Build</vt:lpstr>
      <vt:lpstr>Income Statement</vt:lpstr>
      <vt:lpstr>Balance Sheet</vt:lpstr>
      <vt:lpstr>Cash Flow</vt:lpstr>
      <vt:lpstr>Invested Capital</vt:lpstr>
      <vt:lpstr>WACC &amp; Capital Structure</vt:lpstr>
      <vt:lpstr>Intrinsic Value</vt:lpstr>
      <vt:lpstr>Leases</vt:lpstr>
      <vt:lpstr>Data</vt:lpstr>
      <vt:lpstr>Sensitivity </vt:lpstr>
      <vt:lpstr>Freight Index</vt:lpstr>
      <vt:lpstr>Base_Year</vt:lpstr>
      <vt:lpstr>Company_Name</vt:lpstr>
      <vt:lpstr>Company_Ticker</vt:lpstr>
      <vt:lpstr>DCF_Share_Value</vt:lpstr>
      <vt:lpstr>DCF_ShareValue_Date</vt:lpstr>
      <vt:lpstr>FY_Year_End</vt:lpstr>
      <vt:lpstr>Market_Share_Price</vt:lpstr>
      <vt:lpstr>Market_Share_Price_Date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Mihir Patel</dc:creator>
  <cp:lastModifiedBy>Mihir Patel</cp:lastModifiedBy>
  <dcterms:created xsi:type="dcterms:W3CDTF">2015-06-05T18:17:20Z</dcterms:created>
  <dcterms:modified xsi:type="dcterms:W3CDTF">2025-01-15T19:00:20Z</dcterms:modified>
</cp:coreProperties>
</file>