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grow\Desktop\Other\Cosmic\"/>
    </mc:Choice>
  </mc:AlternateContent>
  <xr:revisionPtr revIDLastSave="0" documentId="13_ncr:1_{67A66FDB-C0B5-41F6-A524-CF964E713A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RR Sheet" sheetId="1" r:id="rId1"/>
    <sheet name="Cash Flow with Bank Lo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L43" i="1"/>
  <c r="L19" i="1"/>
  <c r="H18" i="1"/>
  <c r="J18" i="1"/>
  <c r="E18" i="1"/>
  <c r="C18" i="1"/>
  <c r="G4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 s="1"/>
  <c r="G33" i="1" s="1"/>
  <c r="G34" i="1" s="1"/>
  <c r="G35" i="1" s="1"/>
  <c r="G19" i="1"/>
  <c r="G18" i="1"/>
  <c r="L18" i="1" s="1"/>
  <c r="L20" i="1"/>
  <c r="L22" i="1"/>
  <c r="L23" i="1"/>
  <c r="L24" i="1"/>
  <c r="L25" i="1"/>
  <c r="L26" i="1"/>
  <c r="L27" i="1"/>
  <c r="F4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0" i="1"/>
  <c r="F21" i="1"/>
  <c r="F19" i="1"/>
  <c r="F18" i="1"/>
  <c r="B18" i="1"/>
  <c r="B19" i="1" s="1"/>
  <c r="K6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8" i="1"/>
  <c r="D9" i="1" s="1"/>
  <c r="D10" i="1" s="1"/>
  <c r="D6" i="1"/>
  <c r="D4" i="1"/>
  <c r="G36" i="1" l="1"/>
  <c r="L35" i="1"/>
  <c r="L34" i="1"/>
  <c r="L21" i="1"/>
  <c r="L31" i="1"/>
  <c r="L29" i="1"/>
  <c r="L33" i="1"/>
  <c r="L32" i="1"/>
  <c r="L30" i="1"/>
  <c r="L28" i="1"/>
  <c r="D19" i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D18" i="1"/>
  <c r="D17" i="2"/>
  <c r="H31" i="2"/>
  <c r="H32" i="2"/>
  <c r="F8" i="2"/>
  <c r="F9" i="2"/>
  <c r="F10" i="2"/>
  <c r="G37" i="1" l="1"/>
  <c r="L36" i="1"/>
  <c r="I18" i="1"/>
  <c r="G8" i="2"/>
  <c r="B3" i="2"/>
  <c r="C7" i="2" s="1"/>
  <c r="E8" i="2" s="1"/>
  <c r="K18" i="1" s="1"/>
  <c r="E43" i="1"/>
  <c r="B8" i="2"/>
  <c r="G38" i="1" l="1"/>
  <c r="L37" i="1"/>
  <c r="I19" i="1"/>
  <c r="H19" i="1"/>
  <c r="J19" i="1" s="1"/>
  <c r="G9" i="2"/>
  <c r="H8" i="2"/>
  <c r="D8" i="2"/>
  <c r="D9" i="2" s="1"/>
  <c r="B9" i="2"/>
  <c r="F11" i="2"/>
  <c r="L38" i="1" l="1"/>
  <c r="G39" i="1"/>
  <c r="M18" i="1"/>
  <c r="C8" i="2"/>
  <c r="C9" i="2" s="1"/>
  <c r="I8" i="2"/>
  <c r="B10" i="2"/>
  <c r="D20" i="1"/>
  <c r="G10" i="2" s="1"/>
  <c r="H9" i="2"/>
  <c r="H20" i="1"/>
  <c r="J20" i="1" s="1"/>
  <c r="F12" i="2"/>
  <c r="D10" i="2"/>
  <c r="L39" i="1" l="1"/>
  <c r="G40" i="1"/>
  <c r="E9" i="2"/>
  <c r="K19" i="1" s="1"/>
  <c r="M19" i="1" s="1"/>
  <c r="B11" i="2"/>
  <c r="D21" i="1"/>
  <c r="G11" i="2" s="1"/>
  <c r="H10" i="2"/>
  <c r="E10" i="2"/>
  <c r="K20" i="1" s="1"/>
  <c r="C10" i="2"/>
  <c r="D11" i="2"/>
  <c r="F13" i="2"/>
  <c r="I20" i="1"/>
  <c r="G41" i="1" l="1"/>
  <c r="L40" i="1"/>
  <c r="I9" i="2"/>
  <c r="I10" i="2"/>
  <c r="D22" i="1"/>
  <c r="G12" i="2" s="1"/>
  <c r="B12" i="2"/>
  <c r="F14" i="2"/>
  <c r="D12" i="2"/>
  <c r="M20" i="1"/>
  <c r="M21" i="1" s="1"/>
  <c r="H21" i="1"/>
  <c r="J21" i="1" s="1"/>
  <c r="C11" i="2"/>
  <c r="E11" i="2"/>
  <c r="K21" i="1" s="1"/>
  <c r="L42" i="1" l="1"/>
  <c r="L41" i="1"/>
  <c r="D23" i="1"/>
  <c r="G13" i="2" s="1"/>
  <c r="B13" i="2"/>
  <c r="I21" i="1"/>
  <c r="H22" i="1" s="1"/>
  <c r="J22" i="1" s="1"/>
  <c r="D13" i="2"/>
  <c r="E12" i="2"/>
  <c r="K22" i="1" s="1"/>
  <c r="C12" i="2"/>
  <c r="H11" i="2"/>
  <c r="I11" i="2" s="1"/>
  <c r="F15" i="2"/>
  <c r="I22" i="1" l="1"/>
  <c r="H23" i="1" s="1"/>
  <c r="J23" i="1" s="1"/>
  <c r="D24" i="1"/>
  <c r="G14" i="2" s="1"/>
  <c r="B14" i="2"/>
  <c r="H12" i="2"/>
  <c r="I12" i="2" s="1"/>
  <c r="M22" i="1"/>
  <c r="D14" i="2"/>
  <c r="F16" i="2"/>
  <c r="E13" i="2"/>
  <c r="K23" i="1" s="1"/>
  <c r="C13" i="2"/>
  <c r="I23" i="1" l="1"/>
  <c r="H24" i="1" s="1"/>
  <c r="J24" i="1" s="1"/>
  <c r="D25" i="1"/>
  <c r="G15" i="2" s="1"/>
  <c r="B15" i="2"/>
  <c r="C14" i="2"/>
  <c r="E14" i="2"/>
  <c r="K24" i="1" s="1"/>
  <c r="D15" i="2"/>
  <c r="H13" i="2"/>
  <c r="I13" i="2" s="1"/>
  <c r="M23" i="1"/>
  <c r="F17" i="2"/>
  <c r="B16" i="2" l="1"/>
  <c r="D26" i="1"/>
  <c r="G16" i="2" s="1"/>
  <c r="H14" i="2"/>
  <c r="I14" i="2" s="1"/>
  <c r="M24" i="1"/>
  <c r="I24" i="1"/>
  <c r="C15" i="2"/>
  <c r="E15" i="2"/>
  <c r="K25" i="1" s="1"/>
  <c r="F18" i="2"/>
  <c r="D27" i="1" l="1"/>
  <c r="G17" i="2" s="1"/>
  <c r="B17" i="2"/>
  <c r="C16" i="2"/>
  <c r="E16" i="2"/>
  <c r="H25" i="1"/>
  <c r="J25" i="1" s="1"/>
  <c r="F19" i="2"/>
  <c r="D28" i="1" l="1"/>
  <c r="G18" i="2" s="1"/>
  <c r="B18" i="2"/>
  <c r="H15" i="2"/>
  <c r="I15" i="2" s="1"/>
  <c r="M25" i="1"/>
  <c r="F20" i="2"/>
  <c r="I25" i="1"/>
  <c r="K26" i="1"/>
  <c r="E17" i="2"/>
  <c r="C17" i="2"/>
  <c r="B19" i="2" l="1"/>
  <c r="D29" i="1"/>
  <c r="G19" i="2" s="1"/>
  <c r="E18" i="2"/>
  <c r="C18" i="2"/>
  <c r="F21" i="2"/>
  <c r="K27" i="1"/>
  <c r="H26" i="1"/>
  <c r="J26" i="1" s="1"/>
  <c r="I26" i="1" l="1"/>
  <c r="H27" i="1" s="1"/>
  <c r="J27" i="1" s="1"/>
  <c r="B20" i="2"/>
  <c r="D30" i="1"/>
  <c r="G20" i="2" s="1"/>
  <c r="F22" i="2"/>
  <c r="C19" i="2"/>
  <c r="E19" i="2"/>
  <c r="K28" i="1"/>
  <c r="H16" i="2"/>
  <c r="I16" i="2" s="1"/>
  <c r="M26" i="1"/>
  <c r="I27" i="1" l="1"/>
  <c r="H28" i="1" s="1"/>
  <c r="J28" i="1" s="1"/>
  <c r="D31" i="1"/>
  <c r="G21" i="2" s="1"/>
  <c r="B21" i="2"/>
  <c r="F23" i="2"/>
  <c r="K29" i="1"/>
  <c r="C20" i="2"/>
  <c r="E20" i="2"/>
  <c r="H17" i="2"/>
  <c r="I17" i="2" s="1"/>
  <c r="M27" i="1"/>
  <c r="D32" i="1" l="1"/>
  <c r="G22" i="2" s="1"/>
  <c r="B22" i="2"/>
  <c r="H18" i="2"/>
  <c r="I18" i="2" s="1"/>
  <c r="M28" i="1"/>
  <c r="F24" i="2"/>
  <c r="E21" i="2"/>
  <c r="C21" i="2"/>
  <c r="I28" i="1"/>
  <c r="D33" i="1" l="1"/>
  <c r="G23" i="2" s="1"/>
  <c r="B23" i="2"/>
  <c r="F25" i="2"/>
  <c r="H29" i="1"/>
  <c r="J29" i="1" s="1"/>
  <c r="E22" i="2"/>
  <c r="C22" i="2"/>
  <c r="B24" i="2" l="1"/>
  <c r="D34" i="1"/>
  <c r="G24" i="2" s="1"/>
  <c r="I29" i="1"/>
  <c r="H30" i="1" s="1"/>
  <c r="J30" i="1" s="1"/>
  <c r="E23" i="2"/>
  <c r="C23" i="2"/>
  <c r="F26" i="2"/>
  <c r="H19" i="2"/>
  <c r="I19" i="2" s="1"/>
  <c r="M29" i="1"/>
  <c r="D35" i="1" l="1"/>
  <c r="G25" i="2" s="1"/>
  <c r="B25" i="2"/>
  <c r="I30" i="1"/>
  <c r="F27" i="2"/>
  <c r="C24" i="2"/>
  <c r="E24" i="2"/>
  <c r="H20" i="2"/>
  <c r="I20" i="2" s="1"/>
  <c r="M30" i="1"/>
  <c r="B26" i="2" l="1"/>
  <c r="D36" i="1"/>
  <c r="G26" i="2" s="1"/>
  <c r="H31" i="1"/>
  <c r="E25" i="2"/>
  <c r="C25" i="2"/>
  <c r="F28" i="2"/>
  <c r="H21" i="2" l="1"/>
  <c r="I21" i="2" s="1"/>
  <c r="J31" i="1"/>
  <c r="M31" i="1"/>
  <c r="I31" i="1"/>
  <c r="H32" i="1" s="1"/>
  <c r="J32" i="1" s="1"/>
  <c r="B27" i="2"/>
  <c r="D37" i="1"/>
  <c r="G27" i="2" s="1"/>
  <c r="E26" i="2"/>
  <c r="C26" i="2"/>
  <c r="F29" i="2"/>
  <c r="H22" i="2" l="1"/>
  <c r="I22" i="2" s="1"/>
  <c r="M32" i="1"/>
  <c r="I32" i="1"/>
  <c r="H33" i="1" s="1"/>
  <c r="B28" i="2"/>
  <c r="D38" i="1"/>
  <c r="G28" i="2" s="1"/>
  <c r="F30" i="2"/>
  <c r="E27" i="2"/>
  <c r="C27" i="2"/>
  <c r="M33" i="1" l="1"/>
  <c r="J33" i="1"/>
  <c r="I33" i="1"/>
  <c r="H34" i="1" s="1"/>
  <c r="J34" i="1" s="1"/>
  <c r="H23" i="2"/>
  <c r="I23" i="2" s="1"/>
  <c r="D39" i="1"/>
  <c r="G29" i="2" s="1"/>
  <c r="B29" i="2"/>
  <c r="E28" i="2"/>
  <c r="C28" i="2"/>
  <c r="F31" i="2"/>
  <c r="I34" i="1" l="1"/>
  <c r="H35" i="1" s="1"/>
  <c r="J35" i="1" s="1"/>
  <c r="D40" i="1"/>
  <c r="G30" i="2" s="1"/>
  <c r="B30" i="2"/>
  <c r="E29" i="2"/>
  <c r="C29" i="2"/>
  <c r="H24" i="2"/>
  <c r="I24" i="2" s="1"/>
  <c r="M34" i="1"/>
  <c r="F32" i="2"/>
  <c r="G43" i="1"/>
  <c r="B31" i="2" l="1"/>
  <c r="D41" i="1"/>
  <c r="C30" i="2"/>
  <c r="E30" i="2"/>
  <c r="I35" i="1"/>
  <c r="H25" i="2"/>
  <c r="I25" i="2" s="1"/>
  <c r="M35" i="1"/>
  <c r="G31" i="2" l="1"/>
  <c r="B32" i="2"/>
  <c r="D42" i="1"/>
  <c r="H36" i="1"/>
  <c r="J36" i="1" s="1"/>
  <c r="C31" i="2"/>
  <c r="E31" i="2"/>
  <c r="I31" i="2" l="1"/>
  <c r="G32" i="2"/>
  <c r="D43" i="1"/>
  <c r="I36" i="1"/>
  <c r="H37" i="1" s="1"/>
  <c r="J37" i="1" s="1"/>
  <c r="H26" i="2"/>
  <c r="I26" i="2" s="1"/>
  <c r="E32" i="2"/>
  <c r="C32" i="2"/>
  <c r="I32" i="2" l="1"/>
  <c r="H27" i="2"/>
  <c r="I27" i="2" s="1"/>
  <c r="I37" i="1"/>
  <c r="H38" i="1" s="1"/>
  <c r="J38" i="1" s="1"/>
  <c r="M36" i="1"/>
  <c r="M37" i="1" l="1"/>
  <c r="H28" i="2"/>
  <c r="I28" i="2" s="1"/>
  <c r="I38" i="1"/>
  <c r="H39" i="1" s="1"/>
  <c r="J39" i="1" s="1"/>
  <c r="M38" i="1" l="1"/>
  <c r="I39" i="1"/>
  <c r="H40" i="1" s="1"/>
  <c r="J40" i="1" s="1"/>
  <c r="H29" i="2"/>
  <c r="I29" i="2" s="1"/>
  <c r="M39" i="1" l="1"/>
  <c r="I40" i="1"/>
  <c r="H30" i="2"/>
  <c r="I30" i="2" s="1"/>
  <c r="M14" i="1"/>
  <c r="M40" i="1" l="1"/>
  <c r="M41" i="1" s="1"/>
  <c r="M42" i="1" s="1"/>
</calcChain>
</file>

<file path=xl/sharedStrings.xml><?xml version="1.0" encoding="utf-8"?>
<sst xmlns="http://schemas.openxmlformats.org/spreadsheetml/2006/main" count="70" uniqueCount="66">
  <si>
    <t>Name of Client</t>
  </si>
  <si>
    <t>Shadow free Roof Required</t>
  </si>
  <si>
    <t>Cost of Project / Wp</t>
  </si>
  <si>
    <t>INR / Wp</t>
  </si>
  <si>
    <t>Project Cost</t>
  </si>
  <si>
    <t xml:space="preserve">INR </t>
  </si>
  <si>
    <t>Expected Annual Generation</t>
  </si>
  <si>
    <t xml:space="preserve">Generation from System </t>
  </si>
  <si>
    <t>Cost of Grid Power</t>
  </si>
  <si>
    <t>Escalation in Electricity cost</t>
  </si>
  <si>
    <t>IRR with Tax benefits</t>
  </si>
  <si>
    <t>Panel Degradation</t>
  </si>
  <si>
    <t>Yr</t>
  </si>
  <si>
    <t xml:space="preserve">Projected Generated in Units </t>
  </si>
  <si>
    <t>Power Rate in Rs./unit</t>
  </si>
  <si>
    <t>Savings in Rs./year</t>
  </si>
  <si>
    <t>Project Cost in Rs.</t>
  </si>
  <si>
    <t>O &amp; M Expenses in Rs.</t>
  </si>
  <si>
    <t>Cashflow with Tax savings in Rs.</t>
  </si>
  <si>
    <t>Cum. Cash Flow with Tax saving in Rs.</t>
  </si>
  <si>
    <t>BREAK EVEN</t>
  </si>
  <si>
    <t>IRR</t>
  </si>
  <si>
    <t>Investment Cost</t>
  </si>
  <si>
    <t>Rate of Interest</t>
  </si>
  <si>
    <t>Year</t>
  </si>
  <si>
    <t xml:space="preserve">No. of units produced </t>
  </si>
  <si>
    <t>Net Outstanding loan from bank</t>
  </si>
  <si>
    <t>Repayment in Rs.</t>
  </si>
  <si>
    <t xml:space="preserve">Interest Cost in Rs. </t>
  </si>
  <si>
    <t xml:space="preserve">Manitenance cost in Rs. </t>
  </si>
  <si>
    <t xml:space="preserve">Tax benefit due to accelerated Depreciation' in Rs </t>
  </si>
  <si>
    <t>Repayment in years</t>
  </si>
  <si>
    <t>Tax Saving - Depreciation</t>
  </si>
  <si>
    <t>Savings in Electricity Cost</t>
  </si>
  <si>
    <t>Cash Flow</t>
  </si>
  <si>
    <t>Depreciation</t>
  </si>
  <si>
    <t>Balance Book Value</t>
  </si>
  <si>
    <t>Cash Outflow</t>
  </si>
  <si>
    <t>Cash Inflow</t>
  </si>
  <si>
    <t>Net Cash Outflow/ (Inflow)</t>
  </si>
  <si>
    <t>Interest</t>
  </si>
  <si>
    <t>KW</t>
  </si>
  <si>
    <t>Per KW</t>
  </si>
  <si>
    <t>KVA</t>
  </si>
  <si>
    <t>O&amp;M Cost per KWp</t>
  </si>
  <si>
    <t>Escalation in O&amp;M Cost</t>
  </si>
  <si>
    <t>Per Year</t>
  </si>
  <si>
    <t>Per KWp/Year</t>
  </si>
  <si>
    <t>Contract Demand</t>
  </si>
  <si>
    <t>Proposed Solar Plant</t>
  </si>
  <si>
    <t xml:space="preserve">Shiddhivinayak Weaves, Hoziwala </t>
  </si>
  <si>
    <t>Acre</t>
  </si>
  <si>
    <t>Wheeling Charges</t>
  </si>
  <si>
    <t>per unit</t>
  </si>
  <si>
    <t>Banking Charges</t>
  </si>
  <si>
    <t>per Unit</t>
  </si>
  <si>
    <t>Distribution Loss 10%</t>
  </si>
  <si>
    <t>units 1st year</t>
  </si>
  <si>
    <t>Net Grid Cost</t>
  </si>
  <si>
    <t>Net Generation from System</t>
  </si>
  <si>
    <t>units 1st Year</t>
  </si>
  <si>
    <t>per year</t>
  </si>
  <si>
    <t>Land Lease Cost (In Lakh)</t>
  </si>
  <si>
    <t>per MW/Year</t>
  </si>
  <si>
    <t xml:space="preserve">Land </t>
  </si>
  <si>
    <t>5% escalation in every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</si>
</sst>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_);_(* \(#,##0\);_(* &quot;-&quot;_);_(@_)"/>
    <numFmt numFmtId="165" formatCode="_ * #,##0_ ;_ * \-#,##0_ ;_ * &quot;-&quot;??_ ;_ @_ "/>
    <numFmt numFmtId="166" formatCode="_(* #,##0_);_(* \(#,##0\);_(* &quot;-&quot;??_);_(@_)"/>
    <numFmt numFmtId="167" formatCode="0.000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color rgb="FFFF0000"/>
      <name val="Arial"/>
      <family val="2"/>
    </font>
    <font>
      <b/>
      <i/>
      <u/>
      <sz val="10"/>
      <color theme="1"/>
      <name val="Arial"/>
      <family val="2"/>
    </font>
    <font>
      <b/>
      <i/>
      <u/>
      <sz val="9"/>
      <color theme="1"/>
      <name val="Arial"/>
      <family val="2"/>
    </font>
    <font>
      <b/>
      <i/>
      <sz val="9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charset val="134"/>
      <scheme val="minor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82">
    <xf numFmtId="0" fontId="0" fillId="0" borderId="0" xfId="0"/>
    <xf numFmtId="9" fontId="0" fillId="0" borderId="0" xfId="0" applyNumberFormat="1"/>
    <xf numFmtId="0" fontId="2" fillId="0" borderId="0" xfId="0" applyFont="1"/>
    <xf numFmtId="0" fontId="8" fillId="0" borderId="0" xfId="0" applyFont="1"/>
    <xf numFmtId="0" fontId="0" fillId="0" borderId="2" xfId="0" applyBorder="1"/>
    <xf numFmtId="165" fontId="0" fillId="0" borderId="2" xfId="1" applyNumberFormat="1" applyFont="1" applyBorder="1"/>
    <xf numFmtId="165" fontId="4" fillId="0" borderId="2" xfId="1" applyNumberFormat="1" applyFont="1" applyBorder="1"/>
    <xf numFmtId="165" fontId="5" fillId="0" borderId="2" xfId="1" applyNumberFormat="1" applyFont="1" applyBorder="1"/>
    <xf numFmtId="165" fontId="7" fillId="0" borderId="2" xfId="1" applyNumberFormat="1" applyFont="1" applyBorder="1"/>
    <xf numFmtId="164" fontId="0" fillId="0" borderId="2" xfId="1" applyNumberFormat="1" applyFont="1" applyBorder="1"/>
    <xf numFmtId="0" fontId="0" fillId="2" borderId="2" xfId="0" applyFill="1" applyBorder="1" applyAlignment="1">
      <alignment horizontal="right" wrapText="1" indent="1"/>
    </xf>
    <xf numFmtId="0" fontId="0" fillId="2" borderId="2" xfId="0" applyFill="1" applyBorder="1" applyAlignment="1">
      <alignment horizontal="right" wrapText="1"/>
    </xf>
    <xf numFmtId="0" fontId="0" fillId="2" borderId="2" xfId="0" applyFill="1" applyBorder="1" applyAlignment="1">
      <alignment horizontal="left" wrapText="1"/>
    </xf>
    <xf numFmtId="0" fontId="4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1" fillId="2" borderId="2" xfId="0" applyFont="1" applyFill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top" wrapText="1"/>
    </xf>
    <xf numFmtId="0" fontId="16" fillId="3" borderId="3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10" fillId="0" borderId="2" xfId="0" applyFont="1" applyBorder="1"/>
    <xf numFmtId="165" fontId="10" fillId="0" borderId="2" xfId="1" applyNumberFormat="1" applyFont="1" applyBorder="1" applyAlignment="1">
      <alignment horizontal="center"/>
    </xf>
    <xf numFmtId="43" fontId="10" fillId="0" borderId="2" xfId="1" applyFont="1" applyBorder="1" applyAlignment="1">
      <alignment horizontal="center"/>
    </xf>
    <xf numFmtId="165" fontId="10" fillId="0" borderId="2" xfId="1" applyNumberFormat="1" applyFont="1" applyBorder="1"/>
    <xf numFmtId="165" fontId="10" fillId="0" borderId="2" xfId="1" applyNumberFormat="1" applyFont="1" applyFill="1" applyBorder="1"/>
    <xf numFmtId="165" fontId="12" fillId="3" borderId="3" xfId="1" applyNumberFormat="1" applyFont="1" applyFill="1" applyBorder="1"/>
    <xf numFmtId="165" fontId="10" fillId="0" borderId="3" xfId="1" applyNumberFormat="1" applyFont="1" applyFill="1" applyBorder="1"/>
    <xf numFmtId="165" fontId="10" fillId="2" borderId="2" xfId="1" applyNumberFormat="1" applyFont="1" applyFill="1" applyBorder="1"/>
    <xf numFmtId="0" fontId="17" fillId="0" borderId="0" xfId="0" applyFont="1"/>
    <xf numFmtId="165" fontId="10" fillId="4" borderId="2" xfId="1" applyNumberFormat="1" applyFont="1" applyFill="1" applyBorder="1"/>
    <xf numFmtId="0" fontId="10" fillId="2" borderId="2" xfId="0" applyFont="1" applyFill="1" applyBorder="1"/>
    <xf numFmtId="165" fontId="11" fillId="2" borderId="2" xfId="1" applyNumberFormat="1" applyFont="1" applyFill="1" applyBorder="1"/>
    <xf numFmtId="165" fontId="16" fillId="3" borderId="3" xfId="1" applyNumberFormat="1" applyFont="1" applyFill="1" applyBorder="1"/>
    <xf numFmtId="0" fontId="11" fillId="0" borderId="3" xfId="0" applyFont="1" applyBorder="1"/>
    <xf numFmtId="9" fontId="11" fillId="2" borderId="2" xfId="0" applyNumberFormat="1" applyFont="1" applyFill="1" applyBorder="1"/>
    <xf numFmtId="166" fontId="10" fillId="0" borderId="0" xfId="0" applyNumberFormat="1" applyFont="1"/>
    <xf numFmtId="0" fontId="12" fillId="3" borderId="0" xfId="0" applyFont="1" applyFill="1"/>
    <xf numFmtId="0" fontId="11" fillId="2" borderId="2" xfId="0" applyFont="1" applyFill="1" applyBorder="1" applyAlignment="1">
      <alignment horizontal="right"/>
    </xf>
    <xf numFmtId="0" fontId="19" fillId="0" borderId="0" xfId="0" applyFont="1" applyAlignment="1">
      <alignment horizontal="right"/>
    </xf>
    <xf numFmtId="9" fontId="19" fillId="0" borderId="0" xfId="0" applyNumberFormat="1" applyFont="1"/>
    <xf numFmtId="2" fontId="10" fillId="0" borderId="2" xfId="0" applyNumberFormat="1" applyFont="1" applyBorder="1"/>
    <xf numFmtId="9" fontId="10" fillId="0" borderId="2" xfId="2" applyFont="1" applyBorder="1"/>
    <xf numFmtId="9" fontId="10" fillId="0" borderId="2" xfId="0" applyNumberFormat="1" applyFont="1" applyBorder="1"/>
    <xf numFmtId="10" fontId="10" fillId="0" borderId="2" xfId="0" applyNumberFormat="1" applyFont="1" applyBorder="1"/>
    <xf numFmtId="0" fontId="12" fillId="4" borderId="0" xfId="0" applyFont="1" applyFill="1"/>
    <xf numFmtId="0" fontId="10" fillId="4" borderId="0" xfId="0" applyFont="1" applyFill="1"/>
    <xf numFmtId="167" fontId="10" fillId="0" borderId="2" xfId="0" applyNumberFormat="1" applyFont="1" applyBorder="1"/>
    <xf numFmtId="165" fontId="10" fillId="0" borderId="0" xfId="0" applyNumberFormat="1" applyFont="1"/>
    <xf numFmtId="2" fontId="10" fillId="2" borderId="2" xfId="0" applyNumberFormat="1" applyFont="1" applyFill="1" applyBorder="1"/>
    <xf numFmtId="2" fontId="10" fillId="0" borderId="5" xfId="0" applyNumberFormat="1" applyFont="1" applyBorder="1"/>
    <xf numFmtId="0" fontId="10" fillId="0" borderId="5" xfId="0" applyFont="1" applyBorder="1"/>
    <xf numFmtId="2" fontId="11" fillId="0" borderId="7" xfId="0" applyNumberFormat="1" applyFont="1" applyBorder="1"/>
    <xf numFmtId="0" fontId="11" fillId="0" borderId="8" xfId="0" applyFont="1" applyBorder="1"/>
    <xf numFmtId="2" fontId="10" fillId="0" borderId="0" xfId="0" applyNumberFormat="1" applyFont="1"/>
    <xf numFmtId="9" fontId="10" fillId="0" borderId="0" xfId="2" applyFont="1" applyBorder="1"/>
    <xf numFmtId="9" fontId="10" fillId="0" borderId="0" xfId="0" applyNumberFormat="1" applyFont="1"/>
    <xf numFmtId="10" fontId="10" fillId="0" borderId="0" xfId="0" applyNumberFormat="1" applyFont="1"/>
    <xf numFmtId="0" fontId="11" fillId="0" borderId="0" xfId="0" applyFont="1"/>
    <xf numFmtId="43" fontId="10" fillId="2" borderId="2" xfId="0" applyNumberFormat="1" applyFont="1" applyFill="1" applyBorder="1"/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269396</xdr:colOff>
      <xdr:row>1</xdr:row>
      <xdr:rowOff>146242</xdr:rowOff>
    </xdr:from>
    <xdr:to>
      <xdr:col>13</xdr:col>
      <xdr:colOff>638849</xdr:colOff>
      <xdr:row>4</xdr:row>
      <xdr:rowOff>23900</xdr:rowOff>
    </xdr:to>
    <xdr:pic>
      <xdr:nvPicPr>
        <xdr:cNvPr id="4" name="image2.png">
          <a:extLst>
            <a:ext uri="{FF2B5EF4-FFF2-40B4-BE49-F238E27FC236}">
              <a16:creationId xmlns:a16="http://schemas.microsoft.com/office/drawing/2014/main" id="{5B09D915-3F83-3915-336A-76290950C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76123" y="400242"/>
          <a:ext cx="1662544" cy="385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"/>
  <sheetViews>
    <sheetView tabSelected="1" view="pageBreakPreview" zoomScale="99" zoomScaleNormal="99" zoomScaleSheetLayoutView="99" workbookViewId="0">
      <selection activeCell="F43" sqref="F43"/>
    </sheetView>
  </sheetViews>
  <sheetFormatPr defaultColWidth="8.6640625" defaultRowHeight="13.2"/>
  <cols>
    <col min="1" max="1" width="4.5546875" style="17" customWidth="1"/>
    <col min="2" max="2" width="14.44140625" style="17" customWidth="1"/>
    <col min="3" max="3" width="10.33203125" style="17" customWidth="1"/>
    <col min="4" max="4" width="18.5546875" style="17" customWidth="1"/>
    <col min="5" max="6" width="15" style="17" customWidth="1"/>
    <col min="7" max="7" width="12.77734375" style="17" customWidth="1"/>
    <col min="8" max="8" width="13.33203125" style="17" customWidth="1"/>
    <col min="9" max="9" width="17.109375" style="43" bestFit="1" customWidth="1"/>
    <col min="10" max="11" width="16.33203125" style="17" customWidth="1"/>
    <col min="12" max="12" width="15.44140625" style="17" customWidth="1"/>
    <col min="13" max="13" width="18.88671875" style="17" customWidth="1"/>
    <col min="14" max="14" width="13.44140625" style="17" customWidth="1"/>
    <col min="15" max="16384" width="8.6640625" style="17"/>
  </cols>
  <sheetData>
    <row r="1" spans="2:13" ht="20.25" customHeight="1">
      <c r="B1" s="70" t="s">
        <v>0</v>
      </c>
      <c r="C1" s="70"/>
      <c r="D1" s="73" t="s">
        <v>50</v>
      </c>
      <c r="E1" s="74"/>
      <c r="F1" s="80"/>
      <c r="I1" s="17"/>
    </row>
    <row r="2" spans="2:13">
      <c r="B2" s="70" t="s">
        <v>48</v>
      </c>
      <c r="C2" s="70"/>
      <c r="D2" s="27"/>
      <c r="E2" s="27" t="s">
        <v>43</v>
      </c>
      <c r="F2" s="81"/>
      <c r="I2" s="17"/>
    </row>
    <row r="3" spans="2:13">
      <c r="B3" s="68" t="s">
        <v>49</v>
      </c>
      <c r="C3" s="69"/>
      <c r="D3" s="53">
        <v>4000</v>
      </c>
      <c r="E3" s="27" t="s">
        <v>41</v>
      </c>
      <c r="F3" s="81"/>
      <c r="I3" s="70" t="s">
        <v>8</v>
      </c>
      <c r="J3" s="70"/>
      <c r="K3" s="47">
        <v>8.68</v>
      </c>
      <c r="L3" s="27" t="s">
        <v>53</v>
      </c>
    </row>
    <row r="4" spans="2:13">
      <c r="B4" s="70" t="s">
        <v>1</v>
      </c>
      <c r="C4" s="70"/>
      <c r="D4" s="27">
        <f>(3*D3)/1000</f>
        <v>12</v>
      </c>
      <c r="E4" s="27" t="s">
        <v>51</v>
      </c>
      <c r="F4" s="81"/>
      <c r="I4" s="68" t="s">
        <v>52</v>
      </c>
      <c r="J4" s="69"/>
      <c r="K4" s="47">
        <v>0.2</v>
      </c>
      <c r="L4" s="27" t="s">
        <v>53</v>
      </c>
    </row>
    <row r="5" spans="2:13" ht="13.8" thickBot="1">
      <c r="B5" s="70" t="s">
        <v>2</v>
      </c>
      <c r="C5" s="70"/>
      <c r="D5" s="55">
        <v>33.049999999999997</v>
      </c>
      <c r="E5" s="27" t="s">
        <v>3</v>
      </c>
      <c r="F5" s="81"/>
      <c r="I5" s="68" t="s">
        <v>54</v>
      </c>
      <c r="J5" s="69"/>
      <c r="K5" s="47">
        <v>1.5</v>
      </c>
      <c r="L5" s="27" t="s">
        <v>55</v>
      </c>
    </row>
    <row r="6" spans="2:13" ht="13.2" customHeight="1" thickBot="1">
      <c r="B6" s="70" t="s">
        <v>4</v>
      </c>
      <c r="C6" s="70"/>
      <c r="D6" s="31">
        <f>D5*D3*1000</f>
        <v>132200000</v>
      </c>
      <c r="E6" s="27" t="s">
        <v>5</v>
      </c>
      <c r="F6" s="81"/>
      <c r="I6" s="75" t="s">
        <v>58</v>
      </c>
      <c r="J6" s="76"/>
      <c r="K6" s="58">
        <f>K3-K4-K5</f>
        <v>6.98</v>
      </c>
      <c r="L6" s="59" t="s">
        <v>53</v>
      </c>
    </row>
    <row r="7" spans="2:13" ht="13.2" customHeight="1" thickBot="1">
      <c r="B7" s="70" t="s">
        <v>6</v>
      </c>
      <c r="C7" s="70"/>
      <c r="D7" s="30">
        <v>1600</v>
      </c>
      <c r="E7" s="27" t="s">
        <v>42</v>
      </c>
      <c r="F7" s="81"/>
      <c r="I7" s="75" t="s">
        <v>62</v>
      </c>
      <c r="J7" s="76"/>
      <c r="K7" s="58">
        <v>5</v>
      </c>
      <c r="L7" s="59" t="s">
        <v>63</v>
      </c>
      <c r="M7" s="64" t="s">
        <v>65</v>
      </c>
    </row>
    <row r="8" spans="2:13" ht="13.2" customHeight="1">
      <c r="B8" s="70" t="s">
        <v>7</v>
      </c>
      <c r="C8" s="70"/>
      <c r="D8" s="31">
        <f>D7*D3</f>
        <v>6400000</v>
      </c>
      <c r="E8" s="27" t="s">
        <v>60</v>
      </c>
      <c r="F8" s="81"/>
      <c r="G8" s="54"/>
      <c r="I8" s="66" t="s">
        <v>44</v>
      </c>
      <c r="J8" s="67"/>
      <c r="K8" s="56">
        <v>600</v>
      </c>
      <c r="L8" s="57" t="s">
        <v>47</v>
      </c>
      <c r="M8" s="64"/>
    </row>
    <row r="9" spans="2:13">
      <c r="B9" s="68" t="s">
        <v>56</v>
      </c>
      <c r="C9" s="69"/>
      <c r="D9" s="31">
        <f>D8*10%</f>
        <v>640000</v>
      </c>
      <c r="E9" s="27" t="s">
        <v>57</v>
      </c>
      <c r="F9" s="81"/>
      <c r="G9" s="35"/>
      <c r="I9" s="68" t="s">
        <v>45</v>
      </c>
      <c r="J9" s="69"/>
      <c r="K9" s="48">
        <v>0.04</v>
      </c>
      <c r="L9" s="27" t="s">
        <v>46</v>
      </c>
    </row>
    <row r="10" spans="2:13">
      <c r="B10" s="68" t="s">
        <v>59</v>
      </c>
      <c r="C10" s="69"/>
      <c r="D10" s="31">
        <f>D8-D9</f>
        <v>5760000</v>
      </c>
      <c r="E10" s="27" t="s">
        <v>57</v>
      </c>
      <c r="F10" s="81"/>
      <c r="G10" s="35"/>
      <c r="I10" s="68" t="s">
        <v>9</v>
      </c>
      <c r="J10" s="69"/>
      <c r="K10" s="49">
        <v>0.01</v>
      </c>
      <c r="L10" s="27" t="s">
        <v>61</v>
      </c>
    </row>
    <row r="11" spans="2:13">
      <c r="B11" s="70"/>
      <c r="C11" s="70"/>
      <c r="D11" s="47"/>
      <c r="E11" s="27"/>
      <c r="F11" s="81"/>
      <c r="G11" s="35"/>
      <c r="I11" s="68" t="s">
        <v>11</v>
      </c>
      <c r="J11" s="68"/>
      <c r="K11" s="50">
        <v>5.4999999999999997E-3</v>
      </c>
      <c r="L11" s="27" t="s">
        <v>61</v>
      </c>
    </row>
    <row r="12" spans="2:13">
      <c r="B12" s="72"/>
      <c r="C12" s="72"/>
      <c r="D12" s="60"/>
      <c r="G12" s="35"/>
      <c r="I12" s="17"/>
    </row>
    <row r="13" spans="2:13">
      <c r="B13" s="72"/>
      <c r="C13" s="72"/>
      <c r="D13" s="61"/>
      <c r="G13" s="35"/>
      <c r="I13" s="17"/>
    </row>
    <row r="14" spans="2:13">
      <c r="B14" s="72"/>
      <c r="C14" s="72"/>
      <c r="D14" s="62"/>
      <c r="H14" s="19"/>
      <c r="I14" s="51"/>
      <c r="L14" s="45" t="s">
        <v>10</v>
      </c>
      <c r="M14" s="46">
        <f>L43</f>
        <v>0.34585768809518114</v>
      </c>
    </row>
    <row r="15" spans="2:13">
      <c r="B15" s="72"/>
      <c r="C15" s="72"/>
      <c r="D15" s="63"/>
      <c r="I15" s="18"/>
    </row>
    <row r="16" spans="2:13">
      <c r="G16" s="20"/>
      <c r="H16" s="20"/>
      <c r="I16" s="21"/>
      <c r="J16" s="71"/>
      <c r="K16" s="71"/>
      <c r="L16" s="71"/>
      <c r="M16" s="71"/>
    </row>
    <row r="17" spans="1:14" s="26" customFormat="1" ht="39.6">
      <c r="A17" s="22" t="s">
        <v>12</v>
      </c>
      <c r="B17" s="23" t="s">
        <v>13</v>
      </c>
      <c r="C17" s="23" t="s">
        <v>14</v>
      </c>
      <c r="D17" s="23" t="s">
        <v>15</v>
      </c>
      <c r="E17" s="23" t="s">
        <v>16</v>
      </c>
      <c r="F17" s="23" t="s">
        <v>64</v>
      </c>
      <c r="G17" s="23" t="s">
        <v>17</v>
      </c>
      <c r="H17" s="24" t="s">
        <v>35</v>
      </c>
      <c r="I17" s="24" t="s">
        <v>36</v>
      </c>
      <c r="J17" s="25" t="s">
        <v>32</v>
      </c>
      <c r="K17" s="25" t="s">
        <v>40</v>
      </c>
      <c r="L17" s="23" t="s">
        <v>18</v>
      </c>
      <c r="M17" s="23" t="s">
        <v>19</v>
      </c>
    </row>
    <row r="18" spans="1:14">
      <c r="A18" s="27">
        <v>1</v>
      </c>
      <c r="B18" s="28">
        <f>D10</f>
        <v>5760000</v>
      </c>
      <c r="C18" s="29">
        <f>K6</f>
        <v>6.98</v>
      </c>
      <c r="D18" s="30">
        <f>ROUND(B18*C18,-0.1)</f>
        <v>40204800</v>
      </c>
      <c r="E18" s="30">
        <f>D6</f>
        <v>132200000</v>
      </c>
      <c r="F18" s="30">
        <f>(500000*$D$3)/1000</f>
        <v>2000000</v>
      </c>
      <c r="G18" s="30">
        <f>K8*D3</f>
        <v>2400000</v>
      </c>
      <c r="H18" s="32">
        <f>E18*0.4</f>
        <v>52880000</v>
      </c>
      <c r="I18" s="32">
        <f>E18-H18</f>
        <v>79320000</v>
      </c>
      <c r="J18" s="33">
        <f>H18*0.28</f>
        <v>14806400.000000002</v>
      </c>
      <c r="K18" s="33">
        <f>'Cash Flow with Bank Loan'!E8</f>
        <v>13220000</v>
      </c>
      <c r="L18" s="30">
        <f>D18-E18-F18-G18+J18-K18</f>
        <v>-94808800</v>
      </c>
      <c r="M18" s="31">
        <f>L18</f>
        <v>-94808800</v>
      </c>
    </row>
    <row r="19" spans="1:14">
      <c r="A19" s="27">
        <v>2</v>
      </c>
      <c r="B19" s="28">
        <f>B18-(B18*0.55/100)</f>
        <v>5728320</v>
      </c>
      <c r="C19" s="29">
        <f>C18+(C18*$K$10)</f>
        <v>7.0498000000000003</v>
      </c>
      <c r="D19" s="30">
        <f>ROUND(B19*C19,-0.1)</f>
        <v>40383510</v>
      </c>
      <c r="E19" s="30"/>
      <c r="F19" s="30">
        <f>(500000*$D$3)/1000</f>
        <v>2000000</v>
      </c>
      <c r="G19" s="30">
        <f>G18*104%</f>
        <v>2496000</v>
      </c>
      <c r="H19" s="32">
        <f>I18*0.4</f>
        <v>31728000</v>
      </c>
      <c r="I19" s="32">
        <f>I18-H19</f>
        <v>47592000</v>
      </c>
      <c r="J19" s="33">
        <f t="shared" ref="J19:J40" si="0">H19*0.28</f>
        <v>8883840</v>
      </c>
      <c r="K19" s="33">
        <f>'Cash Flow with Bank Loan'!E9</f>
        <v>11567500</v>
      </c>
      <c r="L19" s="30">
        <f>D19-E19-F19-G19+J19-K19</f>
        <v>33203850</v>
      </c>
      <c r="M19" s="36">
        <f>M18+L19</f>
        <v>-61604950</v>
      </c>
    </row>
    <row r="20" spans="1:14">
      <c r="A20" s="27">
        <v>3</v>
      </c>
      <c r="B20" s="28">
        <f t="shared" ref="B20:B41" si="1">B19-(B19*0.55/100)</f>
        <v>5696814.2400000002</v>
      </c>
      <c r="C20" s="29">
        <f t="shared" ref="C20:C42" si="2">C19+(C19*$K$10)</f>
        <v>7.120298</v>
      </c>
      <c r="D20" s="30">
        <f t="shared" ref="D20:D42" si="3">ROUND(B20*C20,-0.1)</f>
        <v>40563015</v>
      </c>
      <c r="E20" s="30"/>
      <c r="F20" s="30">
        <f t="shared" ref="F20:F42" si="4">(500000*$D$3)/1000</f>
        <v>2000000</v>
      </c>
      <c r="G20" s="30">
        <f t="shared" ref="G20:G42" si="5">G19*104%</f>
        <v>2595840</v>
      </c>
      <c r="H20" s="32">
        <f>I19*0.4</f>
        <v>19036800</v>
      </c>
      <c r="I20" s="32">
        <f>I19-H20</f>
        <v>28555200</v>
      </c>
      <c r="J20" s="33">
        <f t="shared" si="0"/>
        <v>5330304.0000000009</v>
      </c>
      <c r="K20" s="33">
        <f>'Cash Flow with Bank Loan'!E10</f>
        <v>9915000</v>
      </c>
      <c r="L20" s="30">
        <f>D20-E20-F20-G20+J20-K20</f>
        <v>31382479</v>
      </c>
      <c r="M20" s="36">
        <f t="shared" ref="M20:M42" si="6">M19+L20</f>
        <v>-30222471</v>
      </c>
    </row>
    <row r="21" spans="1:14">
      <c r="A21" s="27">
        <v>4</v>
      </c>
      <c r="B21" s="28">
        <f t="shared" si="1"/>
        <v>5665481.7616800005</v>
      </c>
      <c r="C21" s="29">
        <f t="shared" si="2"/>
        <v>7.1915009799999998</v>
      </c>
      <c r="D21" s="30">
        <f t="shared" si="3"/>
        <v>40743318</v>
      </c>
      <c r="E21" s="30"/>
      <c r="F21" s="30">
        <f t="shared" si="4"/>
        <v>2000000</v>
      </c>
      <c r="G21" s="30">
        <f t="shared" si="5"/>
        <v>2699673.6000000001</v>
      </c>
      <c r="H21" s="32">
        <f t="shared" ref="H21:H40" si="7">I20*0.4</f>
        <v>11422080</v>
      </c>
      <c r="I21" s="32">
        <f>I20-H21</f>
        <v>17133120</v>
      </c>
      <c r="J21" s="33">
        <f t="shared" si="0"/>
        <v>3198182.4000000004</v>
      </c>
      <c r="K21" s="33">
        <f>'Cash Flow with Bank Loan'!E11</f>
        <v>8262500</v>
      </c>
      <c r="L21" s="30">
        <f>D21-E21-F21-G21+J21-K21</f>
        <v>30979326.799999997</v>
      </c>
      <c r="M21" s="34">
        <f>M20+L21</f>
        <v>756855.79999999702</v>
      </c>
      <c r="N21" s="35" t="s">
        <v>20</v>
      </c>
    </row>
    <row r="22" spans="1:14">
      <c r="A22" s="27">
        <v>5</v>
      </c>
      <c r="B22" s="28">
        <f t="shared" si="1"/>
        <v>5634321.6119907601</v>
      </c>
      <c r="C22" s="29">
        <f t="shared" si="2"/>
        <v>7.2634159897999995</v>
      </c>
      <c r="D22" s="30">
        <f t="shared" si="3"/>
        <v>40924422</v>
      </c>
      <c r="E22" s="30"/>
      <c r="F22" s="30">
        <f t="shared" si="4"/>
        <v>2000000</v>
      </c>
      <c r="G22" s="30">
        <f t="shared" si="5"/>
        <v>2807660.5440000002</v>
      </c>
      <c r="H22" s="32">
        <f t="shared" si="7"/>
        <v>6853248</v>
      </c>
      <c r="I22" s="32">
        <f t="shared" ref="I22:I40" si="8">I21-H22</f>
        <v>10279872</v>
      </c>
      <c r="J22" s="33">
        <f t="shared" si="0"/>
        <v>1918909.4400000002</v>
      </c>
      <c r="K22" s="33">
        <f>'Cash Flow with Bank Loan'!E12</f>
        <v>6610000</v>
      </c>
      <c r="L22" s="30">
        <f t="shared" ref="L19:L42" si="9">D22-E22-F22-G22+J22-K22</f>
        <v>31425670.895999998</v>
      </c>
      <c r="M22" s="31">
        <f t="shared" si="6"/>
        <v>32182526.695999995</v>
      </c>
    </row>
    <row r="23" spans="1:14">
      <c r="A23" s="27">
        <v>6</v>
      </c>
      <c r="B23" s="28">
        <f t="shared" si="1"/>
        <v>5603332.8431248106</v>
      </c>
      <c r="C23" s="29">
        <f t="shared" si="2"/>
        <v>7.3360501496979991</v>
      </c>
      <c r="D23" s="30">
        <f t="shared" si="3"/>
        <v>41106331</v>
      </c>
      <c r="E23" s="30"/>
      <c r="F23" s="30">
        <f t="shared" si="4"/>
        <v>2000000</v>
      </c>
      <c r="G23" s="30">
        <f t="shared" si="5"/>
        <v>2919966.9657600005</v>
      </c>
      <c r="H23" s="32">
        <f t="shared" si="7"/>
        <v>4111948.8000000003</v>
      </c>
      <c r="I23" s="32">
        <f t="shared" si="8"/>
        <v>6167923.1999999993</v>
      </c>
      <c r="J23" s="33">
        <f t="shared" si="0"/>
        <v>1151345.6640000001</v>
      </c>
      <c r="K23" s="33">
        <f>'Cash Flow with Bank Loan'!E13</f>
        <v>4957500</v>
      </c>
      <c r="L23" s="30">
        <f t="shared" si="9"/>
        <v>32380209.698239997</v>
      </c>
      <c r="M23" s="31">
        <f t="shared" si="6"/>
        <v>64562736.394239992</v>
      </c>
    </row>
    <row r="24" spans="1:14">
      <c r="A24" s="27">
        <v>7</v>
      </c>
      <c r="B24" s="28">
        <f t="shared" si="1"/>
        <v>5572514.5124876238</v>
      </c>
      <c r="C24" s="29">
        <f t="shared" si="2"/>
        <v>7.4094106511949791</v>
      </c>
      <c r="D24" s="30">
        <f t="shared" si="3"/>
        <v>41289048</v>
      </c>
      <c r="E24" s="30"/>
      <c r="F24" s="30">
        <f t="shared" si="4"/>
        <v>2000000</v>
      </c>
      <c r="G24" s="30">
        <f t="shared" si="5"/>
        <v>3036765.6443904005</v>
      </c>
      <c r="H24" s="32">
        <f t="shared" si="7"/>
        <v>2467169.2799999998</v>
      </c>
      <c r="I24" s="32">
        <f t="shared" si="8"/>
        <v>3700753.9199999995</v>
      </c>
      <c r="J24" s="33">
        <f t="shared" si="0"/>
        <v>690807.39840000006</v>
      </c>
      <c r="K24" s="33">
        <f>'Cash Flow with Bank Loan'!E14</f>
        <v>3305000</v>
      </c>
      <c r="L24" s="30">
        <f t="shared" si="9"/>
        <v>33638089.754009597</v>
      </c>
      <c r="M24" s="36">
        <f t="shared" si="6"/>
        <v>98200826.148249596</v>
      </c>
    </row>
    <row r="25" spans="1:14">
      <c r="A25" s="27">
        <v>8</v>
      </c>
      <c r="B25" s="28">
        <f t="shared" si="1"/>
        <v>5541865.682668942</v>
      </c>
      <c r="C25" s="29">
        <f t="shared" si="2"/>
        <v>7.4835047577069291</v>
      </c>
      <c r="D25" s="30">
        <f t="shared" si="3"/>
        <v>41472578</v>
      </c>
      <c r="E25" s="30"/>
      <c r="F25" s="30">
        <f t="shared" si="4"/>
        <v>2000000</v>
      </c>
      <c r="G25" s="30">
        <f t="shared" si="5"/>
        <v>3158236.2701660166</v>
      </c>
      <c r="H25" s="32">
        <f t="shared" si="7"/>
        <v>1480301.568</v>
      </c>
      <c r="I25" s="32">
        <f t="shared" si="8"/>
        <v>2220452.3519999995</v>
      </c>
      <c r="J25" s="33">
        <f t="shared" si="0"/>
        <v>414484.43904000003</v>
      </c>
      <c r="K25" s="33">
        <f>'Cash Flow with Bank Loan'!E15</f>
        <v>1652500</v>
      </c>
      <c r="L25" s="30">
        <f t="shared" si="9"/>
        <v>35076326.168873981</v>
      </c>
      <c r="M25" s="31">
        <f t="shared" si="6"/>
        <v>133277152.31712358</v>
      </c>
    </row>
    <row r="26" spans="1:14">
      <c r="A26" s="27">
        <v>9</v>
      </c>
      <c r="B26" s="28">
        <f t="shared" si="1"/>
        <v>5511385.4214142626</v>
      </c>
      <c r="C26" s="29">
        <f t="shared" si="2"/>
        <v>7.5583398052839987</v>
      </c>
      <c r="D26" s="30">
        <f t="shared" si="3"/>
        <v>41656924</v>
      </c>
      <c r="E26" s="30"/>
      <c r="F26" s="30">
        <f t="shared" si="4"/>
        <v>2000000</v>
      </c>
      <c r="G26" s="30">
        <f t="shared" si="5"/>
        <v>3284565.7209726572</v>
      </c>
      <c r="H26" s="32">
        <f t="shared" si="7"/>
        <v>888180.94079999987</v>
      </c>
      <c r="I26" s="32">
        <f t="shared" si="8"/>
        <v>1332271.4111999995</v>
      </c>
      <c r="J26" s="33">
        <f t="shared" si="0"/>
        <v>248690.663424</v>
      </c>
      <c r="K26" s="33">
        <f>'Cash Flow with Bank Loan'!E16</f>
        <v>0</v>
      </c>
      <c r="L26" s="30">
        <f t="shared" si="9"/>
        <v>36621048.942451343</v>
      </c>
      <c r="M26" s="31">
        <f t="shared" si="6"/>
        <v>169898201.25957492</v>
      </c>
    </row>
    <row r="27" spans="1:14">
      <c r="A27" s="27">
        <v>10</v>
      </c>
      <c r="B27" s="28">
        <f t="shared" si="1"/>
        <v>5481072.8015964841</v>
      </c>
      <c r="C27" s="29">
        <f t="shared" si="2"/>
        <v>7.6339232033368392</v>
      </c>
      <c r="D27" s="30">
        <f t="shared" si="3"/>
        <v>41842089</v>
      </c>
      <c r="E27" s="30"/>
      <c r="F27" s="30">
        <f t="shared" si="4"/>
        <v>2000000</v>
      </c>
      <c r="G27" s="30">
        <f t="shared" si="5"/>
        <v>3415948.3498115637</v>
      </c>
      <c r="H27" s="32">
        <f t="shared" si="7"/>
        <v>532908.56447999983</v>
      </c>
      <c r="I27" s="32">
        <f t="shared" si="8"/>
        <v>799362.84671999968</v>
      </c>
      <c r="J27" s="33">
        <f t="shared" si="0"/>
        <v>149214.39805439996</v>
      </c>
      <c r="K27" s="33">
        <f>'Cash Flow with Bank Loan'!E17</f>
        <v>0</v>
      </c>
      <c r="L27" s="30">
        <f t="shared" si="9"/>
        <v>36575355.048242837</v>
      </c>
      <c r="M27" s="31">
        <f t="shared" si="6"/>
        <v>206473556.30781776</v>
      </c>
    </row>
    <row r="28" spans="1:14">
      <c r="A28" s="27">
        <v>11</v>
      </c>
      <c r="B28" s="28">
        <f t="shared" si="1"/>
        <v>5450926.9011877039</v>
      </c>
      <c r="C28" s="29">
        <f t="shared" si="2"/>
        <v>7.7102624353702076</v>
      </c>
      <c r="D28" s="30">
        <f t="shared" si="3"/>
        <v>42028077</v>
      </c>
      <c r="E28" s="30"/>
      <c r="F28" s="30">
        <f t="shared" si="4"/>
        <v>2000000</v>
      </c>
      <c r="G28" s="30">
        <f t="shared" si="5"/>
        <v>3552586.2838040264</v>
      </c>
      <c r="H28" s="32">
        <f t="shared" si="7"/>
        <v>319745.13868799992</v>
      </c>
      <c r="I28" s="32">
        <f t="shared" si="8"/>
        <v>479617.70803199976</v>
      </c>
      <c r="J28" s="33">
        <f t="shared" si="0"/>
        <v>89528.63883263999</v>
      </c>
      <c r="K28" s="33">
        <f>'Cash Flow with Bank Loan'!E18</f>
        <v>0</v>
      </c>
      <c r="L28" s="30">
        <f t="shared" si="9"/>
        <v>36565019.355028614</v>
      </c>
      <c r="M28" s="31">
        <f t="shared" si="6"/>
        <v>243038575.66284639</v>
      </c>
    </row>
    <row r="29" spans="1:14">
      <c r="A29" s="27">
        <v>12</v>
      </c>
      <c r="B29" s="28">
        <f t="shared" si="1"/>
        <v>5420946.8032311713</v>
      </c>
      <c r="C29" s="29">
        <f t="shared" si="2"/>
        <v>7.7873650597239097</v>
      </c>
      <c r="D29" s="30">
        <f t="shared" si="3"/>
        <v>42214892</v>
      </c>
      <c r="E29" s="30"/>
      <c r="F29" s="30">
        <f t="shared" si="4"/>
        <v>2000000</v>
      </c>
      <c r="G29" s="30">
        <f t="shared" si="5"/>
        <v>3694689.7351561878</v>
      </c>
      <c r="H29" s="32">
        <f t="shared" si="7"/>
        <v>191847.08321279992</v>
      </c>
      <c r="I29" s="32">
        <f t="shared" si="8"/>
        <v>287770.62481919985</v>
      </c>
      <c r="J29" s="33">
        <f t="shared" si="0"/>
        <v>53717.18329958398</v>
      </c>
      <c r="K29" s="33">
        <f>'Cash Flow with Bank Loan'!E19</f>
        <v>0</v>
      </c>
      <c r="L29" s="30">
        <f t="shared" si="9"/>
        <v>36573919.4481434</v>
      </c>
      <c r="M29" s="31">
        <f t="shared" si="6"/>
        <v>279612495.11098981</v>
      </c>
    </row>
    <row r="30" spans="1:14">
      <c r="A30" s="27">
        <v>13</v>
      </c>
      <c r="B30" s="28">
        <f t="shared" si="1"/>
        <v>5391131.5958134001</v>
      </c>
      <c r="C30" s="29">
        <f t="shared" si="2"/>
        <v>7.8652387103211492</v>
      </c>
      <c r="D30" s="30">
        <f t="shared" si="3"/>
        <v>42402537</v>
      </c>
      <c r="E30" s="30"/>
      <c r="F30" s="30">
        <f t="shared" si="4"/>
        <v>2000000</v>
      </c>
      <c r="G30" s="30">
        <f t="shared" si="5"/>
        <v>3842477.3245624355</v>
      </c>
      <c r="H30" s="32">
        <f t="shared" si="7"/>
        <v>115108.24992767995</v>
      </c>
      <c r="I30" s="32">
        <f t="shared" si="8"/>
        <v>172662.3748915199</v>
      </c>
      <c r="J30" s="33">
        <f t="shared" si="0"/>
        <v>32230.309979750389</v>
      </c>
      <c r="K30" s="33"/>
      <c r="L30" s="30">
        <f t="shared" si="9"/>
        <v>36592289.985417314</v>
      </c>
      <c r="M30" s="31">
        <f t="shared" si="6"/>
        <v>316204785.09640712</v>
      </c>
    </row>
    <row r="31" spans="1:14">
      <c r="A31" s="27">
        <v>14</v>
      </c>
      <c r="B31" s="28">
        <f t="shared" si="1"/>
        <v>5361480.3720364263</v>
      </c>
      <c r="C31" s="29">
        <f t="shared" si="2"/>
        <v>7.9438910974243608</v>
      </c>
      <c r="D31" s="30">
        <f t="shared" si="3"/>
        <v>42591016</v>
      </c>
      <c r="E31" s="30"/>
      <c r="F31" s="30">
        <f t="shared" si="4"/>
        <v>2000000</v>
      </c>
      <c r="G31" s="30">
        <f t="shared" si="5"/>
        <v>3996176.417544933</v>
      </c>
      <c r="H31" s="32">
        <f t="shared" si="7"/>
        <v>69064.949956607961</v>
      </c>
      <c r="I31" s="32">
        <f t="shared" si="8"/>
        <v>103597.42493491193</v>
      </c>
      <c r="J31" s="33">
        <f t="shared" si="0"/>
        <v>19338.185987850233</v>
      </c>
      <c r="K31" s="33"/>
      <c r="L31" s="30">
        <f t="shared" si="9"/>
        <v>36614177.768442921</v>
      </c>
      <c r="M31" s="31">
        <f t="shared" si="6"/>
        <v>352818962.86485004</v>
      </c>
    </row>
    <row r="32" spans="1:14">
      <c r="A32" s="27">
        <v>15</v>
      </c>
      <c r="B32" s="28">
        <f t="shared" si="1"/>
        <v>5331992.2299902262</v>
      </c>
      <c r="C32" s="29">
        <f t="shared" si="2"/>
        <v>8.0233300083986041</v>
      </c>
      <c r="D32" s="30">
        <f t="shared" si="3"/>
        <v>42780333</v>
      </c>
      <c r="E32" s="30"/>
      <c r="F32" s="30">
        <f t="shared" si="4"/>
        <v>2000000</v>
      </c>
      <c r="G32" s="30">
        <f t="shared" si="5"/>
        <v>4156023.4742467306</v>
      </c>
      <c r="H32" s="32">
        <f t="shared" si="7"/>
        <v>41438.969973964777</v>
      </c>
      <c r="I32" s="32">
        <f t="shared" si="8"/>
        <v>62158.454960947158</v>
      </c>
      <c r="J32" s="33">
        <f t="shared" si="0"/>
        <v>11602.911592710139</v>
      </c>
      <c r="K32" s="33"/>
      <c r="L32" s="30">
        <f t="shared" si="9"/>
        <v>36635912.437345974</v>
      </c>
      <c r="M32" s="31">
        <f t="shared" si="6"/>
        <v>389454875.30219603</v>
      </c>
    </row>
    <row r="33" spans="1:13">
      <c r="A33" s="27">
        <v>16</v>
      </c>
      <c r="B33" s="28">
        <f t="shared" si="1"/>
        <v>5302666.2727252804</v>
      </c>
      <c r="C33" s="29">
        <f t="shared" si="2"/>
        <v>8.10356330848259</v>
      </c>
      <c r="D33" s="30">
        <f t="shared" si="3"/>
        <v>42970492</v>
      </c>
      <c r="E33" s="30"/>
      <c r="F33" s="30">
        <f t="shared" si="4"/>
        <v>2000000</v>
      </c>
      <c r="G33" s="30">
        <f t="shared" si="5"/>
        <v>4322264.4132166002</v>
      </c>
      <c r="H33" s="32">
        <f t="shared" si="7"/>
        <v>24863.381984378866</v>
      </c>
      <c r="I33" s="32">
        <f t="shared" si="8"/>
        <v>37295.072976568292</v>
      </c>
      <c r="J33" s="33">
        <f t="shared" si="0"/>
        <v>6961.746955626083</v>
      </c>
      <c r="K33" s="33"/>
      <c r="L33" s="30">
        <f t="shared" si="9"/>
        <v>36655189.333739027</v>
      </c>
      <c r="M33" s="31">
        <f t="shared" si="6"/>
        <v>426110064.63593507</v>
      </c>
    </row>
    <row r="34" spans="1:13">
      <c r="A34" s="27">
        <v>17</v>
      </c>
      <c r="B34" s="28">
        <f t="shared" si="1"/>
        <v>5273501.6082252916</v>
      </c>
      <c r="C34" s="29">
        <f t="shared" si="2"/>
        <v>8.1845989415674154</v>
      </c>
      <c r="D34" s="30">
        <f t="shared" si="3"/>
        <v>43161496</v>
      </c>
      <c r="E34" s="30"/>
      <c r="F34" s="30">
        <f t="shared" si="4"/>
        <v>2000000</v>
      </c>
      <c r="G34" s="30">
        <f t="shared" si="5"/>
        <v>4495154.9897452639</v>
      </c>
      <c r="H34" s="32">
        <f t="shared" si="7"/>
        <v>14918.029190627318</v>
      </c>
      <c r="I34" s="32">
        <f t="shared" si="8"/>
        <v>22377.043785940972</v>
      </c>
      <c r="J34" s="33">
        <f t="shared" si="0"/>
        <v>4177.0481733756496</v>
      </c>
      <c r="K34" s="33"/>
      <c r="L34" s="30">
        <f t="shared" si="9"/>
        <v>36670518.058428109</v>
      </c>
      <c r="M34" s="31">
        <f t="shared" si="6"/>
        <v>462780582.69436318</v>
      </c>
    </row>
    <row r="35" spans="1:13">
      <c r="A35" s="27">
        <v>18</v>
      </c>
      <c r="B35" s="28">
        <f t="shared" si="1"/>
        <v>5244497.3493800526</v>
      </c>
      <c r="C35" s="29">
        <f t="shared" si="2"/>
        <v>8.2664449309830896</v>
      </c>
      <c r="D35" s="30">
        <f t="shared" si="3"/>
        <v>43353349</v>
      </c>
      <c r="E35" s="30"/>
      <c r="F35" s="30">
        <f t="shared" si="4"/>
        <v>2000000</v>
      </c>
      <c r="G35" s="30">
        <f t="shared" si="5"/>
        <v>4674961.1893350743</v>
      </c>
      <c r="H35" s="32">
        <f t="shared" si="7"/>
        <v>8950.8175143763892</v>
      </c>
      <c r="I35" s="32">
        <f t="shared" si="8"/>
        <v>13426.226271564583</v>
      </c>
      <c r="J35" s="33">
        <f t="shared" si="0"/>
        <v>2506.2289040253891</v>
      </c>
      <c r="K35" s="33"/>
      <c r="L35" s="30">
        <f t="shared" si="9"/>
        <v>36680894.039568946</v>
      </c>
      <c r="M35" s="31">
        <f t="shared" si="6"/>
        <v>499461476.73393214</v>
      </c>
    </row>
    <row r="36" spans="1:13">
      <c r="A36" s="27">
        <v>19</v>
      </c>
      <c r="B36" s="28">
        <f t="shared" si="1"/>
        <v>5215652.6139584621</v>
      </c>
      <c r="C36" s="29">
        <f t="shared" si="2"/>
        <v>8.349109380292921</v>
      </c>
      <c r="D36" s="30">
        <f t="shared" si="3"/>
        <v>43546054</v>
      </c>
      <c r="E36" s="30"/>
      <c r="F36" s="30">
        <f t="shared" si="4"/>
        <v>2000000</v>
      </c>
      <c r="G36" s="30">
        <f t="shared" si="5"/>
        <v>4861959.6369084772</v>
      </c>
      <c r="H36" s="32">
        <f t="shared" si="7"/>
        <v>5370.4905086258332</v>
      </c>
      <c r="I36" s="32">
        <f t="shared" si="8"/>
        <v>8055.7357629387498</v>
      </c>
      <c r="J36" s="33">
        <f t="shared" si="0"/>
        <v>1503.7373424152333</v>
      </c>
      <c r="K36" s="33"/>
      <c r="L36" s="30">
        <f t="shared" si="9"/>
        <v>36685598.100433938</v>
      </c>
      <c r="M36" s="31">
        <f t="shared" si="6"/>
        <v>536147074.83436608</v>
      </c>
    </row>
    <row r="37" spans="1:13">
      <c r="A37" s="27">
        <v>20</v>
      </c>
      <c r="B37" s="28">
        <f t="shared" si="1"/>
        <v>5186966.5245816903</v>
      </c>
      <c r="C37" s="29">
        <f t="shared" si="2"/>
        <v>8.4326004740958496</v>
      </c>
      <c r="D37" s="30">
        <f t="shared" si="3"/>
        <v>43739616</v>
      </c>
      <c r="E37" s="30"/>
      <c r="F37" s="30">
        <f t="shared" si="4"/>
        <v>2000000</v>
      </c>
      <c r="G37" s="30">
        <f t="shared" si="5"/>
        <v>5056438.0223848168</v>
      </c>
      <c r="H37" s="32">
        <f t="shared" si="7"/>
        <v>3222.2943051755001</v>
      </c>
      <c r="I37" s="32">
        <f t="shared" si="8"/>
        <v>4833.4414577632497</v>
      </c>
      <c r="J37" s="33">
        <f t="shared" si="0"/>
        <v>902.24240544914016</v>
      </c>
      <c r="K37" s="33"/>
      <c r="L37" s="30">
        <f t="shared" si="9"/>
        <v>36684080.220020637</v>
      </c>
      <c r="M37" s="31">
        <f t="shared" si="6"/>
        <v>572831155.05438673</v>
      </c>
    </row>
    <row r="38" spans="1:13">
      <c r="A38" s="27">
        <v>21</v>
      </c>
      <c r="B38" s="28">
        <f t="shared" si="1"/>
        <v>5158438.2086964911</v>
      </c>
      <c r="C38" s="29">
        <f t="shared" si="2"/>
        <v>8.5169264788368082</v>
      </c>
      <c r="D38" s="30">
        <f t="shared" si="3"/>
        <v>43934039</v>
      </c>
      <c r="E38" s="30"/>
      <c r="F38" s="30">
        <f t="shared" si="4"/>
        <v>2000000</v>
      </c>
      <c r="G38" s="30">
        <f t="shared" si="5"/>
        <v>5258695.5432802094</v>
      </c>
      <c r="H38" s="32">
        <f t="shared" si="7"/>
        <v>1933.3765831052999</v>
      </c>
      <c r="I38" s="32">
        <f t="shared" si="8"/>
        <v>2900.06487465795</v>
      </c>
      <c r="J38" s="33">
        <f t="shared" si="0"/>
        <v>541.34544326948401</v>
      </c>
      <c r="K38" s="33"/>
      <c r="L38" s="30">
        <f t="shared" si="9"/>
        <v>36675884.802163064</v>
      </c>
      <c r="M38" s="31">
        <f t="shared" si="6"/>
        <v>609507039.85654974</v>
      </c>
    </row>
    <row r="39" spans="1:13">
      <c r="A39" s="27">
        <v>22</v>
      </c>
      <c r="B39" s="28">
        <f t="shared" si="1"/>
        <v>5130066.7985486602</v>
      </c>
      <c r="C39" s="29">
        <f t="shared" si="2"/>
        <v>8.6020957436251759</v>
      </c>
      <c r="D39" s="30">
        <f t="shared" si="3"/>
        <v>44129326</v>
      </c>
      <c r="E39" s="30"/>
      <c r="F39" s="30">
        <f t="shared" si="4"/>
        <v>2000000</v>
      </c>
      <c r="G39" s="30">
        <f t="shared" si="5"/>
        <v>5469043.3650114182</v>
      </c>
      <c r="H39" s="32">
        <f t="shared" si="7"/>
        <v>1160.0259498631801</v>
      </c>
      <c r="I39" s="32">
        <f t="shared" si="8"/>
        <v>1740.0389247947699</v>
      </c>
      <c r="J39" s="33">
        <f t="shared" si="0"/>
        <v>324.80726596169046</v>
      </c>
      <c r="K39" s="33"/>
      <c r="L39" s="30">
        <f t="shared" si="9"/>
        <v>36660607.442254543</v>
      </c>
      <c r="M39" s="31">
        <f t="shared" si="6"/>
        <v>646167647.29880428</v>
      </c>
    </row>
    <row r="40" spans="1:13">
      <c r="A40" s="27">
        <v>23</v>
      </c>
      <c r="B40" s="28">
        <f t="shared" si="1"/>
        <v>5101851.4311566427</v>
      </c>
      <c r="C40" s="29">
        <f t="shared" si="2"/>
        <v>8.6881167010614284</v>
      </c>
      <c r="D40" s="30">
        <f t="shared" si="3"/>
        <v>44325481</v>
      </c>
      <c r="E40" s="30"/>
      <c r="F40" s="30">
        <f t="shared" si="4"/>
        <v>2000000</v>
      </c>
      <c r="G40" s="30">
        <f t="shared" si="5"/>
        <v>5687805.0996118756</v>
      </c>
      <c r="H40" s="32">
        <f t="shared" si="7"/>
        <v>696.01556991790801</v>
      </c>
      <c r="I40" s="32">
        <f t="shared" si="8"/>
        <v>1044.023354876862</v>
      </c>
      <c r="J40" s="33">
        <f t="shared" si="0"/>
        <v>194.88435957701427</v>
      </c>
      <c r="K40" s="33"/>
      <c r="L40" s="30">
        <f t="shared" si="9"/>
        <v>36637870.784747697</v>
      </c>
      <c r="M40" s="31">
        <f t="shared" si="6"/>
        <v>682805518.083552</v>
      </c>
    </row>
    <row r="41" spans="1:13">
      <c r="A41" s="27">
        <v>24</v>
      </c>
      <c r="B41" s="28">
        <f t="shared" si="1"/>
        <v>5073791.2482852815</v>
      </c>
      <c r="C41" s="29">
        <f t="shared" si="2"/>
        <v>8.7749978680720435</v>
      </c>
      <c r="D41" s="30">
        <f t="shared" si="3"/>
        <v>44522507</v>
      </c>
      <c r="E41" s="30"/>
      <c r="F41" s="30">
        <f t="shared" si="4"/>
        <v>2000000</v>
      </c>
      <c r="G41" s="30">
        <f t="shared" si="5"/>
        <v>5915317.3035963504</v>
      </c>
      <c r="H41" s="32"/>
      <c r="I41" s="32"/>
      <c r="J41" s="33"/>
      <c r="K41" s="33"/>
      <c r="L41" s="30">
        <f t="shared" si="9"/>
        <v>36607189.696403652</v>
      </c>
      <c r="M41" s="31">
        <f t="shared" si="6"/>
        <v>719412707.77995563</v>
      </c>
    </row>
    <row r="42" spans="1:13">
      <c r="A42" s="27">
        <v>25</v>
      </c>
      <c r="B42" s="28">
        <f>B41-(B41*0.55/100)</f>
        <v>5045885.3964197123</v>
      </c>
      <c r="C42" s="29">
        <f t="shared" si="2"/>
        <v>8.8627478467527645</v>
      </c>
      <c r="D42" s="30">
        <f t="shared" si="3"/>
        <v>44720410</v>
      </c>
      <c r="E42" s="30"/>
      <c r="F42" s="30">
        <f t="shared" si="4"/>
        <v>2000000</v>
      </c>
      <c r="G42" s="30">
        <f>G41*104%</f>
        <v>6151929.995740205</v>
      </c>
      <c r="H42" s="32"/>
      <c r="I42" s="32"/>
      <c r="J42" s="33"/>
      <c r="K42" s="33"/>
      <c r="L42" s="30">
        <f t="shared" si="9"/>
        <v>36568480.004259795</v>
      </c>
      <c r="M42" s="31">
        <f t="shared" si="6"/>
        <v>755981187.78421545</v>
      </c>
    </row>
    <row r="43" spans="1:13">
      <c r="A43" s="37"/>
      <c r="B43" s="38">
        <f>SUM(B18:B42)</f>
        <v>134884904.22919935</v>
      </c>
      <c r="C43" s="65"/>
      <c r="D43" s="38">
        <f t="shared" ref="B43:G43" si="10">SUM(D18:D42)</f>
        <v>1060605660</v>
      </c>
      <c r="E43" s="38">
        <f t="shared" si="10"/>
        <v>132200000</v>
      </c>
      <c r="F43" s="38">
        <f>SUM(F18:F42)</f>
        <v>50000000</v>
      </c>
      <c r="G43" s="38">
        <f t="shared" si="10"/>
        <v>99950179.889245257</v>
      </c>
      <c r="H43" s="39"/>
      <c r="I43" s="39"/>
      <c r="J43" s="40"/>
      <c r="K43" s="40"/>
      <c r="L43" s="41">
        <f>IRR(L18:L42)</f>
        <v>0.34585768809518114</v>
      </c>
    </row>
    <row r="44" spans="1:13">
      <c r="C44" s="42"/>
      <c r="H44" s="51"/>
      <c r="I44" s="51"/>
      <c r="L44" s="44" t="s">
        <v>21</v>
      </c>
    </row>
    <row r="45" spans="1:13">
      <c r="C45" s="42"/>
      <c r="H45" s="52"/>
      <c r="I45" s="51"/>
    </row>
    <row r="46" spans="1:13">
      <c r="C46" s="42"/>
      <c r="H46" s="52"/>
      <c r="I46" s="51"/>
    </row>
    <row r="47" spans="1:13">
      <c r="C47" s="42"/>
      <c r="H47" s="52"/>
      <c r="I47" s="51"/>
    </row>
  </sheetData>
  <mergeCells count="26">
    <mergeCell ref="I11:J11"/>
    <mergeCell ref="B11:C11"/>
    <mergeCell ref="B12:C12"/>
    <mergeCell ref="B10:C10"/>
    <mergeCell ref="B9:C9"/>
    <mergeCell ref="I3:J3"/>
    <mergeCell ref="I4:J4"/>
    <mergeCell ref="I5:J5"/>
    <mergeCell ref="I6:J6"/>
    <mergeCell ref="I7:J7"/>
    <mergeCell ref="I8:J8"/>
    <mergeCell ref="I9:J9"/>
    <mergeCell ref="I10:J10"/>
    <mergeCell ref="B1:C1"/>
    <mergeCell ref="J16:M16"/>
    <mergeCell ref="B2:C2"/>
    <mergeCell ref="B4:C4"/>
    <mergeCell ref="B5:C5"/>
    <mergeCell ref="B6:C6"/>
    <mergeCell ref="B7:C7"/>
    <mergeCell ref="B8:C8"/>
    <mergeCell ref="B13:C13"/>
    <mergeCell ref="B14:C14"/>
    <mergeCell ref="B3:C3"/>
    <mergeCell ref="D1:E1"/>
    <mergeCell ref="B15:C15"/>
  </mergeCells>
  <pageMargins left="0.7" right="0.7" top="0.75" bottom="0.75" header="0.3" footer="0.3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zoomScale="80" zoomScaleNormal="80" workbookViewId="0">
      <selection activeCell="D9" sqref="D9"/>
    </sheetView>
  </sheetViews>
  <sheetFormatPr defaultColWidth="8.6640625" defaultRowHeight="14.4"/>
  <cols>
    <col min="1" max="1" width="16.5546875" customWidth="1"/>
    <col min="2" max="2" width="15.33203125" customWidth="1"/>
    <col min="3" max="3" width="14.6640625" customWidth="1"/>
    <col min="4" max="4" width="13.33203125" customWidth="1"/>
    <col min="5" max="5" width="12" customWidth="1"/>
    <col min="6" max="6" width="10.88671875" customWidth="1"/>
    <col min="7" max="7" width="11.6640625" customWidth="1"/>
    <col min="8" max="8" width="16.109375" customWidth="1"/>
    <col min="9" max="9" width="12.33203125" customWidth="1"/>
    <col min="10" max="10" width="11.6640625" customWidth="1"/>
  </cols>
  <sheetData>
    <row r="1" spans="1:9">
      <c r="A1" s="2" t="s">
        <v>34</v>
      </c>
    </row>
    <row r="3" spans="1:9">
      <c r="A3" t="s">
        <v>22</v>
      </c>
      <c r="B3">
        <f>'IRR Sheet'!D6</f>
        <v>132200000</v>
      </c>
    </row>
    <row r="4" spans="1:9">
      <c r="A4" t="s">
        <v>23</v>
      </c>
      <c r="B4" s="1">
        <v>0.1</v>
      </c>
      <c r="C4" s="1"/>
    </row>
    <row r="5" spans="1:9">
      <c r="A5" t="s">
        <v>31</v>
      </c>
      <c r="B5">
        <v>8</v>
      </c>
      <c r="D5" s="77" t="s">
        <v>37</v>
      </c>
      <c r="E5" s="78"/>
      <c r="F5" s="78"/>
      <c r="G5" s="79" t="s">
        <v>38</v>
      </c>
      <c r="H5" s="79"/>
      <c r="I5" s="3"/>
    </row>
    <row r="6" spans="1:9" ht="42.6" customHeight="1">
      <c r="A6" s="10" t="s">
        <v>24</v>
      </c>
      <c r="B6" s="11" t="s">
        <v>25</v>
      </c>
      <c r="C6" s="12" t="s">
        <v>26</v>
      </c>
      <c r="D6" s="13" t="s">
        <v>27</v>
      </c>
      <c r="E6" s="13" t="s">
        <v>28</v>
      </c>
      <c r="F6" s="13" t="s">
        <v>29</v>
      </c>
      <c r="G6" s="14" t="s">
        <v>33</v>
      </c>
      <c r="H6" s="15" t="s">
        <v>30</v>
      </c>
      <c r="I6" s="16" t="s">
        <v>39</v>
      </c>
    </row>
    <row r="7" spans="1:9">
      <c r="A7" s="4">
        <v>0</v>
      </c>
      <c r="B7" s="5">
        <v>0</v>
      </c>
      <c r="C7" s="5">
        <f>B3</f>
        <v>132200000</v>
      </c>
      <c r="D7" s="6"/>
      <c r="E7" s="6"/>
      <c r="F7" s="6"/>
      <c r="G7" s="6"/>
      <c r="H7" s="7"/>
      <c r="I7" s="5"/>
    </row>
    <row r="8" spans="1:9">
      <c r="A8" s="4">
        <v>1</v>
      </c>
      <c r="B8" s="5">
        <f>'IRR Sheet'!B18</f>
        <v>5760000</v>
      </c>
      <c r="C8" s="5">
        <f>C7-D8</f>
        <v>115675000</v>
      </c>
      <c r="D8" s="6">
        <f>C7/$B$5</f>
        <v>16525000</v>
      </c>
      <c r="E8" s="6">
        <f>C7*$B$4</f>
        <v>13220000</v>
      </c>
      <c r="F8" s="6">
        <f>'IRR Sheet'!G18</f>
        <v>2400000</v>
      </c>
      <c r="G8" s="8">
        <f>'IRR Sheet'!D18</f>
        <v>40204800</v>
      </c>
      <c r="H8" s="7">
        <f>'IRR Sheet'!J18</f>
        <v>14806400.000000002</v>
      </c>
      <c r="I8" s="9">
        <f>D8+E8+F8-G8-H8</f>
        <v>-22866200</v>
      </c>
    </row>
    <row r="9" spans="1:9">
      <c r="A9" s="4">
        <v>2</v>
      </c>
      <c r="B9" s="5">
        <f>'IRR Sheet'!B19</f>
        <v>5728320</v>
      </c>
      <c r="C9" s="5">
        <f t="shared" ref="C9:C32" si="0">C8-D9</f>
        <v>99150000</v>
      </c>
      <c r="D9" s="6">
        <f>D8</f>
        <v>16525000</v>
      </c>
      <c r="E9" s="6">
        <f t="shared" ref="E9:E32" si="1">C8*$B$4</f>
        <v>11567500</v>
      </c>
      <c r="F9" s="6">
        <f>'IRR Sheet'!G19</f>
        <v>2496000</v>
      </c>
      <c r="G9" s="8">
        <f>'IRR Sheet'!D19</f>
        <v>40383510</v>
      </c>
      <c r="H9" s="7">
        <f>'IRR Sheet'!J19</f>
        <v>8883840</v>
      </c>
      <c r="I9" s="9">
        <f t="shared" ref="I9:I26" si="2">D9+E9+F9-G9-H9</f>
        <v>-18678850</v>
      </c>
    </row>
    <row r="10" spans="1:9">
      <c r="A10" s="4">
        <v>3</v>
      </c>
      <c r="B10" s="5">
        <f>'IRR Sheet'!B20</f>
        <v>5696814.2400000002</v>
      </c>
      <c r="C10" s="5">
        <f t="shared" si="0"/>
        <v>82625000</v>
      </c>
      <c r="D10" s="6">
        <f t="shared" ref="D10:D15" si="3">D9</f>
        <v>16525000</v>
      </c>
      <c r="E10" s="6">
        <f t="shared" si="1"/>
        <v>9915000</v>
      </c>
      <c r="F10" s="6">
        <f>'IRR Sheet'!G20</f>
        <v>2595840</v>
      </c>
      <c r="G10" s="8">
        <f>'IRR Sheet'!D20</f>
        <v>40563015</v>
      </c>
      <c r="H10" s="7">
        <f>'IRR Sheet'!J20</f>
        <v>5330304.0000000009</v>
      </c>
      <c r="I10" s="9">
        <f t="shared" si="2"/>
        <v>-16857479</v>
      </c>
    </row>
    <row r="11" spans="1:9">
      <c r="A11" s="4">
        <v>4</v>
      </c>
      <c r="B11" s="5">
        <f>'IRR Sheet'!B21</f>
        <v>5665481.7616800005</v>
      </c>
      <c r="C11" s="5">
        <f t="shared" si="0"/>
        <v>66100000</v>
      </c>
      <c r="D11" s="6">
        <f t="shared" si="3"/>
        <v>16525000</v>
      </c>
      <c r="E11" s="6">
        <f t="shared" si="1"/>
        <v>8262500</v>
      </c>
      <c r="F11" s="6">
        <f>'IRR Sheet'!G21</f>
        <v>2699673.6000000001</v>
      </c>
      <c r="G11" s="8">
        <f>'IRR Sheet'!D21</f>
        <v>40743318</v>
      </c>
      <c r="H11" s="7">
        <f>'IRR Sheet'!J21</f>
        <v>3198182.4000000004</v>
      </c>
      <c r="I11" s="9">
        <f t="shared" si="2"/>
        <v>-16454326.799999999</v>
      </c>
    </row>
    <row r="12" spans="1:9">
      <c r="A12" s="4">
        <v>5</v>
      </c>
      <c r="B12" s="5">
        <f>'IRR Sheet'!B22</f>
        <v>5634321.6119907601</v>
      </c>
      <c r="C12" s="5">
        <f t="shared" si="0"/>
        <v>49575000</v>
      </c>
      <c r="D12" s="6">
        <f t="shared" si="3"/>
        <v>16525000</v>
      </c>
      <c r="E12" s="6">
        <f t="shared" si="1"/>
        <v>6610000</v>
      </c>
      <c r="F12" s="6">
        <f>'IRR Sheet'!G22</f>
        <v>2807660.5440000002</v>
      </c>
      <c r="G12" s="8">
        <f>'IRR Sheet'!D22</f>
        <v>40924422</v>
      </c>
      <c r="H12" s="7">
        <f>'IRR Sheet'!J22</f>
        <v>1918909.4400000002</v>
      </c>
      <c r="I12" s="9">
        <f t="shared" si="2"/>
        <v>-16900670.896000002</v>
      </c>
    </row>
    <row r="13" spans="1:9">
      <c r="A13" s="4">
        <v>6</v>
      </c>
      <c r="B13" s="5">
        <f>'IRR Sheet'!B23</f>
        <v>5603332.8431248106</v>
      </c>
      <c r="C13" s="5">
        <f t="shared" si="0"/>
        <v>33050000</v>
      </c>
      <c r="D13" s="6">
        <f t="shared" si="3"/>
        <v>16525000</v>
      </c>
      <c r="E13" s="6">
        <f t="shared" si="1"/>
        <v>4957500</v>
      </c>
      <c r="F13" s="6">
        <f>'IRR Sheet'!G23</f>
        <v>2919966.9657600005</v>
      </c>
      <c r="G13" s="8">
        <f>'IRR Sheet'!D23</f>
        <v>41106331</v>
      </c>
      <c r="H13" s="7">
        <f>'IRR Sheet'!J23</f>
        <v>1151345.6640000001</v>
      </c>
      <c r="I13" s="9">
        <f t="shared" si="2"/>
        <v>-17855209.698240001</v>
      </c>
    </row>
    <row r="14" spans="1:9">
      <c r="A14" s="4">
        <v>7</v>
      </c>
      <c r="B14" s="5">
        <f>'IRR Sheet'!B24</f>
        <v>5572514.5124876238</v>
      </c>
      <c r="C14" s="5">
        <f t="shared" si="0"/>
        <v>16525000</v>
      </c>
      <c r="D14" s="6">
        <f t="shared" si="3"/>
        <v>16525000</v>
      </c>
      <c r="E14" s="6">
        <f t="shared" si="1"/>
        <v>3305000</v>
      </c>
      <c r="F14" s="6">
        <f>'IRR Sheet'!G24</f>
        <v>3036765.6443904005</v>
      </c>
      <c r="G14" s="8">
        <f>'IRR Sheet'!D24</f>
        <v>41289048</v>
      </c>
      <c r="H14" s="7">
        <f>'IRR Sheet'!J24</f>
        <v>690807.39840000006</v>
      </c>
      <c r="I14" s="9">
        <f t="shared" si="2"/>
        <v>-19113089.754009601</v>
      </c>
    </row>
    <row r="15" spans="1:9">
      <c r="A15" s="4">
        <v>8</v>
      </c>
      <c r="B15" s="5">
        <f>'IRR Sheet'!B25</f>
        <v>5541865.682668942</v>
      </c>
      <c r="C15" s="5">
        <f t="shared" si="0"/>
        <v>0</v>
      </c>
      <c r="D15" s="6">
        <f t="shared" si="3"/>
        <v>16525000</v>
      </c>
      <c r="E15" s="6">
        <f t="shared" si="1"/>
        <v>1652500</v>
      </c>
      <c r="F15" s="6">
        <f>'IRR Sheet'!G25</f>
        <v>3158236.2701660166</v>
      </c>
      <c r="G15" s="8">
        <f>'IRR Sheet'!D25</f>
        <v>41472578</v>
      </c>
      <c r="H15" s="7">
        <f>'IRR Sheet'!J25</f>
        <v>414484.43904000003</v>
      </c>
      <c r="I15" s="9">
        <f t="shared" si="2"/>
        <v>-20551326.168873984</v>
      </c>
    </row>
    <row r="16" spans="1:9">
      <c r="A16" s="4">
        <v>9</v>
      </c>
      <c r="B16" s="5">
        <f>'IRR Sheet'!B26</f>
        <v>5511385.4214142626</v>
      </c>
      <c r="C16" s="5">
        <f t="shared" si="0"/>
        <v>0</v>
      </c>
      <c r="D16" s="6"/>
      <c r="E16" s="6">
        <f t="shared" si="1"/>
        <v>0</v>
      </c>
      <c r="F16" s="6">
        <f>'IRR Sheet'!G26</f>
        <v>3284565.7209726572</v>
      </c>
      <c r="G16" s="8">
        <f>'IRR Sheet'!D26</f>
        <v>41656924</v>
      </c>
      <c r="H16" s="7">
        <f>'IRR Sheet'!J26</f>
        <v>248690.663424</v>
      </c>
      <c r="I16" s="9">
        <f t="shared" si="2"/>
        <v>-38621048.942451343</v>
      </c>
    </row>
    <row r="17" spans="1:9">
      <c r="A17" s="4">
        <v>10</v>
      </c>
      <c r="B17" s="5">
        <f>'IRR Sheet'!B27</f>
        <v>5481072.8015964841</v>
      </c>
      <c r="C17" s="5">
        <f t="shared" si="0"/>
        <v>0</v>
      </c>
      <c r="D17" s="6">
        <f>D16</f>
        <v>0</v>
      </c>
      <c r="E17" s="6">
        <f t="shared" si="1"/>
        <v>0</v>
      </c>
      <c r="F17" s="6">
        <f>'IRR Sheet'!G27</f>
        <v>3415948.3498115637</v>
      </c>
      <c r="G17" s="8">
        <f>'IRR Sheet'!D27</f>
        <v>41842089</v>
      </c>
      <c r="H17" s="7">
        <f>'IRR Sheet'!J27</f>
        <v>149214.39805439996</v>
      </c>
      <c r="I17" s="9">
        <f t="shared" si="2"/>
        <v>-38575355.048242837</v>
      </c>
    </row>
    <row r="18" spans="1:9">
      <c r="A18" s="4">
        <v>11</v>
      </c>
      <c r="B18" s="5">
        <f>'IRR Sheet'!B28</f>
        <v>5450926.9011877039</v>
      </c>
      <c r="C18" s="5">
        <f t="shared" si="0"/>
        <v>0</v>
      </c>
      <c r="D18" s="6"/>
      <c r="E18" s="6">
        <f t="shared" si="1"/>
        <v>0</v>
      </c>
      <c r="F18" s="6">
        <f>'IRR Sheet'!G28</f>
        <v>3552586.2838040264</v>
      </c>
      <c r="G18" s="8">
        <f>'IRR Sheet'!D28</f>
        <v>42028077</v>
      </c>
      <c r="H18" s="7">
        <f>'IRR Sheet'!J28</f>
        <v>89528.63883263999</v>
      </c>
      <c r="I18" s="9">
        <f t="shared" si="2"/>
        <v>-38565019.355028614</v>
      </c>
    </row>
    <row r="19" spans="1:9">
      <c r="A19" s="4">
        <v>12</v>
      </c>
      <c r="B19" s="5">
        <f>'IRR Sheet'!B29</f>
        <v>5420946.8032311713</v>
      </c>
      <c r="C19" s="5">
        <f t="shared" si="0"/>
        <v>0</v>
      </c>
      <c r="D19" s="6"/>
      <c r="E19" s="6">
        <f t="shared" si="1"/>
        <v>0</v>
      </c>
      <c r="F19" s="6">
        <f>'IRR Sheet'!G29</f>
        <v>3694689.7351561878</v>
      </c>
      <c r="G19" s="8">
        <f>'IRR Sheet'!D29</f>
        <v>42214892</v>
      </c>
      <c r="H19" s="7">
        <f>'IRR Sheet'!J29</f>
        <v>53717.18329958398</v>
      </c>
      <c r="I19" s="9">
        <f t="shared" si="2"/>
        <v>-38573919.4481434</v>
      </c>
    </row>
    <row r="20" spans="1:9">
      <c r="A20" s="4">
        <v>13</v>
      </c>
      <c r="B20" s="5">
        <f>'IRR Sheet'!B30</f>
        <v>5391131.5958134001</v>
      </c>
      <c r="C20" s="5">
        <f t="shared" si="0"/>
        <v>0</v>
      </c>
      <c r="D20" s="6"/>
      <c r="E20" s="6">
        <f t="shared" si="1"/>
        <v>0</v>
      </c>
      <c r="F20" s="6">
        <f>'IRR Sheet'!G30</f>
        <v>3842477.3245624355</v>
      </c>
      <c r="G20" s="8">
        <f>'IRR Sheet'!D30</f>
        <v>42402537</v>
      </c>
      <c r="H20" s="7">
        <f>'IRR Sheet'!J30</f>
        <v>32230.309979750389</v>
      </c>
      <c r="I20" s="9">
        <f t="shared" si="2"/>
        <v>-38592289.985417314</v>
      </c>
    </row>
    <row r="21" spans="1:9">
      <c r="A21" s="4">
        <v>14</v>
      </c>
      <c r="B21" s="5">
        <f>'IRR Sheet'!B31</f>
        <v>5361480.3720364263</v>
      </c>
      <c r="C21" s="5">
        <f t="shared" si="0"/>
        <v>0</v>
      </c>
      <c r="D21" s="6"/>
      <c r="E21" s="6">
        <f t="shared" si="1"/>
        <v>0</v>
      </c>
      <c r="F21" s="6">
        <f>'IRR Sheet'!G31</f>
        <v>3996176.417544933</v>
      </c>
      <c r="G21" s="8">
        <f>'IRR Sheet'!D31</f>
        <v>42591016</v>
      </c>
      <c r="H21" s="7">
        <f>'IRR Sheet'!J31</f>
        <v>19338.185987850233</v>
      </c>
      <c r="I21" s="9">
        <f t="shared" si="2"/>
        <v>-38614177.768442921</v>
      </c>
    </row>
    <row r="22" spans="1:9">
      <c r="A22" s="4">
        <v>15</v>
      </c>
      <c r="B22" s="5">
        <f>'IRR Sheet'!B32</f>
        <v>5331992.2299902262</v>
      </c>
      <c r="C22" s="5">
        <f t="shared" si="0"/>
        <v>0</v>
      </c>
      <c r="D22" s="6"/>
      <c r="E22" s="6">
        <f t="shared" si="1"/>
        <v>0</v>
      </c>
      <c r="F22" s="6">
        <f>'IRR Sheet'!G32</f>
        <v>4156023.4742467306</v>
      </c>
      <c r="G22" s="8">
        <f>'IRR Sheet'!D32</f>
        <v>42780333</v>
      </c>
      <c r="H22" s="7">
        <f>'IRR Sheet'!J32</f>
        <v>11602.911592710139</v>
      </c>
      <c r="I22" s="9">
        <f t="shared" si="2"/>
        <v>-38635912.437345974</v>
      </c>
    </row>
    <row r="23" spans="1:9">
      <c r="A23" s="4">
        <v>16</v>
      </c>
      <c r="B23" s="5">
        <f>'IRR Sheet'!B33</f>
        <v>5302666.2727252804</v>
      </c>
      <c r="C23" s="5">
        <f t="shared" si="0"/>
        <v>0</v>
      </c>
      <c r="D23" s="6"/>
      <c r="E23" s="6">
        <f t="shared" si="1"/>
        <v>0</v>
      </c>
      <c r="F23" s="6">
        <f>'IRR Sheet'!G33</f>
        <v>4322264.4132166002</v>
      </c>
      <c r="G23" s="8">
        <f>'IRR Sheet'!D33</f>
        <v>42970492</v>
      </c>
      <c r="H23" s="7">
        <f>'IRR Sheet'!J33</f>
        <v>6961.746955626083</v>
      </c>
      <c r="I23" s="9">
        <f t="shared" si="2"/>
        <v>-38655189.333739027</v>
      </c>
    </row>
    <row r="24" spans="1:9">
      <c r="A24" s="4">
        <v>17</v>
      </c>
      <c r="B24" s="5">
        <f>'IRR Sheet'!B34</f>
        <v>5273501.6082252916</v>
      </c>
      <c r="C24" s="5">
        <f t="shared" si="0"/>
        <v>0</v>
      </c>
      <c r="D24" s="6"/>
      <c r="E24" s="6">
        <f t="shared" si="1"/>
        <v>0</v>
      </c>
      <c r="F24" s="6">
        <f>'IRR Sheet'!G34</f>
        <v>4495154.9897452639</v>
      </c>
      <c r="G24" s="8">
        <f>'IRR Sheet'!D34</f>
        <v>43161496</v>
      </c>
      <c r="H24" s="7">
        <f>'IRR Sheet'!J34</f>
        <v>4177.0481733756496</v>
      </c>
      <c r="I24" s="9">
        <f t="shared" si="2"/>
        <v>-38670518.058428109</v>
      </c>
    </row>
    <row r="25" spans="1:9">
      <c r="A25" s="4">
        <v>18</v>
      </c>
      <c r="B25" s="5">
        <f>'IRR Sheet'!B35</f>
        <v>5244497.3493800526</v>
      </c>
      <c r="C25" s="5">
        <f t="shared" si="0"/>
        <v>0</v>
      </c>
      <c r="D25" s="6"/>
      <c r="E25" s="6">
        <f t="shared" si="1"/>
        <v>0</v>
      </c>
      <c r="F25" s="6">
        <f>'IRR Sheet'!G35</f>
        <v>4674961.1893350743</v>
      </c>
      <c r="G25" s="8">
        <f>'IRR Sheet'!D35</f>
        <v>43353349</v>
      </c>
      <c r="H25" s="7">
        <f>'IRR Sheet'!J35</f>
        <v>2506.2289040253891</v>
      </c>
      <c r="I25" s="9">
        <f t="shared" si="2"/>
        <v>-38680894.039568946</v>
      </c>
    </row>
    <row r="26" spans="1:9">
      <c r="A26" s="4">
        <v>19</v>
      </c>
      <c r="B26" s="5">
        <f>'IRR Sheet'!B36</f>
        <v>5215652.6139584621</v>
      </c>
      <c r="C26" s="5">
        <f t="shared" si="0"/>
        <v>0</v>
      </c>
      <c r="D26" s="6"/>
      <c r="E26" s="6">
        <f t="shared" si="1"/>
        <v>0</v>
      </c>
      <c r="F26" s="6">
        <f>'IRR Sheet'!G36</f>
        <v>4861959.6369084772</v>
      </c>
      <c r="G26" s="8">
        <f>'IRR Sheet'!D36</f>
        <v>43546054</v>
      </c>
      <c r="H26" s="7">
        <f>'IRR Sheet'!J36</f>
        <v>1503.7373424152333</v>
      </c>
      <c r="I26" s="9">
        <f t="shared" si="2"/>
        <v>-38685598.100433938</v>
      </c>
    </row>
    <row r="27" spans="1:9">
      <c r="A27" s="4">
        <v>20</v>
      </c>
      <c r="B27" s="5">
        <f>'IRR Sheet'!B37</f>
        <v>5186966.5245816903</v>
      </c>
      <c r="C27" s="5">
        <f t="shared" si="0"/>
        <v>0</v>
      </c>
      <c r="D27" s="6"/>
      <c r="E27" s="6">
        <f t="shared" si="1"/>
        <v>0</v>
      </c>
      <c r="F27" s="6">
        <f>'IRR Sheet'!G37</f>
        <v>5056438.0223848168</v>
      </c>
      <c r="G27" s="8">
        <f>'IRR Sheet'!D37</f>
        <v>43739616</v>
      </c>
      <c r="H27" s="7">
        <f>'IRR Sheet'!J37</f>
        <v>902.24240544914016</v>
      </c>
      <c r="I27" s="9">
        <f t="shared" ref="I27:I32" si="4">D27+E27+F27-G27-H27</f>
        <v>-38684080.220020637</v>
      </c>
    </row>
    <row r="28" spans="1:9">
      <c r="A28" s="4">
        <v>21</v>
      </c>
      <c r="B28" s="5">
        <f>'IRR Sheet'!B38</f>
        <v>5158438.2086964911</v>
      </c>
      <c r="C28" s="5">
        <f t="shared" si="0"/>
        <v>0</v>
      </c>
      <c r="D28" s="6"/>
      <c r="E28" s="6">
        <f t="shared" si="1"/>
        <v>0</v>
      </c>
      <c r="F28" s="6">
        <f>'IRR Sheet'!G38</f>
        <v>5258695.5432802094</v>
      </c>
      <c r="G28" s="8">
        <f>'IRR Sheet'!D38</f>
        <v>43934039</v>
      </c>
      <c r="H28" s="7">
        <f>'IRR Sheet'!J38</f>
        <v>541.34544326948401</v>
      </c>
      <c r="I28" s="9">
        <f t="shared" si="4"/>
        <v>-38675884.802163064</v>
      </c>
    </row>
    <row r="29" spans="1:9">
      <c r="A29" s="4">
        <v>22</v>
      </c>
      <c r="B29" s="5">
        <f>'IRR Sheet'!B39</f>
        <v>5130066.7985486602</v>
      </c>
      <c r="C29" s="5">
        <f t="shared" si="0"/>
        <v>0</v>
      </c>
      <c r="D29" s="6"/>
      <c r="E29" s="6">
        <f t="shared" si="1"/>
        <v>0</v>
      </c>
      <c r="F29" s="6">
        <f>'IRR Sheet'!G39</f>
        <v>5469043.3650114182</v>
      </c>
      <c r="G29" s="8">
        <f>'IRR Sheet'!D39</f>
        <v>44129326</v>
      </c>
      <c r="H29" s="7">
        <f>'IRR Sheet'!J39</f>
        <v>324.80726596169046</v>
      </c>
      <c r="I29" s="9">
        <f t="shared" si="4"/>
        <v>-38660607.442254543</v>
      </c>
    </row>
    <row r="30" spans="1:9">
      <c r="A30" s="4">
        <v>23</v>
      </c>
      <c r="B30" s="5">
        <f>'IRR Sheet'!B40</f>
        <v>5101851.4311566427</v>
      </c>
      <c r="C30" s="5">
        <f t="shared" si="0"/>
        <v>0</v>
      </c>
      <c r="D30" s="6"/>
      <c r="E30" s="6">
        <f t="shared" si="1"/>
        <v>0</v>
      </c>
      <c r="F30" s="6">
        <f>'IRR Sheet'!G40</f>
        <v>5687805.0996118756</v>
      </c>
      <c r="G30" s="8">
        <f>'IRR Sheet'!D40</f>
        <v>44325481</v>
      </c>
      <c r="H30" s="7">
        <f>'IRR Sheet'!J40</f>
        <v>194.88435957701427</v>
      </c>
      <c r="I30" s="9">
        <f t="shared" si="4"/>
        <v>-38637870.784747697</v>
      </c>
    </row>
    <row r="31" spans="1:9">
      <c r="A31" s="4">
        <v>24</v>
      </c>
      <c r="B31" s="5">
        <f>'IRR Sheet'!B41</f>
        <v>5073791.2482852815</v>
      </c>
      <c r="C31" s="5">
        <f t="shared" si="0"/>
        <v>0</v>
      </c>
      <c r="D31" s="6"/>
      <c r="E31" s="6">
        <f t="shared" si="1"/>
        <v>0</v>
      </c>
      <c r="F31" s="6">
        <f>'IRR Sheet'!G41</f>
        <v>5915317.3035963504</v>
      </c>
      <c r="G31" s="8">
        <f>'IRR Sheet'!D41</f>
        <v>44522507</v>
      </c>
      <c r="H31" s="7">
        <f>'IRR Sheet'!J41</f>
        <v>0</v>
      </c>
      <c r="I31" s="9">
        <f t="shared" si="4"/>
        <v>-38607189.696403652</v>
      </c>
    </row>
    <row r="32" spans="1:9">
      <c r="A32" s="4">
        <v>25</v>
      </c>
      <c r="B32" s="5">
        <f>'IRR Sheet'!B42</f>
        <v>5045885.3964197123</v>
      </c>
      <c r="C32" s="5">
        <f t="shared" si="0"/>
        <v>0</v>
      </c>
      <c r="D32" s="6"/>
      <c r="E32" s="6">
        <f t="shared" si="1"/>
        <v>0</v>
      </c>
      <c r="F32" s="6">
        <f>'IRR Sheet'!G42</f>
        <v>6151929.995740205</v>
      </c>
      <c r="G32" s="8">
        <f>'IRR Sheet'!D42</f>
        <v>44720410</v>
      </c>
      <c r="H32" s="7">
        <f>'IRR Sheet'!J42</f>
        <v>0</v>
      </c>
      <c r="I32" s="9">
        <f t="shared" si="4"/>
        <v>-38568480.004259795</v>
      </c>
    </row>
  </sheetData>
  <mergeCells count="2">
    <mergeCell ref="D5:F5"/>
    <mergeCell ref="G5:H5"/>
  </mergeCell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IRR Sheet</vt:lpstr>
      <vt:lpstr>Cash Flow with Bank 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</dc:creator>
  <cp:lastModifiedBy>Hemant Kalvani</cp:lastModifiedBy>
  <cp:lastPrinted>2016-11-03T13:39:00Z</cp:lastPrinted>
  <dcterms:created xsi:type="dcterms:W3CDTF">2016-10-26T11:47:00Z</dcterms:created>
  <dcterms:modified xsi:type="dcterms:W3CDTF">2023-10-19T11:38:15Z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